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docs.live.net/1d2d2c20caf356d1/PC Desktop/Web Scraping/Alberta/"/>
    </mc:Choice>
  </mc:AlternateContent>
  <xr:revisionPtr revIDLastSave="0" documentId="13_ncr:40009_{7047B641-1B65-477E-9301-A2B4A24ECDE9}" xr6:coauthVersionLast="36" xr6:coauthVersionMax="36" xr10:uidLastSave="{00000000-0000-0000-0000-000000000000}"/>
  <bookViews>
    <workbookView xWindow="0" yWindow="0" windowWidth="19470" windowHeight="7530"/>
  </bookViews>
  <sheets>
    <sheet name="alberta" sheetId="1" r:id="rId1"/>
  </sheets>
  <calcPr calcId="0"/>
</workbook>
</file>

<file path=xl/calcChain.xml><?xml version="1.0" encoding="utf-8"?>
<calcChain xmlns="http://schemas.openxmlformats.org/spreadsheetml/2006/main">
  <c r="A39" i="1" l="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alcChain>
</file>

<file path=xl/sharedStrings.xml><?xml version="1.0" encoding="utf-8"?>
<sst xmlns="http://schemas.openxmlformats.org/spreadsheetml/2006/main" count="7268" uniqueCount="3595">
  <si>
    <t>Access</t>
  </si>
  <si>
    <t>Contact Details</t>
  </si>
  <si>
    <t>Hours of Operation</t>
  </si>
  <si>
    <t>Partners</t>
  </si>
  <si>
    <t>Service Locations</t>
  </si>
  <si>
    <t>location</t>
  </si>
  <si>
    <t>provider</t>
  </si>
  <si>
    <t>services</t>
  </si>
  <si>
    <t>Service Providers May Includewellness facilitators
EligibilityStudents must attend a school that Wainwright On Wellness provides services to and families must be part of the communities Wainwright On Wellness provides services to.
Service Contact any Wainwright On Wellness Facilitator in the school directly, by email, or by phone or contact the program directly. Please also visit www.wainwrightonwellness.com for more information.</t>
  </si>
  <si>
    <t>Irma School
Address5012 51 Avenue Irma, AlbertaT0B 2H0
Telephone780-806-6969
Fax780-842-3859
Emailariel.haubrich@btps.ca 
Websitehttp://www.wainwrightonwellness.com</t>
  </si>
  <si>
    <t>Days of the Week
Monday8:30 am - 4:00 pm
Tuesday8:30 am - 4:00 pm
Wednesday8:30 am - 4:00 pm
Thursday8:30 am - 4:00 pm
Friday8:30 am - 4:00 pm</t>
  </si>
  <si>
    <t>Wainwright Elementary School
Wainwright High School</t>
  </si>
  <si>
    <t>Irma School</t>
  </si>
  <si>
    <t xml:space="preserve">A prevention and promotion initiative that works to increase a community's capacity to promote the development of positive mental health and wellness in its children, youth and families using schools as hubs.Using prevention and promotion activities Wainwright On Wellness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</si>
  <si>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Service Providers May Includeaddiction counsellors, mental health counsellors, mental health promotion facilitators
EligibilityThis service is available to all ages.
Wait TimesDepends upon nature of request
FeesThere is a fee for Mental Health First Aid, suicide intervention training and other like courses. Information and workshops are at no cost. 
Service LanguagesInterpreter/Translation services</t>
  </si>
  <si>
    <t>Onoway Mental Health Services
Address5115 Lac St. Anne Trail Onoway, AlbertaT0E 1V0
Telephone780-967-9117
Tollfree310-0000 780-967-9117, 1-877-303-2642 (24 hr Help Line)
Fax780-967-2547</t>
  </si>
  <si>
    <t>Days of the Week
Monday8:00 am - 4:30 pm
Tuesday8:00 am - 4:30 pm
Wednesday8:00 am - 4:30 pm
Thursday8:00 am - 4:30 pm
Friday8:00 am - 4:30 pm
Note
Closed_x000D_
12:00 PM (noon) to 1:00 PM, and statutory holidays.</t>
  </si>
  <si>
    <t>/affiliations
Some Other Solutions, Family Crisis Society, Canadian Mental Health Association, Suicide Prevention Resource Centre, PACE, School divisions, health promotion facilitators, community agencies</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</si>
  <si>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</si>
  <si>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Onoway Mental Health Services</t>
  </si>
  <si>
    <t xml:space="preserve">Provides a range of information, training and workshops on a variety of mental wellness topics designed to promote wellness and build individual and community awareness about mental health.Offers information, workshops and training on preventing and/or coping with:Â 
stress, anxiety, depression,Â  seasonal affective disorder, grief and loss
suicide
Mental Health First Aid Training
ASIST and other suicide intervention training
Mental health promotion facilitators work with schools and various community agencies to strengthen resiliency amongst the population.
Some services are offered directly by Alberta Health Services staff, agencies funded by Alberta Health Services or community partners
</t>
  </si>
  <si>
    <t>Service Providers May Includehealth care aides, licensed practical nurses (LPNs), physical therapists (PTs), registered nurses (RNs), social workers
EligibilityClients are assessed by Home Care to make sure theyâ€™re placed in the residential care setting that can best meet their needs.
Service Contact Home Care for Assessment,  Centre for Intake Registration to Home Care. If already on Home Care your Case Manager will reassess your needs and provide information on the living options suited for you.
Once assessed by your Home Care Case Manager, you will be wait listed for your facility of choice and will be admitted there according to your wait list date and preference.
FeesThereâ€™s a cost for housing and extra services. The costs may vary at different sites. There may be help to pay for the service if you have a low income or get income assistance.
Service LanguagesInterpreter/Translation services</t>
  </si>
  <si>
    <t>Meadow Ridge Seniors Village
Telephone1-866-388-6380 (Home Care Assessment)</t>
  </si>
  <si>
    <t>Available
24 hour service</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</si>
  <si>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Piyami Place
River Ridge Seniors Village
St. Michael's Health Centre
St. Therese Villa
Sunny South Lodge
Sunrise Gardens</t>
  </si>
  <si>
    <t>Meadow Ridge Seniors Village</t>
  </si>
  <si>
    <t xml:space="preserve">Offers private, personal living space and personal care for adults and seniors with mild or moderate dementia requiring 24hr Health Care Aide assistance and availability of 24 hour Licensed Practical Nurse intervention.Offers housing and support for adults with a wide range of health issues including mild or moderate dementia.
Services available may include:
rehabilitation to support healthy aging
social work
nutritious meals and snacks (some changes for special needs can be made)
weekly room cleaning
Healthcare services are assessed and authorized by Home Care.
Visit the Alberta Health Services Continuing Care website for more information.
</t>
  </si>
  <si>
    <t>Service Providers May Includehealth care aides, licensed practical nurses (LPNs), physical therapists (PTs), registered nurses (RNs), social workers
EligibilityClients are assessed to make sure they're placed in the residential care setting that can best meet their needs.
Service You can be referred by your Home Care case coordinator. If you qualify for the service, you'll have to contact the service of your choice for a housing and financial assessment.
FeesThereâ€™s a cost for housing and extra services. The costs may vary at different sites. There may be help to pay for the service if you have a low income or get income assistance.
Service LanguagesInterpreter/Translation services</t>
  </si>
  <si>
    <t>Timberstone Mews
Address42 Timberstone Way Red Deer, AlbertaT4P 0E5
Telephone1-855-371-4122 (Home Care Assessment)</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</si>
  <si>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Villa Marie
West Park Lodge</t>
  </si>
  <si>
    <t>Timberstone Mews</t>
  </si>
  <si>
    <t xml:space="preserve">Offers private, personal living space and personal care for adults and seniors with mild or moderate dementia.Offers housing and support for adults with a wide range of health issues including mild or moderate dementia.
Services available may include:
rehabilitation to support healthy aging
social work
nutritious meals and snacks (some changes for special needs can be made)
weekly room cleaning
Healthcare services are scheduled and provided by Home Care.
Visit the Alberta Health Services Continuing Care website for more information.
</t>
  </si>
  <si>
    <t>Service Providers May Includerecreation therapists, recreation therapy aides
EligibilityService is targeted primarily for residents residing in continuing care and acute care patients waiting placement; otherwise, it is only available on a consultative basis for individuals in the communities who require this service due to medical reasons.
Referral NeededA family doctor must refer.
Service LanguagesInterpreter/Translation services</t>
  </si>
  <si>
    <t>Shepherd's Care Barrhead
Address5236 59 Street Barrhead, AlbertaT7N 0A3
Telephone780-674-4506
Fax780-674-4204</t>
  </si>
  <si>
    <t>NoteService hours not available.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</si>
  <si>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Slave Lake Healthcare Centre
Smoky Lake Continuing Care Centre
St. Therese - St. Paul Healthcare Centre
Valleyview Health Centre
Westlock Continuing Care Centre
William J. Cadzow - Lac La Biche Healthcare Centre</t>
  </si>
  <si>
    <t>Shepherd's Care Barrhead</t>
  </si>
  <si>
    <t xml:space="preserve">This service supports people who have physical, mental, social, and emotional limitations that affect their ability to engage in meaningful recreation and leisure experiences by assessing past, present and future interests, abilities and strengths and providing programs that promote wellness and reduce or eliminate barriers preventing a meaningful and healthly leisure lifestyle.Therapeutic recreation is important to a personâ€™s quality of life. With this in mind, this service:
uses recreation and leisure as the primary modality to improve, maintain or prevent decline of physicial, social, cognitive, and emotional health
interventions are enjoyable, meaningful, focused and based on individual preferences, values and strenghts
strives to remove barriers to recreation and leisure participation
enables clients to continue to pursue their recreational and leisure interests/activities
addresses social needs to help prevent isolation and loneliness
helps client adjust to a placementÂ and changes in health
</t>
  </si>
  <si>
    <t>Service Providers May Includehealth care aides, licensed practical nurses (LPNs), physical therapists (PTs), registered nurses (RNs), social workers
EligibilityClients are assessed to make sure theyâ€™re placed in the residential care setting that can best meet their needs
Service You can be referred by your Home Care case coordinator. If you qualify for the service, you'll have to contact theÂ service of your choice for a housing and financial assessment.
FeesThereâ€™s a cost for housing and extra services. The costs may vary at different sites. There may be help to pay for the service if you have a low income or get income assistance.
Service LanguagesInterpreter/Translation services</t>
  </si>
  <si>
    <t>Hinton Continuing Care Centre
Address1290 Switzer Drive Hinton, AlbertaT7V 1V2
Telephone780-865-5926
Tollfree1-855-371-4122 (Continuing Care Access)
Fax1-855-776-3805 (Continuing Care Access)</t>
  </si>
  <si>
    <t>Days of the Week
Monday8:15 am - 8:00 pm
Tuesday8:15 am - 8:00 pm
Wednesday8:15 am - 8:00 pm
Thursday8:15 am - 8:00 pm
Friday8:15 am - 8:00 pm
Saturday8:15 am - 4:30 pm
Sunday8:15 am - 4:30 pm
Note
The Continuing Care Access team has a 24 / 7 voicemail option and operates during these hours, as well as statutory holidays 8:15 AM to 4:30 PM.</t>
  </si>
  <si>
    <t>Bar-V-Nook Manor
Edson Healthcare Centre
Grande Prairie Care Centre
Heimstaed Lodge
J. B. Wood Continuing Care Centre
Manoir du Lac 
Points West Living Cold Lake
Points West Living Grande Prairie
Points West Living Lac La Biche
Points West Living Peace River
Points West Living Slave Lake
Stone Brook
Wild Rose Assisted Living</t>
  </si>
  <si>
    <t>Hinton Continuing Care Centre</t>
  </si>
  <si>
    <t xml:space="preserve">Offers private, personal living space and personal care for adults and seniors with mild or moderate dementia.Provides accommodation and supportsÂ 24 / 7Â forÂ individualsÂ who require assistance with their healthcare needs. ResidentsÂ will have anÂ assigned Home Care Case Manger (RN) to coordinate service. An LPN and Health Care Aides are on-site 24 hours a day to provide support, personal care, and medication assistance.
Services may include:
personal care
meals and housekeeping
linen and laundry service
recreation programs
24-hour safety and emergency response services
Healthcare services are provided by Home Care on a scheduled basis.
Visit the Alberta Health Services Continuing Care website for more information.
</t>
  </si>
  <si>
    <t>Athabasca Healthcare Centre
Address3100 48  Avenue Athabasca, AlbertaT9S 1M9
Telephone780-675-6000
Fax780-675-7050</t>
  </si>
  <si>
    <t>Alpine Summit Seniors Lodge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</si>
  <si>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Athabasca Healthcare Centre</t>
  </si>
  <si>
    <t>Service Providers May Includeclinical nurse specialists, psychologists, social workers
Service Walk-in service only. No contact phone number.
Service LanguagesInterpreter/Translation services</t>
  </si>
  <si>
    <t>South Calgary Health Centre
Address31 Sunpark  Plaza SECalgary, AlbertaT2X 3W5</t>
  </si>
  <si>
    <t>Days of the Week
Monday4:00 pm - 7:00 pm
Tuesday4:00 pm - 7:00 pm
Wednesday4:00 pm - 7:00 pm
Thursday4:00 pm - 7:00 pm
Friday9:00 am - 12:00 pm
Note
Closed weekends and statutory holidays.</t>
  </si>
  <si>
    <t>South Calgary Health Centre</t>
  </si>
  <si>
    <t xml:space="preserve">Provides walk-in mental health therapy on a single-session basis.Walk-in therapy on a single-session basis is offered to clients of all ages.
</t>
  </si>
  <si>
    <t>Service Providers May Includehealth care aides, licensed practical nurses (LPNs), physical therapists (PTs), registered nurses (RNs), social workers
EligibilityClients are assessed to make sure theyâ€™re placed in the residential care setting that can best meet their needs.
Service You can be referred by yourÂ Home Care case coordinator. If you qualify for the service, youâ€™ll have to contact theÂ service of your choice for a housing and financial assessment.
FeesThereâ€™s a cost for housing and extra services. The costs may vary at different sites. There may be help to pay for the service if you have a low income or get income assistance.
Service LanguagesInterpreter/Translation services</t>
  </si>
  <si>
    <t>Chartwell Griesbach
Address4480 McCrae  Avenue Edmonton, AlbertaT5E 0Y5
Telephone780-496-1300 (Community Care Access)</t>
  </si>
  <si>
    <t>Balwin Villa
CapitalCare McConnell Place North
CapitalCare McConnell Place West
Chartwell Aspen House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</si>
  <si>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Chartwell Griesbach</t>
  </si>
  <si>
    <t>Alberta Hospital Edmonton
Address17480  Fort Road Edmonton, AlbertaT5J 2J7
Telephone780-342-5410
Getting ThereParking and public transportation</t>
  </si>
  <si>
    <t>Alberta Hospital Edmonton</t>
  </si>
  <si>
    <t xml:space="preserve">Provides recovery oriented day programs designed to meet the individual needs of people requiring support while recovering from mental illness and / or substance use issues.Individualized recovery plans are designed focusing on one or more of the following areas:
recreation / leisure
employment
medical management
psychological support
community engagement
housing
community resource counseling.
Services are offered individually or in a group format.
Participants have the flexibility to individualize their programming in terms of content and attendance. Strength-based services are designed to be consistent with individual needs, interests, and abilities and to assist individuals to reach their maximum level of satisfying community involvement.
</t>
  </si>
  <si>
    <t>Grande Prairie Care Centre
Address9705 94 Avenue Grande Prairie, AlbertaT8V 3A2
Telephone780-532-3525
Tollfree1-855-371-4122 (Continuing Care Access)
Fax1-855-776-3805 (Continuing Care Access)</t>
  </si>
  <si>
    <t>Bar-V-Nook Manor
Edson Healthcare Centre
Heimstaed Lodge
Hinton Continuing Care Centre
J. B. Wood Continuing Care Centre
Manoir du Lac 
Points West Living Cold Lake
Points West Living Grande Prairie
Points West Living Lac La Biche
Points West Living Peace River
Points West Living Slave Lake
Stone Brook
Wild Rose Assisted Living</t>
  </si>
  <si>
    <t>Grande Prairie Care Centre</t>
  </si>
  <si>
    <t>Service Providers May Includemental health therapists, occupational therapists (OTs), registered nurses (RNs)
EligibilityFor adults 65 years and older.
Service Healthcare providers should consult the Alberta Referral Directory for service referral information.
Service LanguagesInterpreter/Translation services</t>
  </si>
  <si>
    <t>Whitecourt Healthcare Centre
Address20 Sunset Boulevard Whitecourt, AlbertaT7S 1M8
Telephone780-706-3281
Fax780-706-7154
Getting ThereSouth of Highway 43</t>
  </si>
  <si>
    <t>Edson Healthcare Centre
Hinton Community Health Services
Lac La Biche Provincial Building
Seton - Jasper Healthcare Centre
St. Therese - St. Paul Healthcare Centre</t>
  </si>
  <si>
    <t>Whitecourt Healthcare Centre</t>
  </si>
  <si>
    <t xml:space="preserve">This program provides consultation and assessment for the purpose of facilitating diagnosis and treatment of geriatric clients with psychiatric disorders.The team can facilitate referrals to Addiction and Mental health Services, Psychiatric Services, Support Networks and Community Resources.
Assessments can be completed at a lodge, clinic, client home, hospital or long term care facility.
Appropriate referrals include assessments for all dementia types, declining mental health and anxiety, mood disorders (depression), psychosis (schizophrenia), or adjustment disorders where traditional adult mental health services are not appropriate.
Outcomes may include referral to:
local mental health clinic
psychiatry
home care
allied health
social work
community resources
</t>
  </si>
  <si>
    <t>Service Providers May Includeoutreach workers, psychiatrists, psychologists, registered nurses (RNs), social workers
EligibilityResidents of rural communities to the South of Calgary with moderate to severe mental illness and / or addiction presentation.
Service Healthcare providers should consult the Alberta Referral Directory for service referral information.
Â 
Full service self-referral through the intake line; call 1 877 652 4700.
Professional referrals needed to access Geriatric Mental Health Program Psychiatry.
Wait TimesAn estimated wait time will be provided at the time of appointment booking.
Service LanguagesInterpreter/Translation services</t>
  </si>
  <si>
    <t>Addiction and Mental Health Clinic - Strathmore
Address205 3 Avenue Strathmore, AlbertaT1P 1K2
Telephone1-877-652-4700 (Intake Line)
AccessibilityMain entranceElevators
Getting ThereEnter through East door. Offices upstairs.</t>
  </si>
  <si>
    <t>Days of the Week
Monday8:00 am - 4:30 pm
Tuesday8:00 am - 4:30 pm
Wednesday8:00 am - 8:00 pm
Thursday8:00 am - 8:00 pm
Friday8:00 am - 4:30 pm</t>
  </si>
  <si>
    <t>Airdrie Provincial Building
Banff Community Health Centre
Canmore Boardwalk Building
Chestermere Community Health Centre
Claresholm Addiction and Mental Health Clinic
Cochrane Addiction and Mental Health Clinic 
Didsbury District Health Services
High River Addiction and Mental Health Clinic 
Nanton Community Health Centre
Oilfields General Hospital
Okotoks Mental Health Centre</t>
  </si>
  <si>
    <t>Addiction and Mental Health Clinic - Strathmore</t>
  </si>
  <si>
    <t xml:space="preserve">Assesses and treats people with mental health and addiction problems.Provides information, consultation, referral and appointments to individuals of all ages residing in the geographic areas surrounding Calgary, experiencing moderate to severe mental illness and/or addiction.
Clinicians work over the telephone to help people navigate the Addiction and Mental Health system in rural areas. They are familiar with both Alberta Health Services and community based programs and will explore options, direct/refer individuals to the most appropriate resource and, if appropriate, book them into Addiction and Mental Health services.Â 
Community Addiction and Mental Health Services - RuralÂ are Non-Urgent Services.
Â 
</t>
  </si>
  <si>
    <t>Service Providers May Includeaddiction counselors, mental health clinicians
Service Services are provided by appointment and on a walk in / drop in basis.
Service LanguagesInterpreter/Translation services</t>
  </si>
  <si>
    <t>Seton - Jasper Healthcare Centre
Address518 Robson Street Jasper, AlbertaT0E 1E0
Telephone780-852-6706
Tollfree1-866-332-2322 (24 Hour Help Line)
Getting ThereLocated behind the Jasper Emergency Services Building.</t>
  </si>
  <si>
    <t>Days of the Week
Monday8:15 am - 4:30 pm
Wednesday8:15 am - 4:30 pm
Thursday8:15 am - 4:30 pm</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</si>
  <si>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Slave Lake 101 3 Street
St. Paul Provincial Building
Whitecourt Provincial Building</t>
  </si>
  <si>
    <t>Seton - Jasper Healthcare Centre</t>
  </si>
  <si>
    <t xml:space="preserve">Intake a brief one on one session with a member of the Integrated Crisis and Access Team.Brief screeningÂ for addiction and mental health issues and referral to most appropriate services and supports.
</t>
  </si>
  <si>
    <t>Service Providers May Includemental health therapists, psychiatrists
EligibilityFor children and youth under 18 years
Referral NeededReferral is needed
Appointments should be made by the child's parents or guardians
Referrals are accepted from family physicians. Some youth schedule appointments for themselves
Third party referrals are not generally accepted
Wait TimesClinics attempt to schedule children and youth to see a therapist within 24 hours, 14 days or 30 days depending upon symptoms, urgency and risk.
Service LanguagesInterpreter/Translation services</t>
  </si>
  <si>
    <t>Onoway Mental Health Services
Address5115 Lac St. Anne Trail Onoway, AlbertaT0E 1V0
Telephone780-967-9117
Tollfree1-877-303-2642 (24 hr Help Line)
Fax780-967-2547</t>
  </si>
  <si>
    <t>Days of the Week
Monday8:00 am - 4:30 pm
Tuesday8:00 am - 4:30 pm
Wednesday8:00 am - 4:30 pm
Thursday8:00 am - 4:30 pm
Friday8:00 am - 4:30 pm
Note
Closed 12:00 PM to 1:00 PM, and statutory_x000D_
holidays.</t>
  </si>
  <si>
    <t>/affiliations
Departments of Education and Human Services; FCSS, Parent Link Centres, community agencies</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</si>
  <si>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</si>
  <si>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 xml:space="preserve">Provides individual, group, couple and family therapy to children, youth and their families experiencing mental illness.Treatment is provided using a variety of interventions to children who experience
mood problems with impairment in functioning (health, learning, family, socialization)
anxiety problems with impairment in functioning (health, learning, family, socialization)
trauma-related experiences with impairment in functioning (health, learning, family, socialization)
suicidal behaviour
psychosis
complex social, emotional, behavioral problems should be screened in as case coordination and referral may be required. These may include children with Pervasive Developmental Disorder, complex trauma, Fetal Alcohol Spectrum disorder etc.
behavioral issues that are significant and present in multiple settings, consider assessment before referral to other agencies. These externalizing behaviors may be a sign of mood or anxiety disorders
Children who would be referred to other health care services or community agencies for a first intervention include:
diagnosis for pervasive developmental disorders, should be referred to the family physician or other specialist assessment
tic disorders and tourettes would be referred to family physician for specialist referral
grief, separation and loss without associated functional impairment. The initial referral would be to school based or school linked services or to a community resource if available and/or to a walk in clinic where this service exists when some impairment is identified
referrals related to disorder eating should be referred to physician and dietitian for follow up. Staff may be involved in case conferencing and planning for services
substance use problems are referred to Addiction Services where substance use is primary
psychoeducational and learning assessments will be referred to Education. Some clinics may have a wider range of services available. The assigned therapist will discuss available services with the client
</t>
  </si>
  <si>
    <t>Red Deer 49 Street Community Health Centre - Addiction and Mental Health Services
Address4733 49 Street Red Deer, AlbertaT4N 1T6
Telephone403-340-5466
Getting TherePublic transportation available</t>
  </si>
  <si>
    <t>Days of the Week
Tuesday8:00 am - 3:00 pm</t>
  </si>
  <si>
    <t>Red Deer 49 Street Community Health Centre - Addiction and Mental Health Services</t>
  </si>
  <si>
    <t xml:space="preserve">For people who have mental health concerns.Offers people one-time meetings for counselling with a mental health worker.
Â 
</t>
  </si>
  <si>
    <t>Service Providers May Includeregistered nurses (RNs)</t>
  </si>
  <si>
    <t>Cochrane Community Health Centre
Address60 Grande Boulevard Cochrane, AlbertaT4C 0S4
Telephone403-932-8700
Fax403-932-7219</t>
  </si>
  <si>
    <t>Acadia Community Health Centre
Airdrie Community Health Centre
Banff Community Health Centre
Canmore Provincial Building
Claresholm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</si>
  <si>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Cochrane Community Health Centre</t>
  </si>
  <si>
    <t xml:space="preserve">Provides public health nursing support to school communities (students, staff and families) in the Calgary Zone. Support includes student vaccination services, health promotion, disease and injury prevention, health surveillance and population health initiatives.This service offers:
public health nursing time and support to all schools in the region. Works in partnership with school communities to promote health and develop strong, supportive communities using a comprehensive school health approach.
health promotion activities and support healthy eating-active living, injury prevention and positive social environments
teachers, parents and students can consult with a public health nurse for nursing assessment of concerns about physical, emotional or social well-being.
school aged immunizations through school based programs. Routine immunization programs occur in grades 1, 5 and 9
public health nurses monitor, report and respond to communicable disease outbreaks within the school community
</t>
  </si>
  <si>
    <t>Service Providers May Includemental health promotion facilitators, mental health therapists,nurses, occupational therapists, psychiatrists, psychologists, social workers
Service Healthcare providers should consult the Alberta Referral Directory for service referral information.
Call a location for information on how to access this service.
Service LanguagesInterpreter/Translation services</t>
  </si>
  <si>
    <t>Peace River Community Mental Health Services
Address10015 98  Street Peace River, AlbertaT8S 1T4
Telephone780-624-6151
Fax780-624-6565
Getting ThereNo public transportation to services in any of our communities.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</si>
  <si>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</si>
  <si>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Peace River Community Mental Health Services</t>
  </si>
  <si>
    <t xml:space="preserve">Mental Health Services help individual and family members who are experiencing mental health problems. Services are available to all ages.Mental health problems may include mental illness such as:
depression
postpartum depression
anxiety
obsessive compulsive disorder
schizophrenia
If you are not sure if these services are right for you, you can ask to talk to one of our therapists for assistance.
How do I obtain services?
no referral is necessary and our services are free to Albertans as our costs are covered by your Alberta Health Care
you can call yourself or a medical practitioner can also refer you
What do we do?
talk to all callers as soon as possible (one business day)
discuss problem with caller and develop a plan to meet needs
provide mental health services through community programs
What services are provided?
Â assessment, diagnosis, treatment, therapy and support
Â referrals to other professional or community agencies when appropriate
Â services and support to mental health patients discharged from hospitals to assistÂ them in returning to community life
Â Information to individuals, community agencies or groups about mental health/ illness and suicide prevention
What additional community supports are available?
mental health promotion and prevention
support for the seriously mentally ill in the community.
contact the nearest clinic for information on possible travel clinics
</t>
  </si>
  <si>
    <t>Service Providers May Includeregistered nurses (RNs), social workers
Service Healthcare providers should consult the Alberta Referral Directory for service referral guidelines and referral forms.
Wait TimesAn estimated wait time will be provided at the time of appointment booking.
Service LanguagesInterpreter/Translation services</t>
  </si>
  <si>
    <t>Rockyview General Hospital
Address7007 14 Street SWCalgary, AlbertaT2V 1P9
Websitehttp://www.albertahealthservices.ca
Getting ThereParking available
Parking map</t>
  </si>
  <si>
    <t>Days of the Week
Monday8:00 am - 6:00 pm
Tuesday8:00 am - 6:00 pm
Wednesday8:00 am - 6:00 pm
Thursday8:00 am - 6:00 pm
Friday8:00 am - 6:00 pm</t>
  </si>
  <si>
    <t>Foothills Medical Centre
Peter Lougheed Centre
South Health Campus</t>
  </si>
  <si>
    <t>Rockyview General Hospital</t>
  </si>
  <si>
    <t xml:space="preserve">Offers follow-up for clients in the community who were referred by psychiatric emergency services.Team members meet with clients in their homes or in the community to provide emotional or mental health support, intervention, and problem solving, including:
client follow-up and support
health and wellness education and information
putting clients in contact with other services
Services are provided for up to one month. Clients will be put in contact with a long term service if they need further mental health support.Â 
</t>
  </si>
  <si>
    <t>Service Providers May Includedoctors, licensed practical nurses (LPNs), midwives, registered nurses (RNs), social workers, support staff
EligibilityLow risk care provided at Canmore, High River hospitals
Low risk and high risk care provided at Foothills, Peter Lougheed, Rockyview, and South Health Campus hospitals
Highest risk, tertiary care provided at Foothills Medical Centre
Referral NeededA physician / midwife referral is needed.
Service You will be admitted by your family doctor, obstetrician, midwife or the emergency room.
Service LanguagesInterpreter/Translation services</t>
  </si>
  <si>
    <t>South Health Campus
Address4448 Front Street SECalgary, AlbertaT3M 1M4
Telephone403-956-1111(Switchboard)
Getting ThereParking available
Parking map</t>
  </si>
  <si>
    <t>Canmore General Hospital
Foothills Medical Centre
High River General Hospital
Peter Lougheed Centre
Rockyview General Hospital</t>
  </si>
  <si>
    <t>South Health Campus</t>
  </si>
  <si>
    <t xml:space="preserve">Provides care for pregnant women and their newborn babies.24/7 care for pregnantÂ women and newborn babies, which includes:
assessment and treatment
referrals to other healthcare providers
labour and delivery support
vaginal deliveries
c-section deliveries
postpartum care
care for pregnancy complications
breastfeeding support
teaching as needed
discharge planning
grief counselling
Â 
</t>
  </si>
  <si>
    <t>Swan Hills Healthcare Centre
Address29 Freeman Drive Swan Hills, AlbertaT0G 2C0
Telephone780-333-7077
Fax780-333-7009</t>
  </si>
  <si>
    <t>Days of the Week
Monday8:30 am - 4:30 pm
Tuesday8:30 am - 4:30 pm
Wednesday8:30 am - 4:30 pm
Thursday8:30 am - 4:30 pm</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</si>
  <si>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Thorhild Community Health Services
Trout / Peerless Lake Health Centre
Wabasca / Desmarais Community Health Services
Westlock Community Health Services
Whitecourt Healthcare Centre</t>
  </si>
  <si>
    <t>Swan Hills Healthcare Centre</t>
  </si>
  <si>
    <t xml:space="preserve">Provides support to women and families living with postpartum depression (PPD).Supports women and families experiencing postpartum depression (PPD).
</t>
  </si>
  <si>
    <t>Service Providers May Includesite coordinators
EligibilityYouth and adults, ages 12 years and older.
Service Contact individual locations for information on how to access the program.</t>
  </si>
  <si>
    <t>Red Deer and Area - Information / Registration / Appointments
Telephone403-342-4966 (Coordinator)
Websitehttp://www.suicidehelp.ca/</t>
  </si>
  <si>
    <t>Days of the Week
Monday8:00 am - 4:00 pm
Tuesday8:00 am - 4:00 pm
Wednesday8:00 am - 4:00 pm
Thursday8:00 am - 4:00 pm
Friday8:00 am - 4:00 pm</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</si>
  <si>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Slave Lake - Information / Registration / Appointments
Southland Park III - Southport Atrium
University of Alberta - Administration Building</t>
  </si>
  <si>
    <t>Red Deer and Area - Information / Registration / Appointments</t>
  </si>
  <si>
    <t xml:space="preserve">The Community Helpers Program is a suicide prevention program that is targeted for youth and adults ages 12 and over. It can be delivered in both school and community settings.The Community Helpers Program takes place in community-based settings (schools, workplaces, community organizations) and enhances community capacity for mental health through an assets based approach.Â  Primarily, the Community Helpers Program targets youth and young adults between the ages of 12-30.Â 
In every community there are people whom others naturally turn to for support.Â  They are from all walks of life and are considered by others to be helpers. Helpers possess characteristics like empathy, care, and compassion.Â  The Community Helpers Program identifies these helpers and offers training to strengthen their natural abilities. Helpers learn a variety of topics and skills including effective communication, self-care, coping with stress, knowing when to refer people to professional services, handling crisis situations, and suicide awareness.Â  In addition to developing skills and increasing knowledge, Helpers are introduced to community services and professional supports.Â  This connection bridges informal and formal supports in the community, enabling helpers to refer peers and family to expert support when needed.
Objectives of the Community Helpers Program include:
Bridge â€œformalâ€ and â€œinformalâ€ support for young people
Early identification of young people who may be at risk
Prevention and early intervention
Provide young people and community with accurate information and resources
Link young people to existing service providers
Build community capacity for mental health promotion
Reduce stigma of mental health and suicide by raising awareness and understanding of the factors that contribute to poor mental health and suicide
</t>
  </si>
  <si>
    <t>Service Providers May Includemental health therapists, psychiatrists
EligibilityAdults 18 years of age and older.
Referral NeededClient can self refer. Referrals are accepted from family physicians and other health care providers but not from third parties- eg spouse, employer etc.
Wait TimesVaries depending upon risk and urgency and also varies by community.
Service LanguagesInterpreter/Translation services</t>
  </si>
  <si>
    <t>Hinton Community Health Services
Address1280A Switzer Drive Hinton, AlbertaT7V 1T5
Telephone780-865-8247
Tollfree1-844-817-5009 (Central Intake), 1-877-303-2642 (24 hr Help Line)
Fax780-865-8327
Getting ThereLocated adjacent to the Hinton Healthcare Centre</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</si>
  <si>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</si>
  <si>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Hinton Community Health Services</t>
  </si>
  <si>
    <t xml:space="preserve">Provides short term treatment for persons experiencing a range of mental health concerns.Provides individual, couples, group or family therapy to adults:
who are suicidal or at risk for suicide
who have an Axis I diagnosis
who are experiencing a significant impairment in functioning meaning that they are not able to carry out daily activities of living
Clients initially speak with an intake therapist who determines eligibility, risk and urgency. They connect the client with the most appropriate mental health program or refer clients to an appropriate community agency.
The assigned therapist establishes treatment goals with the client based on symptoms and the clients identified goals.
Therapists work collaboratively with family physicians and may refer clients to a psychiatrist, if necessary.
</t>
  </si>
  <si>
    <t>Dr. W. R. KEIR - Barrhead Continuing Care Centre
Address5336 59 Avenue Barrhead, AlbertaT7N 1L2
Telephone780-674-4506  Ext 235
Fax780-674-3003</t>
  </si>
  <si>
    <t>Alpine Summit Seniors Lodge
Athabasca Healthcare Centre
Bonnyville Healthcare Centre 
Cold Lake Healthcare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</si>
  <si>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Dr. W. R. KEIR - Barrhead Continuing Care Centre</t>
  </si>
  <si>
    <t>Service Healthcare providers should consult the Alberta Referral Directory for service referral information.
Call the office to book an appointment. If you are having a crisis, go to the nearest emergency department.
Wait TimesDepends on how urgent the need is.
Service LanguagesInterpreter/Translation services</t>
  </si>
  <si>
    <t>Our Lady of the Rosary Hospital 
Address5402 47 Street Castor, AlbertaT0C 0X0
Telephone403-743-2000
Tollfree24 Hour Mental Health Help Line 1 877-303-2642, 24 Hour Addiction Help Line 1 877-332-2322
Fax403-740-8880</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</si>
  <si>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</si>
  <si>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 xml:space="preserve">Our Lady of the Rosary Hospital </t>
  </si>
  <si>
    <t xml:space="preserve">Offers services for children, adults and older adults with addiction and mental health issues.Addiction services include: assessment, treatment and referral for clients with alcohol, tobacco and other drug or gambling concerns. Short-term out patient treatment services include individual, family and group counselling.
Addiction Prevention Support may include:
consultation
prevention activity planning
education
prevention activities
addiction treatment services
other support as needed
Mental Health Services are provided for individuals with mental health issues, including helping people access the best service for them as quickly as possible (centralized access). This service includes programs for:
adults (18 years and older) who are having emotional and mental problems that are affecting their lives (depression, schizophrenia, anxiety, bipolar, suicide)
children (under 18 years) who have mental health issues that are affecting their daily life
older adults (65 years and older) who need assessment, treatment, and rehabilitation for thought and mood disorders or dementia
Crisis Services are available through the local emergency department or by calling 911.
</t>
  </si>
  <si>
    <t>Chartwell Heritage Valley
Address944 James Mowatt  Trail Edmonton, AlbertaT6W 2B2
Telephone780-784-4111</t>
  </si>
  <si>
    <t>Balwin Villa
CapitalCare McConnell Place North
CapitalCare McConnell Place West
Chartwell Aspen House
Chartwell Griesbach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</si>
  <si>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Chartwell Heritage Valley</t>
  </si>
  <si>
    <t>St. Michael's Health Centre
Address1400 9 Avenue SLethbridge, AlbertaT1J 4V5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</si>
  <si>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Therese Villa
Sunny South Lodge
Sunrise Gardens</t>
  </si>
  <si>
    <t>St. Michael's Health Centre</t>
  </si>
  <si>
    <t>Service Providers May Includeaddiction counselors, mental health counselors, psychiatrists, registered nurses (RNs), social workers, psychologists
EligibilityAdults (young adults under 18 may be considered)
Service Healthcare providers should consult the Alberta Referral Directory for service referral information.
Self referral, PCN, and other community agencies can call main reception, then linked to intake worker for screening and triage. Faxed referrals also accepted.
Wait TimesAn estimated wait time will be provided at the time of appointment booking.
Service LanguagesInterpreter/Translation services</t>
  </si>
  <si>
    <t>Fort Saskatchewan Community Hospital
Address9401 86 Avenue Fort Saskatchewan, AlbertaT8L 0C6
Telephone780-342-2388
Fax780-342-3348
Getting ThereParking and Public transportation available</t>
  </si>
  <si>
    <t>Days of the Week
Monday8:00 am - 4:30 pm
Tuesday8:00 am - 4:30 pm
Wednesday8:00 am - 4:30 pm
Thursday8:00 am - 4:30 pm
Friday8:00 am - 4:30 pm
Note
Closed statutory holidays.</t>
  </si>
  <si>
    <t>Beaumont Public Health Centre
Centre Hope Building 
Devon General Hospital
Gibbons Health Unit
Good Samaritan Pembina Village
Morinville Provincial Building
Redwater Health Centre 
St. Albert Provincial Building
Stan Woloshyn Building
Strathcona Community Hospital
Thorsby Public Health Centre
WestView Health Centre - Stony Plain</t>
  </si>
  <si>
    <t>Fort Saskatchewan Community Hospital</t>
  </si>
  <si>
    <t xml:space="preserve">Provides assessment and short term treatment for adults who are experiencing emotional problems and / or addiction concerns that are interfering with their day-to-day functioning.Care is coordinated by a mental health therapist and / or addiction counselor. Goal directed services are tailored to the needs of individual clients. The number of sessions are based on need and motivation of the client.
Services may include:
individual therapy
group therapy
medication management
psychiatric consultation
case management
crisis stabilization
referral for an ILS worker.
Where possible, clients are connected with their community and are helped to make positive use of available resources to meet their housing, employment, health, and leisure needs.
</t>
  </si>
  <si>
    <t>Northwest Health Centre 
Address11202 100 Avenue High Level, AlbertaT0H 1Z0
Telephone780-841-3229
Fax780-926-3738</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</si>
  <si>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</si>
  <si>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 xml:space="preserve">Northwest Health Centre </t>
  </si>
  <si>
    <t>Service Providers May Includeaddiction counselors, psychiatrists, psychologists, registered nurses (RNs), social workers
EligibilityAdults and youth living with severe and persistent mental disorders who have been charged with low risk minor offences that require immediate support and referral to mental health services.
All other indididuals are assessed on a case-by-case basis.
Referral NeededAll referrals must be signed and approved by a crown prosecutor at court.
Service Call yourÂ local Mental Health Diversion Service Site for service access.
Wait TimesApproximately 1 month from charge(s) being referred.
Service LanguagesInterpreter/Translation services</t>
  </si>
  <si>
    <t>Peace River Community Mental Health Services
Address10015 98  Street Peace River, AlbertaT8S 1T4
Telephone780-618-4552
Fax780-624-6565
Getting ThereNo public transportation to services in any of our communities.</t>
  </si>
  <si>
    <t>Days of the Week
Monday8:00 am - 4:30 pm</t>
  </si>
  <si>
    <t>/affiliations
Justice and Solicitor General (JSG), Municipal Police Services, RCMP</t>
  </si>
  <si>
    <t>Centre of Hope
Edmonton 108 Street Building 
Fort McMurray Queen Street Building 
Grande Prairie Aberdeen Centre
Lethbridge Provincial Building
Red Deer 49 Street Community Health Centre - Addiction and Mental Health Services
Regional Resource Centre - Medicine Hat Regional Hospital
St. Therese - St. Paul Healthcare Centre</t>
  </si>
  <si>
    <t xml:space="preserve">Adults and youth with a suspected or diagnosed mental disorder who have been charged with a low risk minor offence(s) are diverted from the criminal justice system to appropriate community supports.This program:
links clients to long term local community-based services in order to address mental health, addiction, social, physical, education, life skills, and/or spiritual health needs.Â 
provides short-term treatment by utilizing a number of different treatment modalities such as Cognitive Behavioral Therapy (CBT), Brief Solution Focused Therapy, and other treatment modalities as available in line with staff education and experience.
Clients who successfully complete their goals within the allotted court adjournment time (three months for adults and four months for youth) will have their charge(s) withdrawn by the crown.
Clients who are unsuccessful in the program will have their charge(s) returned to court. Recommendations may be provided to the crown prosecutors to assist in sentencing provisions in relation to mental health and addiction treatment.
</t>
  </si>
  <si>
    <t>Fairview Health Complex
Address10628 110 Street Fairview, AlbertaT0H 1L0
Telephone780-835-6149
Tollfree1-877-303-2642 (24 hr Help Line)
Fax780-835-6185</t>
  </si>
  <si>
    <t>Athabasca Community Health Services
Barrhead Healthcare Centre
Beaverlodge Community Health Services
Bonnyville New Park Place
Cold Lake Healthcare Centre
Edson Healthcare Centre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</si>
  <si>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Fairview Health Complex</t>
  </si>
  <si>
    <t>Service Providers May Includeregistered nurses (RNs), registered psychiatric nurses, social workers
Referral Neededdoctor, acute care, home care or long term care program referral is required
Service The Continuing Care Counselor is available at all sites by referral through: doctor, home care, long term care or acute care program.
Wait Times1 to 7 days</t>
  </si>
  <si>
    <t>Coronation Community Health Centre
Address4909 Royal Street Coronation, AlbertaT0C 1C0
Telephone403-578-3200</t>
  </si>
  <si>
    <t>Days of the Week
Monday8:30 am - 4:30 pm
Tuesday8:30 am - 4:30 pm
Wednesday8:30 am - 4:30 pm
Thursday8:30 am - 4:30 pm
Friday8:30 am - 4:30 pm
Note
Closed from 12:00 PM to1:00 PM for lunch.</t>
  </si>
  <si>
    <t>Bashaw Community Health Centre
Bentley Care Centre
Breton Health Centre
Camrose Home Care 
Castor Community Health Centre
Consort Community Health Centre
Consort Hospital and Care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</si>
  <si>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Coronation Community Health Centre</t>
  </si>
  <si>
    <t xml:space="preserve">Offers counselling for people in continuing care and their families.Helps people in all areas of health care, their families, and caregivers by providing:
short-term counselling to help manage change
grief counselling
in home visits
referrals to other specialized services or resources
support groups for caregivers (in some areas)
information on housing options, advance care planning, and end-of-life planning
referrals to other healthcare providers and agencies, as needed
cognitive assessments
Counselling is offered in peopleâ€™s homes, at lodges, hospitals, continuing care centres and supportive living residences.
</t>
  </si>
  <si>
    <t>Hinton Community Health Services
Address1280A Switzer Drive Hinton, AlbertaT7V 1T5
Telephone780-865-2277
Fax780-865-3727
Getting ThereLocated adjacent to the Hinton Healthcare Centre</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</si>
  <si>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</si>
  <si>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Bonnyville New Park Place
Address5201 44  Street Bonnyville, AlbertaT9N 2G5
Telephone780-826-2404
Tollfree1-877-303-2642 (24 hr Help Line)
Fax780-826-6114
Getting ThereLocated in the Bonnyville Remax Building, 2nd Floor.</t>
  </si>
  <si>
    <t>Athabasca Community Health Services
Barrhead Healthcare Centre
Beaverlodge Community Health Services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</si>
  <si>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Bonnyville New Park Place</t>
  </si>
  <si>
    <t>Chestermere Community Health Centre
Address288 Kinniburgh Boulevard Chestermere, AlbertaT1X 0V8
Tollfree1-877-652-4700 (Intake Line)
Getting ThereOn the corner of Kunniburgh Dr and Kinniburgh Blvd.</t>
  </si>
  <si>
    <t>Days of the Week
Monday8:00 am - 4:15 pm
Tuesday8:00 am - 4:15 pm
Wednesday8:00 am - 4:15 pm
Thursday8:00 am - 4:15 pm
Friday8:00 am - 4:15 pm
Note
Evening clinics vary. Call for hours of operation</t>
  </si>
  <si>
    <t>Addiction and Mental Health Clinic - Strathmore
Airdrie Provincial Building
Banff Community Health Centre
Canmore Boardwalk Building
Claresholm Addiction and Mental Health Clinic
Cochrane Addiction and Mental Health Clinic 
Didsbury District Health Services
High River Addiction and Mental Health Clinic 
Nanton Community Health Centre
Oilfields General Hospital
Okotoks Mental Health Centre</t>
  </si>
  <si>
    <t>Chestermere Community Health Centre</t>
  </si>
  <si>
    <t>Service Providers May Includeregistered nurses (RNs), occupational therapists, psychiatrists, psychologists, social workers, speech-language pathologists, teachers
EligibilityMust have tried community and outpatient programs.
Wait TimesAn estimated wait time will be provided at the time of appointment booking.
Service LanguagesInterpreter/Translation services</t>
  </si>
  <si>
    <t>Royal Alexandra Hospital
Address10240 Kingsway  Avenue NWEdmonton, AlbertaT5H 3V9
AccessibilityEntrance.Elevators
Getting ThereParking and Public transportation available</t>
  </si>
  <si>
    <t>/affiliations
Edmonton Public Schools</t>
  </si>
  <si>
    <t>Glenrose Rehabilitation Hospital</t>
  </si>
  <si>
    <t>Royal Alexandra Hospital</t>
  </si>
  <si>
    <t xml:space="preserve">Provides an inpatient program for children and youth with complex mental health problems that cannot be treated in community-based programs.This inpatient program includes classroom participation. Multi-disciplinary treatment and developing recommendations for management in home and community school are the focus.
</t>
  </si>
  <si>
    <t>Legacy Lodge
Address335 Lettice Perry Road NLethbridge, AlbertaT1H 5V7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</si>
  <si>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Leisure Way
Masterpiece Southland Meadows
Meadow Ridge Seniors Village
Piyami Place
River Ridge Seniors Village
St. Michael's Health Centre
St. Therese Villa
Sunny South Lodge
Sunrise Gardens</t>
  </si>
  <si>
    <t>Legacy Lodge</t>
  </si>
  <si>
    <t>Service Providers May Includehealth care aides, licensed practical nurses (LPNs), physical therapists (PTs), registered nurses (RNs), social workers
EligibilityClients are assessed to make sure theyâ€™re placed in the residential care setting that can best meet their needs.
Service You can be referred by your Home Care case coordinator. If you qualify for the service, you'll have to contact the service of your choice for a housing and financial assessment.
FeesThereâ€™s a cost for housing and extra services. The costs may vary at different sites. There may be help to pay for the service if you have a low income or get income assistance.
Service LanguagesInterpreter/Translation services</t>
  </si>
  <si>
    <t>Wentworth Manor / The Residence and The Court
Address5709 14 Avenue SWCalgary, AlbertaT3H 3M2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</si>
  <si>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Whitehorn Village Retirement Community
Wing Kei Greenview</t>
  </si>
  <si>
    <t>Wentworth Manor / The Residence and The Court</t>
  </si>
  <si>
    <t>High Prairie Health Complex
Address5101 38 Street High Prairie, AlbertaT0G 1E0
Telephone780-523-6490
Fax780-523-6491</t>
  </si>
  <si>
    <t>Athabasca Community Health Services
Barrhead Healthcare Centre
Beaverlodge Community Health Services
Bonnyville New Park Place
Cold Lake Healthcare Centre
Edson Healthcare Centre
Fairview Health Complex
Grande Prairie Nordic Court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</si>
  <si>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High Prairie Health Complex</t>
  </si>
  <si>
    <t>Northern Lights Regional Health Centre
Address7 Hospital Street Fort McMurray, AlbertaT9H 1P2
Telephone780-791-6194
Fax780-791-6219
Emailtammy.o'quinn@albertahealthservices.ca
Getting ThereParking map</t>
  </si>
  <si>
    <t>Days of the Week
Monday8:00 am - 4:15 pm
Tuesday8:00 am - 4:15 pm
Wednesday8:00 am - 4:15 pm
Thursday8:00 am - 4:15 pm
Friday8:00 am - 4:15 pm</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</si>
  <si>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</si>
  <si>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Northern Lights Regional Health Centre</t>
  </si>
  <si>
    <t>Service Providers May Includedoctors, psychiatrists, registered nurses (RNs), social workers
EligibilityChildren and adolescents with mental health concerns that impact abilities in daily functioning.
The following locations ONLY provide Mental Health services to adolescents over the age of 14 years:
Foothills Medical Centre
Rockyview General Hospital
South Health Campus
Peter Lougheed Centre
Wait TimesWait time varies.
Service LanguagesInterpreter/Translation services</t>
  </si>
  <si>
    <t>Foothills Medical Centre
Address1403 29 Street NWCalgary, AlbertaT2N 2T9
Getting ThereParking available
Parking map</t>
  </si>
  <si>
    <t>Note
Psychiatric Emergency Services are provided from 8:00 AM to 2:00 PM 7 days per week.</t>
  </si>
  <si>
    <t>Alberta Children's Hospital
Peter Lougheed Centre
Rockyview General Hospital
South Health Campus</t>
  </si>
  <si>
    <t>Foothills Medical Centre</t>
  </si>
  <si>
    <t xml:space="preserve">Offers assessment and consultation for children or adolescents with urgent and/or emergent mental health needs.This service provides:
assessments for children and teens with mental health concerns
consultations with families
recommendations to doctors about admissions and/or community support
discharge planning and counselling for children and teens in the hospital
short-term follow-up for clients once they have been discharged
See Eligibility field for information on who is eligible for this service.
Alberta Children's Hospital has a Mental Health Inpatient Unit.
</t>
  </si>
  <si>
    <t>Service Providers May Includeregistered nurses (RNs)
EligibilityStudents in school.
Service Students needs to be referred by a teacher or parent for a vision or hearing test.
Service LanguagesInterpreter/Translation services</t>
  </si>
  <si>
    <t>Beaverlodge Community Health Services
Address412 10A Street Beaverlodge, AlbertaT0H 0C0
Telephone780-354-1550
Fax780-354-2647</t>
  </si>
  <si>
    <t>Days of the Week
Monday8:30 am - 4:30 pm
Tuesday8:30 am - 4:30 pm
Wednesday8:30 am - 4:30 pm
Thursday8:30 am - 4:30 pm
Friday8:30 am - 4:30 pm</t>
  </si>
  <si>
    <t>Athabasca Community Health Services
Barrhead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</si>
  <si>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Beaverlodge Community Health Services</t>
  </si>
  <si>
    <t xml:space="preserve">Provides healthcare for students in school.Provides healthcare in schools.
Services include:
immunizations
skins tests to check for tuberculosis
vision and hearing tests
education and consultations about contagious diseases
</t>
  </si>
  <si>
    <t>Grande Prairie Aberdeen Centre
Address9728 101 Avenue Grande Prairie, AlbertaT8V 5B6
Telephone780-833-4323, 587-259-5513 (ICAT Intake)
Tollfree1-866-332-2322 (24 Hour Help Line)
Fax780-538-5256</t>
  </si>
  <si>
    <t>Days of the Week
Monday8:00 am - 4:30 pm
Tuesday8:00 am - 4:30 pm
Wednesday8:00 am - 4:30 pm
Thursday8:00 am - 4:30 pm
Friday8:00 am - 4:30 pm
Note
Intake â€“ ICAT â€“ Integrated Crisis and Access TeamMonday - Friday (Walk in Clinic) 9:00 AM-4:00 PM
Closed on Statutory Holidays</t>
  </si>
  <si>
    <t>Centre of Hope
Edmonton 108 Street Building 
Fort McMurray Queen Street Building 
Lethbridge Provincial Building
Peace River Community Mental Health Services
Red Deer 49 Street Community Health Centre - Addiction and Mental Health Services
Regional Resource Centre - Medicine Hat Regional Hospital
St. Therese - St. Paul Healthcare Centre</t>
  </si>
  <si>
    <t>Grande Prairie Aberdeen Centre</t>
  </si>
  <si>
    <t>Service Providers May Includeeating disorder specialists, local health care providers
EligibilityAvailable to all ages by telephone, videoconferencing, or in person.
Service LanguagesInterpreter/Translation services</t>
  </si>
  <si>
    <t>Northwest Health Centre 
Address11202 100 Avenue High Level, AlbertaT0H 1Z0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</si>
  <si>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</si>
  <si>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 xml:space="preserve">Provides services for individuals and health care providers related to eating disorders.Offers services forÂ individuals, families and health care providers including:
education
resources
individualized support
consultations
assistance with referrals toÂ appropriate services
Counselling is completed in collaboration with other health care providers.
Workshops and in-services are available.
</t>
  </si>
  <si>
    <t>Service Providers May Includedevelopmental pediatricians, dietitians, registered nurses (RNs), occupational therapists (OTs), pediatric psychiatrists, psychologists, social workers, speech language pathologists
EligibilityChildren 0 to 17 years of age with a diagnosis of autism spectrum disorder and unresolved complex tertiary medical, behavioural and / or education needs. If the child has not been seen at the Glenrose for two years, a new referral is required.
Service Healthcare providers should consult the Alberta Referral Directory for service referral information.
Wait TimesAn estimated wait time will be provided at the time of appointment booking.
Service LanguagesInterpreter/Translation services</t>
  </si>
  <si>
    <t>Glenrose Rehabilitation Hospital 
Address10230 111 Avenue NWEdmonton, AlbertaT5G 0B7
Telephone780-735-6134
AccessibilityParking stalls
Getting ThereParking available
Public transportation available
Parking map</t>
  </si>
  <si>
    <t>Days of the Week
Monday9:00 am - 4:00 pm
Tuesday9:00 am - 4:00 pm
Wednesday9:00 am - 4:00 pm
Thursday9:00 am - 4:00 pm
Friday9:00 am - 4:00 pm
Note
ClosedÂ statutoryÂ holidays.</t>
  </si>
  <si>
    <t xml:space="preserve">Glenrose Rehabilitation Hospital </t>
  </si>
  <si>
    <t xml:space="preserve">Provides medical follow-up and support to children with Autism Spectrum Disorder (ASD) and their families.Provides support to children with a confirmed diagnosis of Autism Spectrum Disorder (ASD) who:
present with unresolved complex tertiary medical, behavioral and / or developmental needs who may require medical follow-up and / or consultation with allied health professionals in collaboration with community service providers.
</t>
  </si>
  <si>
    <t>Service Providers May Includeaddicition counsellors, occupational therapists (OTs), support workers, recreation therapists, registered nurses (RNs), social workers
EligibilityEligibility includes:
have current / history of criminal justice involvement, e.g. suspended sentence as part of court diversion, parole or probation (but not NCR), or being released from a correctional facility
age 18 or over
experiencing a housing crisis and have a history of housing instability / homelessness
Service LanguagesInterpreter/Translation services</t>
  </si>
  <si>
    <t>Edmonton 108 Street Building 
Address9942 108 Street NWEdmonton, AlbertaT5K 2J5
Telephone780-292-6101
Getting ThereOn major bus route Metered parking or Impark lot across the street on corner</t>
  </si>
  <si>
    <t>Days of the Week
Monday8:15 am - 4:30 pm
Tuesday8:15 am - 4:30 pm
Wednesday8:15 am - 4:30 pm
Thursday8:15 am - 4:30 pm
Friday8:15 am - 4:30 pm</t>
  </si>
  <si>
    <t xml:space="preserve">Edmonton 108 Street Building </t>
  </si>
  <si>
    <t xml:space="preserve">Provides supported mental health housing to individuals who have current criminal justice involvement and whose function is significantly impacted by a mental illness or a concurrent disorder.One hundred and twenty individuals can be accommodated. Priority is given to referrals for those who:
are Aboriginal
have a high score on the Homelessness Vulnerability Index
have had more than three hospitalizations or emergency room visits in a year
are 60 years or older
have cirrhosis of the liver
have end-stage renal disease
have a history of frostbite, immersion foot, or hypothermia
have HIV / AIDS
have tri-morbidity (co-occurring psychiatric, substance abuse, and chronic medical condition)
</t>
  </si>
  <si>
    <t>Rainbow Lake Community Health Services
Address6A Commercial Road Rainbow Lake, AlbertaT0H 2Y0
Telephone780-956-3646 
Tollfree1-877-823-6433
Fax1-877-853-5380</t>
  </si>
  <si>
    <t>Days of the Week
Monday9:00 am - 4:00 pm
Tuesday9:00 am - 4:00 pm
Wednesday9:00 am - 4:00 pm
Thursday9:00 am - 4:00 pm
Friday9:00 am - 4:00 pm
Note
ClosedÂ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</si>
  <si>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</si>
  <si>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Rainbow Lake Community Health Services</t>
  </si>
  <si>
    <t>Service Providers May Includecounselors, family violence prevention coordinators, law enforcement, victim services
EligibilityCriteria varies with each location, contact individual location for more details.
Service Referral from Court system, Probation, Child and Family Services, or can be self-referred.Â  Contact individual location for details.</t>
  </si>
  <si>
    <t>Edmonton 9303 34 Avenue
Address9303 34 Avenue NWEdmonton, AlbertaT6E 5W8
Telephone780-439-4635
Emailinfo@edmontonvpc.ca
Websitehttp://www.edmontonvpc.ca/</t>
  </si>
  <si>
    <t>Days of the Week
Monday10:00 am - 5:00 pm
Tuesday10:00 am - 5:00 pm
Wednesday10:00 am - 5:00 pm
Thursday10:00 am - 5:00 pm
Friday10:00 am - 5:00 pm</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</si>
  <si>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</si>
  <si>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Edmonton 9303 34 Avenue</t>
  </si>
  <si>
    <t xml:space="preserve">Provides assessment and treatment for individuals who have been mandated through the court system for charges related to domestic violence.  Non-mandated individuals may participate based on clinician judgment and space availability.Provides comprehensive and consistent treatment services across the province based on the belief that individuals are capable of change and that treatment programs grounded in best practice will fulfill the intended outcome of decreasing instances of family violence and keep families and communities safer.
Services promote non-abusive behavior, support change efforts and hold individuals who engage in abusive behavior accountable for their actions. The provincial scope and nature of the program, collaboration amongst service providers, and ongoing development are keys to the success and continued growth of the PFVTP.
Treatment includes 3 main components:
group treatment
addiction and/or mental health treatment and support
individual counseling sessions as required
Also provides partner safety checks for victims and referrals to support services as needed.
</t>
  </si>
  <si>
    <t>Seton - Jasper Healthcare Centre
Address518 Robson Street Jasper, AlbertaT0E 1E0
Telephone780-852-6640
Tollfree310-0000 780-852-6640
Fax780-852-3413
Getting ThereLocated behind the Jasper Emergency Services Building.</t>
  </si>
  <si>
    <t>Days of the Week
Monday8:15 am - 4:30 pm
Tuesday8:15 am - 4:30 pm
Wednesday8:15 am - 4:30 pm
Thursday8:15 am - 4:30 pm
Friday8:15 am - 4:30 pm
Note
Closed 12:00 PM (noon) to 12:30 PM, and statutory holidays.</t>
  </si>
  <si>
    <t>Edson Healthcare Centre
Hinton Community Health Services
Lac La Biche Provincial Building
St. Therese - St. Paul Healthcare Centre
Whitecourt Healthcare Centre</t>
  </si>
  <si>
    <t>EligibilityFor women who are pregnant or within one year of having given birth. Clients need to be seeing a doctor for healthcare during their pregnancy. Substance abuse should not be the personâ€™s primary mental health issue, and they canâ€™t be receiving other mental health support in the community.
Service Healthcare providers should consult the Alberta Referral Directory for service referral information.
Wait TimesAn estimated wait time will be provided at the time of appointment booking.
Service LanguagesInterpreter/Translation services</t>
  </si>
  <si>
    <t>Foothills Medical Centre
Address1403 29 Street NWCalgary, AlbertaT2N 2T9
Telephone403-944-5872
Fax403-944-2409
Getting ThereParking available
Parking map</t>
  </si>
  <si>
    <t xml:space="preserve">Offers assessment and treatment for women during pregnancy and for up to one year after they give birth.Provides assessment and treatment for women with mental health concernsÂ during pregnancy and for up to one year after they give birth.
</t>
  </si>
  <si>
    <t>Service Providers May Includelicensed practical nurses (LPNs), mental health therapists, psychiatrists, registered nurses (RNs)
EligibilityAdults 18 years and older with:
mental health diagnosis
concurrent disorder
low risk offence
Referral NeededYou must be referred by the Crown Prosecutor's Office.
Service LanguagesInterpreter/Translation services</t>
  </si>
  <si>
    <t>Lethbridge Provincial Building
Address200 5 Avenue SLethbridge, AlbertaT1J 4L1
Telephone403-388-6547
Fax403-394-9421</t>
  </si>
  <si>
    <t>Days of the Week
Monday8:00 am - 4:15 pm
Tuesday8:00 am - 4:15 pm
Wednesday8:00 am - 4:15 pm
Thursday8:00 am - 4:15 pm
Friday8:00 am - 4:15 pm
Note
Closed 12:00 PM (noon) to 1:00 PM.</t>
  </si>
  <si>
    <t>Regional Resource Centre - Medicine Hat Regional Hospital</t>
  </si>
  <si>
    <t>Lethbridge Provincial Building</t>
  </si>
  <si>
    <t xml:space="preserve">Works with low risk non-violent adult offenders with mental health concerns to get criminal charges withdrawn by demonstrating a commitment to treatment alternatives.This service redirects adults with addiction and mental health issues with low risk minor criminal offences from the Criminal Justice System to the appropriate community based health services. Clients are assessed with goals established to assist in the treatment and access to mental health, addiction and community resources.
This service is voluntary and client driven.
</t>
  </si>
  <si>
    <t>Service Providers May Includedoctors, licensed practical nurses (LPNs), mental health therapists, registered nurses (RNs), social workers
Service Call for an appointment.
Wait TimesAn estimated wait time will be provided at the time of appointment booking.
Service LanguagesInterpreter/Translation services</t>
  </si>
  <si>
    <t>Canmore Boardwalk Building
Address743 Railway Avenue Canmore, AlbertaT1W 1P2
Telephone403-678-4696
AccessibilityMain entrance</t>
  </si>
  <si>
    <t>Banff Community Health Centre
Claresholm Addiction and Mental Health Clinic
Cochrane Community Health Centre
Vulcan Community Health Centre</t>
  </si>
  <si>
    <t>Canmore Boardwalk Building</t>
  </si>
  <si>
    <t xml:space="preserve">Mental Health counselling for individuals, couples and families.Provides programs and services for people experiencing mental health issues. Offers short-term Mental Health Counselling (1 to 10 sessions) that include:
assessing, treating and follow up
providing information
referring people to other mental wellness services
</t>
  </si>
  <si>
    <t>Okotoks Health and Wellness Centre
Address11 Cimarron Common Okotoks, AlbertaT1S 2E9
Telephone403-995-2600
Fax403-995-2663</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</si>
  <si>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Ranchlands Village Mall
Shaganappi Complex
South Calgary Health Centre
Strathmore Public Health Office
Thornhill Community Health Centre
Village Square Leisure Centre
Vulcan Community Health Centre</t>
  </si>
  <si>
    <t>Okotoks Health and Wellness Centre</t>
  </si>
  <si>
    <t>Banff and Area - Information / Registration / Appointments
Telephone403-762-1119 (Coordinator)</t>
  </si>
  <si>
    <t>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</si>
  <si>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Banff and Area - Information / Registration / Appointments</t>
  </si>
  <si>
    <t>Stettler Hospital and Care Centre
Address5912 47 Avenue Stettler, AlbertaT0C 2L0
Telephone403-743-2000
Tollfree24 Hour Mental Health Help Line 1 877-303-2642, 24 Hour Addiction Help Line 1 877-332-2322
Fax403-743-2004</t>
  </si>
  <si>
    <t>Days of the Week
Monday8:00 am - 4:30 pm
Tuesday8:00 am - 4:30 pm
Wednesday8:00 am - 4:30 pm
Thursday8:00 am - 4:30 pm
Friday8:00 am - 4:30 pm
Note
ClosedÂ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</si>
  <si>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Sundre Hospital and Care Centre
Sylvan Lake Community Health Centre
Three Hills Provincial Building
Tofield Health Centre
Vegreville Community Health Centre
Vermilion Provincial Building
Wainwright 905A 3 Avenue
Wetaskiwin Provincial Building</t>
  </si>
  <si>
    <t>Stettler Hospital and Care Centre</t>
  </si>
  <si>
    <t>Bentley Care Centre
Address4834 52 Avenue Bentley, AlbertaT0C 0J0
Telephone403-748-4115
Getting ThereNorth of 52 Ave on 49 St.</t>
  </si>
  <si>
    <t>Days of the Week
Monday8:00 am - 4:00 pm
Tuesday8:00 am - 4:00 pm
Wednesday8:00 am - 4:00 pm
Thursday8:00 am - 4:00 pm
Friday8:00 am - 4:00 pm
Note
Hours of operation for program information.</t>
  </si>
  <si>
    <t>Bashaw Community Health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</si>
  <si>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Bentley Care Centre</t>
  </si>
  <si>
    <t>Thornhill Community Health Centre
Address6617 Centre Street NCalgary, AlbertaT2K 4Y5
Telephone403-944-7500
Fax403-275-9064
AccessibilityParking is available at the front of the building. An accessible washroom is located in the Public Library in the same building.</t>
  </si>
  <si>
    <t>Days of the Week
Monday8:00 am - 4:30 pm
Tuesday8:00 am - 4:30 pm
Wednesday8:00 am - 9:00 pm
Thursday8:00 am - 9:00 pm
Friday8:00 am - 4:30 pm</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</si>
  <si>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Village Square Leisure Centre
Vulcan Community Health Centre</t>
  </si>
  <si>
    <t>Thornhill Community Health Centre</t>
  </si>
  <si>
    <t>Service Providers May Includemental health therapists
EligibilityNewly released offenders from the Lethbridge Correctional Centre.
Referral NeededClients need a referral from Lethbridge Correctional Centre health care staff or from their caseworker.
Service LanguagesInterpreter/Translation services</t>
  </si>
  <si>
    <t>Lethbridge Professional Building
Address740 4 Avenue SLethbridge, AlbertaT1J 0N9
Telephone403-388-3054 (Correctional Centre Health Unit), 403-388-1939
Fax403-394-9421
AccessibilityOn major bus route</t>
  </si>
  <si>
    <t>Lethbridge Professional Building</t>
  </si>
  <si>
    <t xml:space="preserve">Assists individuals who are incarcerated with release planning and transition back into their community.ProvidesÂ links between newly released offenders and mental health / addictions services. Works to ensure individuals released from custody can be re-established in the community and not fall back to criminal behaviour. Services include support for finding:
affordable housing
employment
financial aid
addiction treatment
mental health support
</t>
  </si>
  <si>
    <t>Service Providers May Includeconsultants, psychiatrists, social workers
EligibilityChildren and youth referred to Complex Kids should be involved with both CAAMHP and CFS and have a complex array of needs.
Service Service is provided to professionals working for either Child &amp; Family Services or CAAMHP (AHS).
Wait TimesAn estimated wait time will be provided at the time of appointment booking.
Service LanguagesInterpreter/Translation services</t>
  </si>
  <si>
    <t>Richmond Road Diagnostic and Treatment Centre
Address1820 Richmond Road SWCalgary, AlbertaT2T 5C7
Telephone403-880-6114
Getting ThereParking available
Parking map</t>
  </si>
  <si>
    <t>/affiliations
Calgary Child &amp; Family Services</t>
  </si>
  <si>
    <t>Calgary 811 14 Street NW</t>
  </si>
  <si>
    <t>Richmond Road Diagnostic and Treatment Centre</t>
  </si>
  <si>
    <t xml:space="preserve">A consultation and liaison service for staff of Child &amp; Family Services (Calgary) or Child &amp; Adolescent Addictions &amp; Mental Health (CAAMHP-AHS).Complex Kids is a consultation and liaison service for staff who work within Child &amp; Family Services (Calgary) or Child &amp; Adolescent Addictions &amp; Mental Health (CAAMHP-AHS) regarding children and / or youth who are being served by both systems and who are described as complex due to a variety of mental health, psychosocial, developmental, and / or behavioural concerns. Services include:
consultation and program information
systems navigation
case advocacy
short term psychiatric consults
</t>
  </si>
  <si>
    <t>Service Providers May Includecoaches, facilitators, social workers</t>
  </si>
  <si>
    <t>Margaret Wooding School
Address401 8 Avenue SERedcliff, AlbertaT0J 2P0
Telephone403-502-1878</t>
  </si>
  <si>
    <t>/affiliations
Prairie Rose School Division</t>
  </si>
  <si>
    <t>Margaret Wooding School</t>
  </si>
  <si>
    <t xml:space="preserve">This is a prevention and promotion initiative that works to increase a community's capacity to promote the development of positive mental health and wellness in its children, youth and families using schools as hubs.Using prevention and promotion activities (DREAMS) works to:
increase access to evidence-based information on universal mental health promotion and prevention programming,
establish effective mentorship opportunities for adults who interact with children and youth,
advance an integrated approach to promoting mental health and preventing mental health problems among community partners, government, schools and industry.
Please contact DREAMS for more information.
</t>
  </si>
  <si>
    <t>Grimshaw / Berwyn and District Community Health Centre
Address5621 Wilcox Avenue Grimshaw, AlbertaT0H 1W0
Telephone780-332-6504
Fax780-332-6505
Getting ThereLocated on West end of Grimshaw on the Hines Creek Highway</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</si>
  <si>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</si>
  <si>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Grimshaw / Berwyn and District Community Health Centre</t>
  </si>
  <si>
    <t>Service Providers May Includemental health counsellors, psychiatrists
EligibilityChildren and youth with mental health concerns.
Service Doctor, service provider, parental or self referrals accepted.
Wait TimesAn estimated wait time will be provided at the time of appointment booking.
Service LanguagesInterpreter/Translation services</t>
  </si>
  <si>
    <t>Stan Woloshyn Building
Address205 Diamond Avenue Spruce Grove, AlbertaT7X 3A8
Telephone780-342-2701 (Central Intake), 780-342-1370 (Clinic information)
Getting ThereParking available</t>
  </si>
  <si>
    <t>Days of the Week
Monday8:15 am - 4:30 pm
Tuesday8:15 am - 4:30 pm
Wednesday8:15 am - 4:30 pm
Thursday8:15 am - 4:30 pm
Friday8:15 am - 4:30 pm
Note
During the school year only.</t>
  </si>
  <si>
    <t>/affiliations
CASA (Child, Adolescent and Family Mental Health)</t>
  </si>
  <si>
    <t>Centre Hope Building 
Edmonton Peace Hills Trust Tower
Fort Saskatchewan Community Hospital
Morinville Provincial Building
Northgate Centre
Rutherford Health Centre
St. Albert Provincial Building
Strathcona Community Hospital</t>
  </si>
  <si>
    <t>Stan Woloshyn Building</t>
  </si>
  <si>
    <t xml:space="preserve">Provides assessment and treatment of mental health concerns.Clients who require services from clinicians that have experience in child and adolescent mental health are the focus of these services. Most children or youth engaging in treatment will be provided with a set of time-limited, goal-directed interventions. Clinicians in these services work collaboratively with primary care providers (family physicians and PCNâ€™s) so that clientsâ€™ ongoing care is followed through at the primary care level.
This service is provided by AHS and AHS contracted service providers.
</t>
  </si>
  <si>
    <t>CapitalCare McConnell Place West
Address8720 165 Street NWEdmonton, AlbertaT5R 5Y8
Telephone780-496-1300 (Community Care Access)
Emailinfo@capitalcare.net
Websitehttp://www.capitalcare.net/ie/Page156.aspx</t>
  </si>
  <si>
    <t>Balwin Villa
CapitalCare McConnell Place North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</si>
  <si>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CapitalCare McConnell Place West</t>
  </si>
  <si>
    <t>EligibilityParticipants must be at least 18 years old.
Service Register on website to be notified by email of sessions available in Alberta.Â  To be added to a class list, applicants must be willing to attend all classes in a session.
Wait TimesIntensive sessions offered 4 times per year.</t>
  </si>
  <si>
    <t>Red Deer Regional Hospital Centre
Address3942 50A Avenue Red Deer, AlbertaT4N 4E7
Tollfree1-888-523-0495
Emailfcprogram@sashbear.org
Websitehttp://sashbear.org/en/family-connections 
Getting ThereParking and Public transportation available
Parking map</t>
  </si>
  <si>
    <t>Note
Intensive weekend sessions - 2 full weekend days (8:30 am to 5:00 pm) one month apart are also offered at this location several times per year.</t>
  </si>
  <si>
    <t>/affiliations
Sashbear Foundation</t>
  </si>
  <si>
    <t>North West 1
Northeast Community Health Centre
Rutherford Health Centre</t>
  </si>
  <si>
    <t>Red Deer Regional Hospital Centre</t>
  </si>
  <si>
    <t xml:space="preserve">Family Connections is an evidence based, skills training program for friends and family members supporting loved ones struggling with mental illness.The program is based on Dialectical Behavior Therapy (DBT) and is designed specifically for family members and friends of those struggling with emotional dysregulation (intense feelings of sadness, shame, anger, anxiety, impulsivity, mood swings and / or suicidal ideation). Participants learn practical coping and communication skills to help them regain balance in their lives and manage emotional reactions to challenging situations more effectively.Â Family Connections is delivered by trained peer facilitators who have â€œlived experienceâ€ using these skills in their own families.
</t>
  </si>
  <si>
    <t>Service Providers May Includeaddictions counsellors, psychiatrists, psychologists, registered nurses (RNs), social workers, teachers
EligibilityAdolescents who are dealing with mental health and/or addiction concerns who are engaged with the education system. Youth typically have a history of outpatient mental health services with limited success and have a recent mental health assessment. Youth should have the involvement of a physician, family/caregiver support, and have a demonstrated readiness or motivation for change.
Wait TimesAn estimated wait time will be provided at the time of appointment booking.</t>
  </si>
  <si>
    <t>Youth Substance Use and Mental Health Services
Address1005 17 Street NWCalgary, AlbertaT2N 2E5
Telephone403-943-1500 Ext 1 (Access Mental Health)
Fax403-943-9044
Emailmental.health@albertahealthservices.ca
AccessibilityMain floorRamps
Getting TherePublic transportation available</t>
  </si>
  <si>
    <t>Days of the Week
Monday8:00 am - 4:15 pm
Tuesday8:00 am - 4:15 pm
Wednesday8:00 am - 4:15 pm
Thursday8:00 am - 4:15 pm
Friday8:00 am - 4:15 pm
Note
Clients attend program daily from 9:15 AM to 3:30 PM.</t>
  </si>
  <si>
    <t>/affiliations
Calgary Board of Education_x000D_
Aspen Family and Community Network</t>
  </si>
  <si>
    <t>Youth Substance Use and Mental Health Services</t>
  </si>
  <si>
    <t xml:space="preserve">A day treatment program for adolescents, ages 13-18, who are dealing with mental health and/or substance use issues. The Calgary Board of Education (CBE) provides on-site classroomsThe Adolescent Day Treatment Program (ADTP) is a specialized mental health and addiction day treatment program that operates from a family-centred perspective. ADTP is comprehensive, voluntary, and change-oriented. Adolescents attend a daily program consisting of therapeutic groups, individual &amp; family therapy, and Calgary Board of Education classroom instruction. Programming is customized according to each youthâ€™s individual needs, goals, and readiness for change. Parents / caregivers are expected to attend regular family therapy sessions and evening education sessions. Treatment reviews and discharge planning meetings that include the family, AHS staff, CBE staff, and community partners are a part of the treatment program to ensure coordination of care and seamless transitions.
</t>
  </si>
  <si>
    <t>Service Providers May Includemental health counsellors
Service Healthcare providers should consult the Alberta Referral Directory for service referral information.
Self referrals accepted.
Wait TimesAn estimated wait time will be provided at the time of appointment booking.</t>
  </si>
  <si>
    <t>Lethbridge Provincial Building
Address200 5 Avenue SLethbridge, AlbertaT1J 4L1
Telephone403-381-5260
Fax403-382-4518</t>
  </si>
  <si>
    <t>Days of the Week
Monday8:00 am - 4:30 pm
Tuesday8:00 am - 4:30 pm
Wednesday8:00 am - 4:30 pm
Thursday8:00 am - 4:30 pm
Friday8:00 am - 4:30 pm</t>
  </si>
  <si>
    <t>Bow Island Provincial Building
Brooks Health Centre
Crowsnest Pass Provincial Building
Fort Macleod Health Centre
Medicine Hat Provincial Building
Pincher Creek Provincial Building 
Provincial Building
Raymond Health Centre
Taber Health Centre</t>
  </si>
  <si>
    <t xml:space="preserve">Screening, assessment, consultation and treatment for people and their families that have mental health concerns that are affecting their ability to cope with everyday life.Assessment and treatment includes learning about your past history, present situation, and identifying your goals. A counsellor talks with a client about different treatment options, including counselling to help them reach their goals. A counsellor helps clients choose goals and strategies, make suggestions, and reviews their progress with them.
</t>
  </si>
  <si>
    <t>Service Providers May Includeaddiction counsellors, client care assistants, dietitians, doctors, family counsellors, recreation therapists, registered nurses (RNs)
EligibilityAdults
Referral NeededPlease call a location for further information.
Service Please contact the program for more information, length of stay, program options, and admission requirements. You must submit an application form.
Wait TimesWait times vary by location.
FeesFees may apply; please call for information. 
Service LanguagesInterpreter/Translation services</t>
  </si>
  <si>
    <t>Bonnyville Indian Metis Rehabilitation Centre
Telephone780-826-3328
Fax780-826-4166
Emailbimrcsrc@mcsnet.ca</t>
  </si>
  <si>
    <t>Fort McMurray Recovery Centre
Northern Addictions Centre</t>
  </si>
  <si>
    <t>Bonnyville Indian Metis Rehabilitation Centre</t>
  </si>
  <si>
    <t xml:space="preserve">A residential, short-term (20 to 42 days) intensive treatment program for adults with addiction issues.Residential treatment choices may include:
gender-specific programs
Aboriginal-based programs
one to one, group, and family counselling
cocaine program (Business and Industry Clinic)
gambling (Henwood Treatment Centre and Northern Addiction Centre)
tobacco cessation
interactive workshops and information sessions
recreation and leisure programming
nutrition
self-help groups
preventing relapse
discharge planning
Please contact programs directly for specific information about their program, including length of stay, program options and admission requirements or visit their website.
</t>
  </si>
  <si>
    <t>Service Providers May Includepsychiatrists, registered nurses (RNs), registered psychiatric nurses (RPNs)
Service Healthcare providers should consult the Alberta Referral Directory for service referral information.
Service LanguagesInterpreter/Translation services</t>
  </si>
  <si>
    <t>Rockyview General Hospital
Address7007 14 Street SWCalgary, AlbertaT2V 1P9
Getting ThereParking available
Parking map</t>
  </si>
  <si>
    <t>Days of the Week
Monday7:00 am - 12:00 am
Tuesday7:00 am - 12:00 am
Wednesday7:00 am - 12:00 am
Thursday7:00 am - 12:00 am
Friday7:00 am - 12:00 am
Saturday7:00 am - 12:00 am
Sunday7:00 am - 12:00 am</t>
  </si>
  <si>
    <t xml:space="preserve">Provides crisis intervention and psychiatric assessment to clients referred by an emergency room physician. Also provides mental health assessments and recommendations to the physician.Services provided to clients and families by Psychiatric Emergency Services (PES) may also include:
community referrals
short-term community support for discharged clients
</t>
  </si>
  <si>
    <t>Service Providers May Includedoctors, occupational therapists (OTs), physical therapists (PTs), prosthetists, registered nurses (RNs), social workers
EligibilityAny of the following:
patients with an amputation and require assessment regarding their rehab needs or are having issues as identified by them or any healthcare provider
patients considering an amputation and have questions regarding the outcome of the surgery
patients who have had an amputation and are at high-risk for losing their other limb and require specialized footwear
Service Follow up appointments are scheduled as required.
Wait TimesAn estimated wait time will be provided at the time of appointment booking.
Service LanguagesInterpreter/Translation services</t>
  </si>
  <si>
    <t>Glenrose Rehabilitation Hospital 
Address10230 111 Avenue NWEdmonton, AlbertaT5G 0B7
Telephone780-735-8221
Fax780-735-7946
AccessibilityParking stalls
Getting ThereParking available
Public transportation available
Parking map</t>
  </si>
  <si>
    <t>Days of the Week
Monday8:00 am - 4:15 pm
Tuesday8:00 am - 4:15 pm
Wednesday8:00 am - 4:15 pm
Thursday8:00 am - 4:15 pm
Friday8:00 am - 4:15 pm
Note
Clinics are held Tuesday afternoons 1:00-4:00pm</t>
  </si>
  <si>
    <t xml:space="preserve">The Regional Amputation Rehabilitation Clinic provides assessment and recommendations for care of patients with an amputation, consultation for pre-amputation regarding potential outcomes and to field questions.The clinic provides:
assessment and recommendations for care of patients with an amputation
consultation pre-amputation to discuss potential outcomes and to field questions
wound care as required
lower extremity assessment for compression
referral to other health care providers. (Psychology, Social Work, Occupational Therapy, Physical Therapy)
</t>
  </si>
  <si>
    <t>Edson Healthcare Centre
Address3837 6 Avenue Edson, AlbertaT7E 0C5
Telephone780-725-6132 
Fax780-725-6382</t>
  </si>
  <si>
    <t>Days of the Week
Monday8:15 am - 4:30 pm
Tuesday8:15 am - 4:30 pm
Wednesday8:15 am - 4:30 pm
Thursday8:15 am - 4:30 pm
Friday8:15 am - 4:30 pm
Note
Closed for lunch from 12:00 pm (noon) to 1:00 pm.</t>
  </si>
  <si>
    <t>Athabasca Community Health Services
Barrhead Administration Building
Bonnyville Provincial Building
Cold Lake 5013 51 Street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</si>
  <si>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Edson Healthcare Centre</t>
  </si>
  <si>
    <t>Northwest Health Centre 
Address11202 100 Avenue High Level, AlbertaT0H 1Z0
Telephone780-841-3229 
Tollfree1-877-823-6433
Fax780-926-3738, 780-926-7378</t>
  </si>
  <si>
    <t>Days of the Week
Monday8:00 am - 4:30 pm
Tuesday8:00 am - 4:30 pm
Wednesday8:00 am - 4:30 pm
Thursday8:00 am - 4:30 pm
Friday8:00 am - 4:30 pm
Note
Walk-in, one-on-one counselling with a therapist, Thursdays 11:30Â AM - 4:30 PM. No appointments necessary.
ClosedÂ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</si>
  <si>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</si>
  <si>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Innisfail Health Centre
Address5023 42 Street Innisfail, AlbertaT4G 1A9
Telephone403-227-7800
Getting TherePublic transportation available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</si>
  <si>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</si>
  <si>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Innisfail Health Centre</t>
  </si>
  <si>
    <t>Grande Prairie Aberdeen Centre
Address9728 101 Avenue Grande Prairie, AlbertaT8V 5B6
Telephone780-538-6330
Tollfree1-866-332-2322 (24 Hour Help Line)</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</si>
  <si>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</si>
  <si>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Athabasca Community Health Services
Address3401 48 Avenue Athabasca, AlbertaT9S 1M7
Telephone780-675-2231
Fax780-675-3111
Getting ThereSouth of Highway 55</t>
  </si>
  <si>
    <t>Note
Open weekdays.</t>
  </si>
  <si>
    <t>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</si>
  <si>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Athabasca Community Health Services</t>
  </si>
  <si>
    <t>La Crete Public Health and Home Care Building
Address9818 105 Street La Crete, AlbertaT0H 2H0
Telephone780-928-6800</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</si>
  <si>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</si>
  <si>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La Crete Public Health and Home Care Building</t>
  </si>
  <si>
    <t>Service Providers May Includephysicians, registered nurses (RNs)
EligibilityBrooks &amp; Medicine Hat Clinics do not have an age mandate.
Â 
Lethbridge - STI testing is available to all ages. All other clinical services are limited to clients under 25 years of age.
Service Appointments are recommended.
Walk-In clients may be accommodated if same day appointments are available.
Wait TimesAn estimated wait time will be provided at the time of appointment booking.
Education sessions and presentations are booked based on nurses' availability. Please call to book with as much notice as possible.</t>
  </si>
  <si>
    <t>Brooks Health Centre
Address440 3 Street EBrooks, AlbertaT1R 0G5
Telephone403-501-3303
Fax403-501-3307
Getting ThereCity provided special transit</t>
  </si>
  <si>
    <t>Days of the Week
Monday12:30 pm - 4:30 pm
Tuesday12:30 pm - 4:30 pm
Wednesday3:00 pm - 6:00 pm
Thursday12:30 pm - 4:30 pm
Friday12:30 pm - 4:30 pm</t>
  </si>
  <si>
    <t>Lethbridge Professional Building
Medicine Hat Community Health Services</t>
  </si>
  <si>
    <t>Brooks Health Centre</t>
  </si>
  <si>
    <t xml:space="preserve">Provides confidential sexual and reproductive health clinical services including STI testing/treatment, pregnancy testing, birth control information and emergency contraception. Also provides information, education, support and referrals around general sexual health issues.Counselling and information services include:
sexual decision-making
birth control and pregnancy prevention
sexually transmitted infection (STI) prevention, testing, treatment and information
pregnancy counselling (includes all pregnancy options and referrals to services)
talking to children about sexuality
general information and support around sexual assault
Clinical services include:
emergency contraceptive pill(morning-after pill)
pregnancy testing
STI testing and treatment
birth control prescriptions (Lethbridge only)
Â 
Health promotion and education services include:
education programs and presentations for all audiences
teacher support for the sexuality part of the Alberta Education Curriculum
</t>
  </si>
  <si>
    <t>Tofield Health Centre
Address5543 44 Street Tofield, AlbertaT0B 4J0
Telephone780-672-1181 (Camrose)
Fax780-679-5088 (Camrose)
Getting ThereEast of 44 St on 57 Ave</t>
  </si>
  <si>
    <t>Days of the Week
Monday8:00 am - 4:30 pm
Wednesday8:00 am - 4:30 pm
Friday8:00 am - 4:30 pm
Note
Closed 12:00 PM - 12:45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</si>
  <si>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Vegreville Community Health Centre
Vermilion Provincial Building
Wainwright 905A 3 Avenue
Wetaskiwin Provincial Building</t>
  </si>
  <si>
    <t>Tofield Health Centre</t>
  </si>
  <si>
    <t>Service Providers May IncludeRegistered Nurses (RNs)
Wait TimesThe waiting period is dependent on the demand for service.
Service LanguagesInterpreter/Translation services</t>
  </si>
  <si>
    <t>South Calgary Health Centre
Address31 Sunpark  Plaza SECalgary, AlbertaT2X 3W5
Telephone403-943-9383</t>
  </si>
  <si>
    <t>Days of the Week
Monday8:00 am - 10:00 pm
Tuesday8:00 am - 10:00 pm
Wednesday8:00 am - 10:00 pm
Thursday8:00 am - 10:00 pm
Friday8:00 am - 10:00 pm
Saturday8:00 am - 10:00 pm
Sunday8:00 am - 10:00 pm</t>
  </si>
  <si>
    <t>Airdrie Community Health Centre
Canmore General Hospital
Cochrane Community Health Centre
Mineral Springs Hospital
Okotoks Health and Wellness Centre
Sheldon M. Chumir Health Centre</t>
  </si>
  <si>
    <t xml:space="preserve">Offers mental health assessment on a walk-in basis.This service provides psycho-social assessments and support on an outpatient basis.Â 
Urgent mental health services are available with no appointment through the Urgnet CareÂ department.
Urgent Mental Health conditions may include:
depression
anxiety
thoughts of suicide or harming oneself
overwhelming stress
addictions
other situations that cause a person to be in crisis
</t>
  </si>
  <si>
    <t>Rimbey Hospital and Care Centre
Address5228 50 Avenue Rimbey, AlbertaT0C 2J0
Telephone403-843-2271</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</si>
  <si>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</si>
  <si>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Rimbey Hospital and Care Centre</t>
  </si>
  <si>
    <t>Northwest Health Centre 
Address11202 100 Avenue High Level, AlbertaT0H 1Z0
Telephone780-841-3229
Tollfree1-877-303-2642 (24 hr Help Line)
Fax780-926-3738</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</si>
  <si>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</si>
  <si>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Includedoctors, licensed practical nurses (LPNs), occupational therapists (OTs), psychiatrists, psychologists, recreational therapists, registered nurses (RNs), social workers, pharmacists
EligibilityFor adults and older adults with serious, ongoing mental health concerns.
Referral NeededA doctor referral through the Emergency Department, Crisis Assessment Team, or Consultation Liaison is needed. Referrals may also be accepted from doctors with admission privileges.
Service Admissions are normally through the Emergency Department after assessment by the Crisis Assessment Team.Â  Transfers are also accepted from the Consultation Liaison Service.Â 
Wait TimesWait times vary.
Service LanguagesInterpreter/Translation services</t>
  </si>
  <si>
    <t>South Health Campus
Address4448 Front Street SECalgary, AlbertaT3M 1M4
Telephone403-956-1156
Getting ThereParking available
Parking map</t>
  </si>
  <si>
    <t>Foothills Medical Centre
Peter Lougheed Centre
Rockyview General Hospital</t>
  </si>
  <si>
    <t xml:space="preserve">Provides inpatient care for people with serious, ongoing mental health concerns.Offers services for people who have serious, ongoing mental health concerns, including:
assessment and treatment
access to social work, community liaison, and rehabilitation services
programs for older adults help and planning when itâ€™s time for people to leave the hospital
</t>
  </si>
  <si>
    <t>Service Providers May Includemental health clinicians, occupational therapists, outreach workers, psychiatrists, psychologists, registered nurses(RNs)
Eligibility65 years and older with age-related mental health problems. Must be living in the community (private home, lodge, or group home).
Wait TimesAn estimated wait time will be provided at the time of appointment booking.Â  Wait times vary on service provided.
Service LanguagesInterpreter/Translation services</t>
  </si>
  <si>
    <t>Bridgeland Seniors Health Centre
Address1070 McDougall Road NECalgary, AlbertaT2E 7Z2
Telephone403-955-6155</t>
  </si>
  <si>
    <t>Days of the Week
Monday8:00 am - 4:00 pm
Tuesday8:00 am - 4:00 pm
Wednesday8:00 am - 4:00 pm
Thursday8:00 am - 4:00 pm
Friday8:00 am - 4:00 pm
Note
Day Treatment Services.Â  SAILL program (Substance Abuse in Later Life)</t>
  </si>
  <si>
    <t>Sheldon M. Chumir Health Centre
South Calgary Health Centre
Sunridge Mall</t>
  </si>
  <si>
    <t>Bridgeland Seniors Health Centre</t>
  </si>
  <si>
    <t xml:space="preserve">Mental health services for seniors living in the community who have moderate to severe age-related mental health concerns.Services provided may include:
assessment, treatment and follow-up
caregiver support
one-to-one and group treatment for seniors with mental health concerns (e.g. anxiety, depression, schizophrenia and other psychiatric disorders)
clinic and in-home service
education for the client, caregiver, and community partnersÂ 
The family doctor and other caregivers are involved in the assessment and treatment plan.
This service does not offer crisis intervention.Â 
Day treatment Services: group therapy, psychiatry consultation also available.
SAILL:Â  Three phase group based therapy for individuals seeking group work for substance abuse.Â  Psychiatry consultation also available.
</t>
  </si>
  <si>
    <t>Peter Lougheed Centre
Address3500 26 Avenue NECalgary, AlbertaT1Y 6J4
Getting ThereParking available
Parking map</t>
  </si>
  <si>
    <t>Alberta Children's Hospital
Foothills Medical Centre
Rockyview General Hospital
South Health Campus</t>
  </si>
  <si>
    <t>Peter Lougheed Centre</t>
  </si>
  <si>
    <t>Athabasca Community Health Services
Barrhead Healthcare Centre
Beaverlodge Community Health Services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</si>
  <si>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Includeaddictions counselor, mental health clinician, social worker
EligibilityIndividuals 18 years and older.
Service LanguagesInterpreter/Translation services</t>
  </si>
  <si>
    <t>Calgary 707 10 Avenue SW
Address707 10 Avenue SWCalgary, AlbertaT2R 0B3
Telephone403-367-5000
Fax403-367-5010</t>
  </si>
  <si>
    <t>Days of the Week
Monday8:00 am - 9:00 pm
Tuesday8:00 am - 9:00 pm
Wednesday8:00 am - 9:00 pm
Thursday8:00 am - 9:00 pm
Friday8:00 am - 5:00 pm
Note
Walk-in intake is available at 12:30 PM daily, Monday-Friday for those interested in accessing outpatient programs.
Educational, skill, and support group programs - Monday - Friday during the day, Monday â€“Thursday evenings</t>
  </si>
  <si>
    <t>Calgary 707 10 Avenue SW</t>
  </si>
  <si>
    <t xml:space="preserve">Provides a non-medical treatment facility for those experiencing problems related to their use of alcohol, drugs, gambling, or sex addiction. We also offer services for those who are concerned about someone elseÂ¿s use. All programs and services are voluntary, confidential, and free of charge.Addiction treatment services mayÂ include:
drop-in intake
short-term, outpatient counselling
educational, skill, and support group programs
aÂ four-week, intensive day treatment program for those committed to abstinence
next business day access to programs following intake
</t>
  </si>
  <si>
    <t>Central Peace Health Complex
Address5010 45 Avenue Spirit River, AlbertaT0H 3G0
Telephone780-342-2383
Fax780-342-3348</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</si>
  <si>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</si>
  <si>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Central Peace Health Complex</t>
  </si>
  <si>
    <t>Wabasca / Desmarais Community Health Services
Address867 Stoney Point Road Wabasca, AlbertaT0G 2K0
Telephone780-891-3011
Fax780-891-3931</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</si>
  <si>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Westlock Community Health Services
Whitecourt Healthcare Centre</t>
  </si>
  <si>
    <t>Wabasca / Desmarais Community Health Services</t>
  </si>
  <si>
    <t>St. Therese - St. Paul Healthcare Centre
Address4713 48  Avenue St. Paul, AlbertaT0A 3A3
Telephone780-645-1850
Fax780-645-2788</t>
  </si>
  <si>
    <t>Days of the Week
Monday8:00 am - 4:30 pm
Tuesday8:00 am - 4:30 pm
Wednesday8:00 am - 4:30 pm
Thursday8:00 am - 4:30 pm
Friday8:00 am - 4:30 pm
Note
ClosedÂ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</si>
  <si>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Swan Hills Healthcare Centre
Valleyview Community Health Services
Westlock Provincial Building
Whitecourt Community Health Services</t>
  </si>
  <si>
    <t>St. Therese - St. Paul Healthcare Centre</t>
  </si>
  <si>
    <t>Thorhild Community Health Services
Address302 2 Avenue Thorhild, AlbertaT0A 3J0
Telephone780-398-3879</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</si>
  <si>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Trout / Peerless Lake Health Centre
Wabasca / Desmarais Community Health Services
Westlock Community Health Services
Whitecourt Healthcare Centre</t>
  </si>
  <si>
    <t>Thorhild Community Health Services</t>
  </si>
  <si>
    <t>Service Providers May Includedietitians, psychiatrists, psychologists, recreation therapistis, registered nurses (RNs)
EligibilityAges 14 and up, with diagnosed or suspected eating disorder causing the patient to be at or below a healthy weight.
Service Healthcare providers should consult the Alberta Referral Directory for service referral information.
Â 
Fax referrral to Dr. Lara Ostolosky or Dr. Henry Piktel at 780-407-6672. Please include height, weight history, including current weight, and a description of the disordered eating history, relevant medical history and current medications. Wait times for scheduling the initial assessment by the psychiatrist is usually 4-6 weeks
Wait TimesAn estimated wait time will be provided at the time of appointment booking.
Service LanguagesInterpreter/Translation services</t>
  </si>
  <si>
    <t>University of Alberta Hospital
Address8440 112 Street NWEdmonton, AlbertaT6G 2B7
Telephone780-407-6114, 780-407-7969
Fax780-407-8399
Emailmaggie.weber@ahs.ca
Getting ThereParking and Public transportation available
Parking map</t>
  </si>
  <si>
    <t>/affiliations
Eating Disorder Support Network of Alberta (EDSNA)_x000D_
Anderson Hall_x000D_
Wellness Recovery Action Plan (WRAP) Program</t>
  </si>
  <si>
    <t>University of Alberta Hospital</t>
  </si>
  <si>
    <t xml:space="preserve">A specialized program for patients who suffer from eating disorders that result in a lower than healthy weight.The goal of treatment for the eating disorder patient is normalization of weight, eating, and attitudes towards weight / eating and concurrent management of co-morbid features. The 12 bed inpatient unit provides 24 hour care to those patients who are severely medically compromised. The day hospital program provides an enhanced and continuous monitoring of the medical safety of patients who suffer from severe eating disorders. These patients participate in integration with inpatient activities such as groups and meal supervision (up to 4 times per day, 7 days a week).
The outpatient program allows for regular contact with the health care team, includes:
psychiatrist
dietician
psychologist
recreation therapist
RN/RPN
</t>
  </si>
  <si>
    <t>Service Providers May Includenurse practitioners (NPs), registered nurses (RNs)
Service LanguagesInterpreter/Translation services</t>
  </si>
  <si>
    <t>Grande Prairie College and Community Health Centre
Address10620 104 Avenue Grande Prairie, AlbertaT8V 8J8
Telephone780-814-5800</t>
  </si>
  <si>
    <t>Days of the Week
Thursday5:00 pm - 7:45 pm</t>
  </si>
  <si>
    <t>Grande Prairie College and Community Health Centre</t>
  </si>
  <si>
    <t xml:space="preserve">Clinic offers testing, treatment and counselling for sexually transmitted infections as well as pregnancy testing, birth control counselling and prescriptions.Provides sexually transmitted infections (STI)Â testing, treatment, and counselling, as well as birth control counselling and prescriptions.
Also provides pregnancy testing and options counselling.
</t>
  </si>
  <si>
    <t>George McDougall - Smoky Lake Healthcare Centre
Address4212 55 Avenue Smoky Lake, AlbertaT0A 3C0
Telephone780-656-3595
Getting ThereOn the northeast side of town, along Highway 28.</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</si>
  <si>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</si>
  <si>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George McDougall - Smoky Lake Healthcare Centre</t>
  </si>
  <si>
    <t>Days of the Week
Monday8:00 am - 4:30 pm
Tuesday8:00 am - 4:30 pm
Wednesday8:00 am - 4:30 pm
Thursday8:00 am - 4:30 pm
Friday8:00 am - 4:30 pm
Note
Some evening hours also available
Urgent Mental Health Walk-in Service available at Canmore General Hospital accessible 7 days per week between the hours of 2:00 pmÂ and 9:00 pm</t>
  </si>
  <si>
    <t>Addiction and Mental Health Clinic - Strathmore
Airdrie Provincial Building
Banff Community Health Centre
Chestermere Community Health Centre
Claresholm Addiction and Mental Health Clinic
Cochrane Addiction and Mental Health Clinic 
Didsbury District Health Services
High River Addiction and Mental Health Clinic 
Nanton Community Health Centre
Oilfields General Hospital
Okotoks Mental Health Centre</t>
  </si>
  <si>
    <t>Summerwood Village Retirement Residence
Address4255 Cloverbar Road Sherwood Park, AlbertaT8H 0C9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</si>
  <si>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Villa Marguerite
Wedman Village Homes
West Country Hearth</t>
  </si>
  <si>
    <t>Summerwood Village Retirement Residence</t>
  </si>
  <si>
    <t>Swan Hills Healthcare Centre
Address29 Freeman Drive Swan Hills, AlbertaT0G 2C0
Telephone780-333-4241
Tollfree1-877-303-2642 (24 hr Help Line)
Fax780-333-7009</t>
  </si>
  <si>
    <t>Days of the Week
Monday8:30 am - 4:30 pm
Tuesday8:30 am - 4:30 pm
Wednesday8:30 am - 4:30 pm
Thursday8:30 am - 4:30 pm
Friday8:30 am - 4:30 pm
Note
Closed_x000D_
12:00 PM (noon) to 1:00 PM, fridays and statutory holidays.</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</si>
  <si>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Valleyview Community Health Services
Westlock Provincial Building
Whitecourt Community Health Services</t>
  </si>
  <si>
    <t>Service Providers May Includespiritual care providers
Service Clients can ask to speak to their spiritual advisor and can also request that the minister on call be contacted.
Service LanguagesInterpreter/Translation services</t>
  </si>
  <si>
    <t>Grande Cache Community Health Complex
Address10200 Shand Avenue Grande Cache, AlbertaT0E 0Y0</t>
  </si>
  <si>
    <t>Athabasca Healthcare Centre
Barrhead Healthcare Centre
Bonnyville Healthcare Centre 
Central Peace Health Complex
Cold Lake Healthcare Centre
Edson Healthcare Centre
Fairview Health Complex
George McDougall - Smoky Lake Healthcare Centre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</si>
  <si>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Grande Cache Community Health Complex</t>
  </si>
  <si>
    <t xml:space="preserve">Provides compassionate support and response to patients and their families of all denominations.Offers compassionate support and response to patients, residents, families, and healthcare providers in time of need while respecting the person's faith, religion, and practice.
Services may include:
hospital visitation
On Call Spiritual Care Adviser
</t>
  </si>
  <si>
    <t>Bonnyville Healthcare Centre 
Address5001 Lakeshore Drive Bonnyville, AlbertaT9N 2J7
Telephone780-826-3311
Fax780-826-6526
Getting ThereLocated east of Lakeshore Drive</t>
  </si>
  <si>
    <t>Available
24 hour service
Note
Chapel on-site.</t>
  </si>
  <si>
    <t>Athabasca Healthcare Centre
Barrhead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</si>
  <si>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 xml:space="preserve">Bonnyville Healthcare Centre </t>
  </si>
  <si>
    <t>Service Providers May Includepsychiatrists, psychologists, registered nurses (RNs), social workers
EligibilityPeople 12 years of age or older:
in conflict with the law
thought to have mental health problems
legally mandated for assessment and treatment services
who must be assessed and treated for mental health or behavioural problems
Referral NeededReferral is by a court order for pre-trial and pre-sentence assessments.
Treatment referrals are for mandated indivuals and are accepted from community corrections (Probation)
Please make the reason for referral clear and, where available, include all background information (e.g., details of the offence, police reports, court transcripts, and criminal record of the accused).
When probation officers or other agencies are making a referral, where possible, the standard FAOS referral form should be used. Again, please send background information (e.g., PSR, PDR, PIS, PO) and make the reason for the referral clear.
Wait TimesVaries.
Service LanguagesInterpreter/Translation services</t>
  </si>
  <si>
    <t>Sunridge Professional Building 
Address2675 36 Street NECalgary, AlbertaT1Y 6H6
Telephone403-943-4596
Fax403-219-3521</t>
  </si>
  <si>
    <t>Days of the Week
Monday8:00 am - 4:15 pm
Tuesday8:00 am - 4:15 pm
Wednesday8:00 am - 4:15 pm
Thursday8:00 am - 4:15 pm
Friday8:00 am - 4:15 pm
Note
Closed on Statutory holidays.</t>
  </si>
  <si>
    <t xml:space="preserve">Sunridge Professional Building </t>
  </si>
  <si>
    <t xml:space="preserve">Provides mental health services to mandated clients via satellite clinics in Red Deer, Lethbridge, Medicine Hat,and Brooks and by travelling clinics to Southern Alberta rural areas and Treaty Seven First Nation Communities.Community Geographic Teams (CGT)Â provide direct and indirect services to people who have trouble accessing assessment and treatment services because of distance, transportation, or no local forensic mental health provider:
to rural areas
regional centres
aboriginal communities
Telemental Health (TMH) is an important component of service delivery. TMH uses audio visual conference technology to deliver mental health services.
</t>
  </si>
  <si>
    <t>Rockyview General Hospital
Address7007 14 Street SWCalgary, AlbertaT2V 1P9
Telephone403-943-3191
Fax403-943-3317
Getting ThereParking available
Parking map</t>
  </si>
  <si>
    <t>Canmore General Hospital
Foothills Medical Centre
High River General Hospital
Peter Lougheed Centre
South Health Campus</t>
  </si>
  <si>
    <t>Points West Living Lac La Biche
Address9210 91 Avenue Lac La Biche, AlbertaT0A 2C0
Telephone(780) 623-9614
Fax(780) 404-2410</t>
  </si>
  <si>
    <t>Bar-V-Nook Manor
Edson Healthcare Centre
Grande Prairie Care Centre
Heimstaed Lodge
Hinton Continuing Care Centre
J. B. Wood Continuing Care Centre
Manoir du Lac 
Points West Living Cold Lake
Points West Living Grande Prairie
Points West Living Peace River
Points West Living Slave Lake
Stone Brook
Wild Rose Assisted Living</t>
  </si>
  <si>
    <t>Points West Living Lac La Biche</t>
  </si>
  <si>
    <t>Service Providers May Includetobacco counsellors
Service LanguagesInterpreter/Translation services</t>
  </si>
  <si>
    <t>Alberta-Wide Web and / or Telephone Access
Telephone1-866-710-QUIT (7848)
Fax1-866-979-3553
Websitehttp://www.albertaquits.ca
Getting TherePhysical location not applicable.</t>
  </si>
  <si>
    <t>Days of the Week
Monday8:00 am - 8:00 pm
Tuesday8:00 am - 8:00 pm
Wednesday8:00 am - 8:00 pm
Thursday8:00 am - 8:00 pm
Friday8:00 am - 8:00 pm
Saturday8:00 am - 8:00 pm
Sunday8:00 am - 8:00 pm
Note
Outside these hours callers will receive general support from information and referral staff.</t>
  </si>
  <si>
    <t>Alberta-Wide Web and / or Telephone Access</t>
  </si>
  <si>
    <t xml:space="preserve">Toll-free telephone tobacco cessation counselling, support, and information for all Albertans.A free, confidential telephone counselling service for smokers and spit tobacco users.
Calls are answered by a trained cessation counsellor who can:
help you develop a quit plan
offer information and support or refer you to services in your community
</t>
  </si>
  <si>
    <t>Onoway Community Health Services
Address4919 Lac Ste Anne Trail Onoway, AlbertaT0E 1V0
Telephone780-967-4440
Fax780-967-4433</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</si>
  <si>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</si>
  <si>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Onoway Community Health Services</t>
  </si>
  <si>
    <t>Slave Lake Healthcare Centre
Address309 6 Street NESlave Lake, AlbertaT0G 2A2
Telephone780-805-3500
Fax780-805-3574</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</si>
  <si>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St. Theresa General Hospital 
St. Therese - St. Paul Healthcare Centre
Westlock Healthcare Centre
Whitecourt Healthcare Centre
William J. Cadzow - Lac La Biche Healthcare Centre</t>
  </si>
  <si>
    <t>Slave Lake Healthcare Centre</t>
  </si>
  <si>
    <t>Service Providers May Includecertified spiritual care providers, chaplains
Service LanguagesInterpreter/Translation services</t>
  </si>
  <si>
    <t>Pincher Creek Health Centre
Address1222 Bev McLachlin  Drive Pincher Creek, AlbertaT0K 1W0
Telephone403-627-9891
Emailcney73@gmail.com
AccessibilityMain entranceWashrooms</t>
  </si>
  <si>
    <t>Bassano Health Centre
Big Country Hospital
Bow Island Health Centre
Brooks Health Centre
Chinook Regional Hospital
Coaldale Health Centre
Medicine Hat Regional Hospital
Taber Health Centre</t>
  </si>
  <si>
    <t>Pincher Creek Health Centre</t>
  </si>
  <si>
    <t xml:space="preserve">The Spiritual Care Program offers spiritual, emotional and religious support to patients, families and staff during times of health crisis, isolation, suffering and vulnerability.Service is available to patients and their families in emergency situations 24/7 through certified spiritual care providers.
For more information visit Spiritual Care Services
</t>
  </si>
  <si>
    <t>Service Providers May Includeneuropsychologists
EligibilityFor children who are currently followed by a clinic in the Alberta Children's Hospital and have a neurological disease/injury that has impacted brain functioning will be considered. All referrals will be triaged by the team and eligibility will be determined at that time.
Wait TimesAn estimated wait time will be provided at the time of appointment booking.
Service LanguagesInterpreter/Translation services</t>
  </si>
  <si>
    <t>Alberta Children's Hospital
Address28 Oki Drive NWCalgary, AlbertaT3B 6A8
Telephone403-955-2618
Fax403-955-7086
AccessibilityMain entranceLifts
Getting ThereParking map</t>
  </si>
  <si>
    <t>Alberta Children's Hospital</t>
  </si>
  <si>
    <t xml:space="preserve">Neuropsychological assessment of children, adolescents, and young adults with brain disorders.Services include:
assessing thinking and learning skills, abilities, and behaviour
consulting on therapy and treatment programs
working with school resource groups and rehabilitation teams
</t>
  </si>
  <si>
    <t>Service Providers May Includesocial workers, success coaches, wellness facilitators
Referral NeededCan self refer or be referred by family or friend.
Service Contact the project for referrals.
Service LanguagesInterpreter/Translation services</t>
  </si>
  <si>
    <t>St. Paul Elementary Community School
Address4520 48 Avenue St. Paul, AlbertaT0A 3A3
Telephone780-645-3537</t>
  </si>
  <si>
    <t>Ashmont Elementary School
Ashmont Secondary School
Glen Avon School
Racette School
Two Hills Mennonite School</t>
  </si>
  <si>
    <t>St. Paul Elementary Community School</t>
  </si>
  <si>
    <t xml:space="preserve">This is a prevention and promotion initiative that works to increase a community's capacity to promote the development of positive mental health and wellness in its children, youth, and families using schools as hubs.Using prevention and promotion activities, this project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</si>
  <si>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Service Providers May Includeliving skills instructors, occupational therapists (OTs), psychiatrists, psychologists, registered nurses (RNs), registered psychiatric nurse (RPNs), social workers
EligibilityEligible:
adults with a chronic and persisting psychotic disorder (e.g.Schizophrenia or Schizoaffective disorder) needing specialized case management
who have been a psychiatric inpatient within the last 6 months
or
there is evidence in the community that the treatment isn't working (persistent psychotic symptoms despite and adequate trial of an antipsychotic)
Not eligible:
adults that don't have a primary psychotic disorder.
Primary diagnosis of bipolar disorder with psychotic features (usually seen in the Foothills Medical Clinic Mood Disorders Program)IQ less than 70
Other:
primary legal issues or court-mandated treatment to be reviewed case by case
Service Healthcare providers should consult the Alberta Referral Directory for service referral information.
Wait TimesAn estimated wait time will be provided at the time of appointment booking.
Service LanguagesInterpreter/Translation services</t>
  </si>
  <si>
    <t>Foothills Medical Centre
Address1403 29 Street NWCalgary, AlbertaT2N 2T9
Telephone403-944-1491
Getting ThereParking available
Parking map</t>
  </si>
  <si>
    <t>Days of the Week
Monday8:00 am - 4:00 pm
Tuesday8:00 am - 4:00 pm
Wednesday8:00 am - 4:00 pm
Thursday8:00 am - 4:00 pm
Friday8:00 am - 4:00 pm
Note
Closed weekends and holidays.</t>
  </si>
  <si>
    <t xml:space="preserve">The Adult Psychosis Program is a tertiary care, sub-specialty and multi-disciplinary program dedicated to providing specialized assessments and follow-up care to individuals with chronic psychotic disorders and to individuals over the age of 35 years with first episode psychosisService offers:
diagnosis and management of disorder
supprt and treatment of any existing health issues
support for possible transition to primaryÂ care provider or community psychiatric clinic
research
education for health providers
</t>
  </si>
  <si>
    <t>Service Providers May Includeregistered nurses (RNs), registered psychiatric nurses (RPNs)
EligibilityGenerally for people 65 years and older.
Wait TimesAn estimated wait time will be provided at the time of appointment booking.
Service LanguagesInterpreter/Translation services</t>
  </si>
  <si>
    <t>Lacombe Mental Health Centre
Address5033 52 Street Lacombe, AlbertaT4L 2A6
Telephone403-782-3413</t>
  </si>
  <si>
    <t>Drayton Valley Community Health Centre
Drumheller Health Centre
Olds Hospital and Care Centre
Ponoka Provincial Building
Red Deer 49 Street Community Health Centre - Addiction and Mental Health Services
Rocky Mountain House Health Centre
Stettler Hospital and Care Centre
Sylvan Lake Community Health Centre
Wetaskiwin Provincial Building</t>
  </si>
  <si>
    <t>Lacombe Mental Health Centre</t>
  </si>
  <si>
    <t xml:space="preserve">Provides mental health assessments for older adults.Offers services to assess mental health concerns in older adults where they live (in their homes, lodges, assisted living, supportive living, continuing care centres, and hospitals)
Services include:
providing mental health assessments, including mental status checks
teaching clients and their families about the signs and symptoms of mental illness, and possible treatments
working closely with a clientâ€™s doctor to decide which services are needed
providing information on medicines and treatment
</t>
  </si>
  <si>
    <t>Service Providers May Includemental health workers
EligibilityOpen to all students in schools from kindergarten to grade 9, with some supports to high school age students. Some services and supports are also provided to the broader community and families.</t>
  </si>
  <si>
    <t>Drayton Christian School
Address4762 50 Street Drayton Valley, AlbertaT7A 1P1
Telephone780-542-7066
Fax780-542-2274
Websitehttp://www.iamempoweredconference.ca/, http://www.aimforsuccess.ca/</t>
  </si>
  <si>
    <t>/affiliations
Wild Rose School Division, I Am Empowered conference</t>
  </si>
  <si>
    <t>Aurora Elementary School
Drayton Valley Community Outreach School
Eldorado Elementary School
Frank Maddock High School
H W Pickup Junior High School
Wild Rose School Division</t>
  </si>
  <si>
    <t>Drayton Christian School</t>
  </si>
  <si>
    <t xml:space="preserve">Aim for Success is a prevention and promotion initiative that works to increase a communityÂ¿s capacity to promote the development of positive mental health and wellness in its children, youth and families using schools as hubs.Using prevention and promotion activities Aim for Success works to increase access to evidence information universal mental health promotion and prevention programming, establish effective mentorship opportunities for adults who interact with children and youth and advance an integrated approach to promoting mental health and preventing mental health problems among community partners, government, schools and industry.
</t>
  </si>
  <si>
    <t>St. Therese - St. Paul Healthcare Centre
Address4713 48  Avenue St. Paul, AlbertaT0A 3A3
Telephone780-645-3331
Fax780-645-1702</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</si>
  <si>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Valleyview Health Centre
Westlock Continuing Care Centre
William J. Cadzow - Lac La Biche Healthcare Centre</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</si>
  <si>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</si>
  <si>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Barrhead Healthcare Centre
Address4815 51 Avenue Barrhead, AlbertaT7N 1M1
Telephone780-342-2383
Fax780-342-3348
Getting ThereLocated on the east side of Highway 33</t>
  </si>
  <si>
    <t>Days of the Week
Monday8:00 am - 4:30 pm
Tuesday8:00 am - 4:30 pm
Wednesday8:00 am - 4:30 pm
Thursday8:00 am - 4:30 pm
Friday8:00 am - 4:30 pm
Note
Closed Statutory Holidays and during the lunch hour.</t>
  </si>
  <si>
    <t>Athabasca Community Health Services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</si>
  <si>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Barrhead Healthcare Centre</t>
  </si>
  <si>
    <t>Rimbey Community Health Centre
Address4709 51 Avenue Rimbey, AlbertaT0C 2J0
Telephone403-843-2288</t>
  </si>
  <si>
    <t>Days of the Week
Monday8:30 am - 4:30 pm
Tuesday8:30 am - 4:30 pm
Wednesday8:30 am - 4:30 pm
Thursday8:30 am - 4:30 pm
Friday8:30 am - 4:00 pm
Note
Closed from 12:00 PM to1:00 PM for lunch.</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</si>
  <si>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</si>
  <si>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Rimbey Community Health Centre</t>
  </si>
  <si>
    <t>Service Providers May Includeaddiction prevention specialists
Service If you are having a crisis, go to the nearest Emergency Department.
Service LanguagesInterpreter/Translation services</t>
  </si>
  <si>
    <t>Drayton Valley Community Health Centre
Address4110 50 Avenue Drayton Valley, AlbertaT7A 0B3
Telephone780-542-3140 
Fax780-542-4461</t>
  </si>
  <si>
    <t>Consort Hospital and Care Centre
Coronation Hospital and Care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</si>
  <si>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Drayton Valley Community Health Centre</t>
  </si>
  <si>
    <t xml:space="preserve">Provides alcohol, other drugs, tobacco, and gambling prevention, and education services.Provides prevention services for people, families, schools, communities, and workplaces.
Addiction prevention support may include:
consultation
needs assessment
education
orientation to prevention best practice
prevention activity planning
other support as needed
orientation to addiction treatment
</t>
  </si>
  <si>
    <t>Service Providers May Includeaddiction counsellors
EligibilityYouth ages 12 to 17 years and their families
Service Healthcare providers should consult the Alberta Referral Directory for service referral information.
Client can call to speak with intake counsellor during regular business hours.</t>
  </si>
  <si>
    <t>Hilton Plaza
Address209 3 Avenue Strathmore, AlbertaT1P 1K2
Telephone403-361-7277
Tollfree1-866-332-2322 24 Hour Help Line</t>
  </si>
  <si>
    <t>Days of the Week
Monday8:00 am - 4:30 pm
Tuesday8:00 am - 5:00 pm
Wednesday8:00 am - 5:00 pm
Thursday8:00 am - 5:00 pm
Friday8:00 am - 4:30 pm
Note
Closed from 12:00pm - 1:00pm.
Please call to schedule an intake appointment.</t>
  </si>
  <si>
    <t>Canmore Boardwalk Building
Cascade Plaza 
Cochrane Community Health Centre
High River Addiction and Mental Health Clinic 
Lake Louise 200 Hector Street
Youth Substance Use and Mental Health Services</t>
  </si>
  <si>
    <t>Hilton Plaza</t>
  </si>
  <si>
    <t xml:space="preserve">Provides substance use screeninig, assessment, individual and family counselling, and referral services to treatment programs both external and internal to Alberta Health ServicesThis service offers:
individual and family counselling
addiction screening, assessment and treatment
referral services
</t>
  </si>
  <si>
    <t>Service Providers May Includecounsellors, doctors, registered nurses (RNs)
EligibilityPeople with a confirmed pregnancy who wish to terminate their pregnancy (abortion) or require information about the procedure or pregnancy options counselling.
Service Healthcare providers should consult the Alberta Referral Directory for service referral information
Patients may book their own appointment over the phone.
Wait TimesWaiting periods are normally one week or less. Please contact each clinic for more information.Â 
Service LanguagesInterpreter/Translation services</t>
  </si>
  <si>
    <t>Kensington Clinic
Address2431 5  Avenue NWCalgary, AlbertaT2N 0T3
Telephone403-283-9117
Fax403-283-9139
Emailkclinic@telus.net
Websitehttp://www.kensingtonclinic.com</t>
  </si>
  <si>
    <t>Days of the Week
Monday7:30 am - 5:00 pm
Tuesday7:30 am - 5:00 pm
Wednesday7:30 am - 5:00 pm
Thursday7:30 am - 5:00 pm
Friday7:30 am - 5:00 pm
Note
24 hour on-call coverage.Â  Clinic operates Monday thru Friday.</t>
  </si>
  <si>
    <t>Kensington Clinic</t>
  </si>
  <si>
    <t xml:space="preserve">This service provides pregnancy options decision making support and abortion services.Services include:
pregnancy options decision-making support
aspirationÂ abortion services (termination of confirmed pregnancy) and second trimester abortion up to 20 weeks of pregnancy
medication abortion (termination of confirmed pregnancy up to 9 weeks of pregnancy)
early and late pregnancy loss care
pre and post abortion counselling
support services related to pregnancy loss
birth control counselling including IUD insertion
STIÂ testing and treatment
</t>
  </si>
  <si>
    <t>Scenic Acres Retirement Residence
Address150 Scotia Landing NWCalgary, AlbertaT3L 2K1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</si>
  <si>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Silver Willow Lodge
St. Marguerite Manor
Strafford Foundation Tudor Manor
Sunrise Village High River
Swan Evergreen Village
Wentworth Manor / The Residence and The Court
Whitehorn Village Retirement Community
Wing Kei Greenview</t>
  </si>
  <si>
    <t>Scenic Acres Retirement Residence</t>
  </si>
  <si>
    <t>Service Providers May Includeregistered nurses (RNs)
EligibilityAvailable to males and females aged 14 and older who have been sexually assaulted in the previous 7 days.
Males and females aged 13 and younger who have been sexually assaulted should go to the Stollery within the first 3 days.
Service Go to the Emergency Room and tell the triage nurse you would like to see the Sexual Assault Response Team (SART) or that you've been sexually assaulted.
More info on InSite atÂ http://insite.albertahealthservices.ca/13650.asp
Â 
Service LanguagesInterpreter/Translation services</t>
  </si>
  <si>
    <t>Northeast Community Health Centre
Address14007 50 Street Edmonton, AlbertaT5A 5E4
TelephoneAccess to this service is by Emergency Room visit only
Getting ThereParking available.</t>
  </si>
  <si>
    <t>Fort Saskatchewan Community Hospital
Grey Nuns Community Hospital
Leduc Community Hospital
Misericordia Community Hospital 
Royal Alexandra Hospital
Strathcona Community Hospital
Sturgeon Community Hospital
University of Alberta Hospital
WestView Health Centre - Stony Plain</t>
  </si>
  <si>
    <t>Northeast Community Health Centre</t>
  </si>
  <si>
    <t xml:space="preserve">Specially trained nurses who provide sexual assault examination and care for males and females 14 years and older.Specially trained Registered Nurses with specialized education in sexual assault care. The SART offers victims of sexual assault (14 years and older) compassionate, confidential and non-judgmental care in the Edmonton Zone.
This service is provided with or without police involvement in emergency rooms of 10 hospitals in the Edmonton Zone.
</t>
  </si>
  <si>
    <t>Ponoka Provincial Building
Address5110 49 Avenue Ponoka, AlbertaT4J 1R6
Telephone403-783-7903
Fax403-783-7926</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</si>
  <si>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</si>
  <si>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Ponoka Provincial Building</t>
  </si>
  <si>
    <t>Manning Community Health Centre
Address600 2 Street NEManning, AlbertaT0H 2M0
Telephone780-836-3391</t>
  </si>
  <si>
    <t>Note
Open weekdays</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</si>
  <si>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</si>
  <si>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Manning Community Health Centre</t>
  </si>
  <si>
    <t>Service Providers May Includerecreation therapists, therapeutic recreation assistants
EligibilityAdults who can no longer participate in their regular recreation and leisure activities because of a disability or illness.
Service Healthcare providers should consult the Alberta Referral Directory for service referral information.
Wait TimesAn estimated wait time will be provided at the time of appointment booking.
Service LanguagesInterpreter/Translation services</t>
  </si>
  <si>
    <t>Cardston Health Centre
Address144 2 Street WCardston, AlbertaT0K 0K0
Telephone403-653-5253 
Fax403-653-4399
AccessibilityMain entranceWashroom located near laboratory.
Getting ThereCommunity Handi-Bus available</t>
  </si>
  <si>
    <t>Bassano Health Centre
Big Country Hospital
Bow Island Health Centre
Brooks Health Centre
Chinook Regional Hospital
Coaldale Health Centre
Crowsnest Pass Health Centre
Fort Macleod Health Centre
Medicine Hat Regional Hospital
Melcor Centre
Milk River Health Centre
Pincher Creek Health Centre
Raymond Health Centre
Taber Health Centre</t>
  </si>
  <si>
    <t>Cardston Health Centre</t>
  </si>
  <si>
    <t xml:space="preserve">This service supports individuals with leisure function and behavior challenges.Helps people withÂ physical, social, emotional, and mental challenges that affect their leisure activity by assessing their needs and strengths, developing, following and evaluating a therapy plan.Â  Teaches how to use resources and take part in recreation and leisure activities by:
improving coping and reasoning skills
supporting new learning
supporting greater independence and quality of life
increasing self-efficacyand adjusting to disability
reducing stress, depression, and anxiety
promoting a positive attitude
teaching how to reduce the risk of falls
improved memory and cognitive functioning
</t>
  </si>
  <si>
    <t>Fort McMurray Community Health Services
Address113 Thickwood Boulevard Fort McMurray, AlbertaT9H 5E5
Telephone780-791-6247
Getting TherePublic transportation available</t>
  </si>
  <si>
    <t>Athabasca Community Health Services
Barrhead Community Health Services
Beaverlodge Community Health Services
Bonnyville Healthcare Centre 
Boyle Healthcare Centre
Cold Lake Community Health Services
Elk Point Healthcare Centre
Fairview Health Complex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</si>
  <si>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Fort McMurray Community Health Services</t>
  </si>
  <si>
    <t>George McDougall - Smoky Lake Healthcare Centre
Address4212 55 Avenue Smoky Lake, AlbertaT0A 3C0
Telephone780-656-3034
Fax780-656-5010
Getting ThereOn the northeast side of town, along Highway 28.</t>
  </si>
  <si>
    <t>Athabasca Healthcare Centre
Barrhead Healthcare Centre
Bonnyville Healthcare Centre 
Central Peace Health Complex
Cold Lake Healthcare Centre
Edson Healthcare Centre
Fairview Health Complex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</si>
  <si>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Tofield Health Centre
Address5543 44 Street Tofield, AlbertaT0B 4J0
Telephone780-662-3984
Fax780-662-3355
Getting ThereEast of 44 St on 57 Ave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</si>
  <si>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Two Hills Health Centre
Vegreville Community Health Centre
Vermilion Provincial Building
Viking Community Health Centre
Wainwright Health Centre
Wetaskiwin Hospital and Care Centre
Winfield Community Health Centre</t>
  </si>
  <si>
    <t>Whitecourt Healthcare Centre
Address20 Sunset Boulevard Whitecourt, AlbertaT7S 1M8
Telephone780-778-8554
Fax780-778-5555
Getting ThereSouth of Highway 43</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</si>
  <si>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t>
  </si>
  <si>
    <t>Oilfields General Hospital
Address717 Government  Road Black Diamond, AlbertaT0L 0H0
Telephone1-877-652-4700 Intake Line, 403-933-3800 General Inquiries
Getting ThereParking available</t>
  </si>
  <si>
    <t>Days of the Week
Monday8:00 am - 4:30 pm
Tuesday8:00 am - 4:30 pm
Wednesday8:00 am - 4:30 pm
Thursday8:00 am - 4:30 pm
Friday8:00 am - 4:30 pm
Note
Closed for lunch from 12:00 - 12:45.</t>
  </si>
  <si>
    <t>Addiction and Mental Health Clinic - Strathmore
Airdrie Provincial Building
Banff Community Health Centre
Canmore Boardwalk Building
Chestermere Community Health Centre
Claresholm Addiction and Mental Health Clinic
Cochrane Addiction and Mental Health Clinic 
Didsbury District Health Services
High River Addiction and Mental Health Clinic 
Nanton Community Health Centre
Okotoks Mental Health Centre</t>
  </si>
  <si>
    <t>Oilfields General Hospital</t>
  </si>
  <si>
    <t>Onoway Community Health Services
Address4919 Lac Ste Anne Trail Onoway, AlbertaT0E 1V0
Telephone780-967-4433
Fax780-967-4440</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</si>
  <si>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</si>
  <si>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Rocky View Schools
Address2641 Chinook Winds Avenue SWAirdrie, AlbertaT4B 3R3
Telephone403-945-4000 (Registration / Information)
Websitehttps://register.rockyview.ab.ca/public/</t>
  </si>
  <si>
    <t>Rocky View Schools</t>
  </si>
  <si>
    <t xml:space="preserve">This is a prevention and promotion initiative that works to increase a community's capacity to promote the development of positive mental health and wellness in its children, youth and families using schools as hubs.Using prevention and promotion activities Stepping Stones to Mental Health works toÂ increase access to evidence information universal mental health promotion and prevention programming, establish effective mentorship opportunities for adults who interact with children and youth and advance an integrated approach to promoting mental health and preventing mental health problems among community partners, government, schools and industry.
</t>
  </si>
  <si>
    <t>Service Providers May Includecare services managers, doctors, medical directors, occupational therapists, psychiatrists, recreational therapists, registered nurses (RNs), social workers
EligibilityClient must be diagnosed with some form of dementia and exhibit challenging behaviours. Additionally clients under the age of 65 are considered on a case to case basis.
Referral NeededReferrals to our services is achieved by contacting the Alberta Health Services Transition Services team in your area.
Service LanguagesInterpreter/Translation services</t>
  </si>
  <si>
    <t>Bethany Calgary
Address916 18A Street NWCalgary, AlbertaT2N 1C6
Telephone403-284-6080, 403-943-1920 (Placement - Community Care Access)
Fax403-282-8183</t>
  </si>
  <si>
    <t>Bethany Calgary</t>
  </si>
  <si>
    <t xml:space="preserve">This flow-through unit provides service for older adults with dementia and challenging behaviours.This service provides care for older adults with dementia and challenging behaviours that are difficult to manage in other settings. This unit supports the assessment, stabalization and overall transition back to a traditional long term care setting for residents requiring this level of care.
</t>
  </si>
  <si>
    <t>Service Providers May Includedoctors, licensed practical nurses (LPNs), occupational therapists (OTs), psychiatrists, psychologists, recreational therapists, registered nurses (RNs), social workers, spiritual care providers, therapy assistants
EligibilityFor children and adolescents with acute psychiatric symptoms or those suffering from a severe mental health disorder.
Wait TimesAn estimated wait time will be provided at the time of appointment booking.
Service LanguagesInterpreter/Translation services</t>
  </si>
  <si>
    <t>Alberta Children's Hospital
Foothills Medical Centre</t>
  </si>
  <si>
    <t xml:space="preserve">Provides inpatient care for people with serious, ongoing mental health concerns.Offers services forÂ children and adolescentsÂ who have serious, ongoing mental health concerns, including:
assessment and treatment
access to social work, community liaison, and rehabilitation services
</t>
  </si>
  <si>
    <t>Service Providers May Includedoctors, occupational therapists (OTs), psychiatrists, psychologists, recreation therapists, registered nurses (RNs), social workers, therapy assistants
EligibilityAdults ages 18 to 64 years.
Referral NeededA doctor's referral is needed.
Â 
Service A doctor's referral is needed. Include relevant psychiatric and medical details.
Wait TimesWaiting time varies - based on triage and unit capacity.
FeesThere may be a charge for staying in the rehabilitation units at the Centennial Centre for Mental Health and Brain Injury, if you are no longer in need of service.</t>
  </si>
  <si>
    <t>Centennial Centre for Mental Health and Brain Injury
AddressBox 1000 46  Street SPonoka, AlbertaT4J 1R8
Telephone403-783-7852
Fax403-783-7786
AccessibilityMain entrance</t>
  </si>
  <si>
    <t>Centennial Centre for Mental Health and Brain Injury</t>
  </si>
  <si>
    <t xml:space="preserve">Provides care to patients and support to families within Acute Mental Health.The program offers:
Acute Mental Health Services
Assessment, treatment, and stabilization to people 18 to 64 years who have a severe and continuing mental illness and/or are having an acute mental health crisis. The program supports people as they integrate back into their community by making sure they have the contacts and services they need.
Â 
</t>
  </si>
  <si>
    <t>Rocky Mountain House Health Centre
Address5016 52 Avenue Rocky Mountain House, AlbertaT4T 1T2
Telephone403-844-5236
Fax403-844-5236</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</si>
  <si>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Stettler Hospital and Care Centre
Sundre Hospital and Care Centre
Sylvan Lake Community Health Centre
Three Hills Provincial Building
Vegreville Provincial Building 
Wainwright 905A 3 Avenue
Wetaskiwin Provincial Building</t>
  </si>
  <si>
    <t>Rocky Mountain House Health Centre</t>
  </si>
  <si>
    <t>Service Providers May Includedoctors, mental health therapists
Service LanguagesInterpreter/Translation services</t>
  </si>
  <si>
    <t>Mineral Springs Hospital
Address305 Lynx Street Banff, AlbertaT1L 1H7
Telephone403-762-4451</t>
  </si>
  <si>
    <t>Days of the Week
Monday2:00 pm - 9:00 pm
Tuesday2:00 pm - 9:00 pm
Wednesday2:00 pm - 9:00 pm
Thursday2:00 pm - 9:00 pm
Friday2:00 pm - 9:00 pm
Saturday2:00 pm - 9:00 pm
Sunday2:00 pm - 9:00 pm</t>
  </si>
  <si>
    <t>Canmore General Hospital
Cochrane Community Health Centre
Sheldon M. Chumir Health Centre</t>
  </si>
  <si>
    <t>Mineral Springs Hospital</t>
  </si>
  <si>
    <t xml:space="preserve">Helps people who are having a mental health crisis.Services offered may include:
treatment
referrals
information and/or follow-ups, if needed
</t>
  </si>
  <si>
    <t>Service Providers May Includefamily counsellors, occupational therapists(OTs), psychologists
EligibilityAges 17 years or younger in need of intensive outpatient mental health services.
Service Healthcare providers should consult the Alberta Referral Directory for service referral information.
Intake is coordinated through  Mental Health. Call for more information.
Wait TimesAn estimated wait time will be provided at the time of appointment booking.
Service LanguagesInterpreter/Translation services</t>
  </si>
  <si>
    <t>South Health Campus
Address4448 Front Street SECalgary, AlbertaT3M 1M4
Telephone403-943-1500 (Access Mental Health)
Getting ThereParking available
Parking map</t>
  </si>
  <si>
    <t>Days of the Week
Monday8:00 am - 8:00 pm
Tuesday8:00 am - 8:00 pm
Wednesday8:00 am - 6:00 pm
Thursday8:00 am - 8:00 pm
Friday8:00 am - 8:00 pm
Saturday8:00 am - 6:00 pm</t>
  </si>
  <si>
    <t xml:space="preserve">Provides an intensive outpatient service for children transitioning from a mental health inpatient admission back to the community, as well as those who need mental health community-based care.Outpatient services can include:
family, individual, and group therapy
case management
referrals to other addiction and mental health supports
There is limited access to other health consultation services including psychiatry.
</t>
  </si>
  <si>
    <t>Service Providers May Includeoccupational therapists (OTs), psychiatrists, psychologists, registered nurses (RNs), social workers
EligibilityAdults, 18 years of age and older, experiencing acute addiction and / or mental health concerns that significantly impair their daily functioning.
Service Healthcare providers should consult the Alberta Referral Directory for service referral information.
Wait TimesAn estimated wait time will be provided at the time of appointment booking.
Service LanguagesInterpreter/Translation services</t>
  </si>
  <si>
    <t>Foothills Medical Centre
Address1403 29 Street NWCalgary, AlbertaT2N 2T9
Telephone403-943-1500 Access Mental Health, 403-944-1286
Tollfree1-844-943-1500
Fax403-270-2093
Getting ThereParking available
Parking map</t>
  </si>
  <si>
    <t>Days of the Week
Monday8:00 am - 4:00 pm
Tuesday8:00 am - 4:00 pm
Wednesday8:00 am - 4:00 pm
Thursday8:00 am - 4:00 pm
Friday8:00 am - 4:00 pm
Note
Closed weekends and statutory holidays.</t>
  </si>
  <si>
    <t xml:space="preserve">Offers stabilization and treatment for individuals experiencing acute addiction and/or mental health concerns which significantly impair their daily functioning.Offers a four to eight week program including the following program components:
psycho-education groups
skill development to enhance individualsâ€™ abilities to manage current and future addiction and/or mental health concerns
individual therapy
multidisciplinary team support (nursing, social work, occupational therapy, psychology, psychiatry)
</t>
  </si>
  <si>
    <t>Service Providers May Includeaddiction counsellors, addiction and mental health therapists, registered nurses (RNs), social workers
EligibilityHistory of substance use / gambling / sex addiction or concerned about anothers substance use and / or gambling.
Service LanguagesInterpreter/Translation services</t>
  </si>
  <si>
    <t>Centre Hope Building 
Address4906 49 Avenue Leduc, AlbertaT9E 6W6
Telephone780-986-2660
Tollfree1-866-332-2322 (24 hr Help Line)
Fax780-986-9292</t>
  </si>
  <si>
    <t>Days of the Week
Monday8:00 am - 4:30 pm
Tuesday8:00 am - 4:30 pm
Wednesday8:00 am - 4:30 pm
Thursday8:00 am - 4:30 pm
Friday8:00 am - 4:30 pm
Note
This is not a walk-in service. Call for an appointment.</t>
  </si>
  <si>
    <t>Addiction Services Edmonton
St. Albert Provincial Building
Strathcona Community Hospital
WestView Health Centre - Stony Plain</t>
  </si>
  <si>
    <t xml:space="preserve">Centre Hope Building </t>
  </si>
  <si>
    <t xml:space="preserve">Provides outpatient services for adults and those concerned about them when dealing with alcohol, other drug, gambling, concurrent sex addiction and substance use as well as concurrent substance and mental health issues.Provides personalized walk-in intake and assessment, treatment and referral services and a wide range of individual, group and family counseling. Group sessions related to addiction recovery run in the morning, afternoon and evenings.
An intensive, outpatient three week gender specific program focuses on recovery from substance use and / or gambling. Psychiatric or mental health consultations are provided to clients as needed as is referral for clients to self-help groups and other supports in the community.
</t>
  </si>
  <si>
    <t>Bonnyville New Park Place
Address5201 44  Street Bonnyville, AlbertaT9N 2G5
Telephone780-342-2383, 780-342-3348
Getting ThereLocated in the Bonnyville Remax Building, 2nd Floor.</t>
  </si>
  <si>
    <t>Athabasca Community Health Services
Barrhead Healthcare Centre
Beaverlodge Community Health Services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</si>
  <si>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Calgary 707 10 Avenue SW
Address707 10 Avenue SWCalgary, AlbertaT2R 0B3
Telephone403-367-5000</t>
  </si>
  <si>
    <t>Note
Please call for intake hours.</t>
  </si>
  <si>
    <t>Airdrie 125 Main Street NW
Airdrie 209 Centre Avenue West
Associates Counselling Services Office
Brooks Community Cultural Centre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</si>
  <si>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La Crete Community Health Centre
Address10601 100 Avenue La Crete, AlbertaT0H 2H0
Telephone780-841-3229
Tollfree1-877-303-2642 (24 hr Help Line)
Fax780-926-7378</t>
  </si>
  <si>
    <t>Days of the Week
Monday8:00 am - 4:30 pm
Thursday9:00 am - 4:30 pm</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</si>
  <si>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</si>
  <si>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La Crete Community Health Centre</t>
  </si>
  <si>
    <t>Service Providers May Includeinformation and referral specialists
Service Call 1-866-332-2322 (toll free within Alberta) for addiction support.</t>
  </si>
  <si>
    <t>Alberta-Wide Web and / or Telephone Access
Telephone1-866-332-2322
Getting TherePhysical location not applicable.</t>
  </si>
  <si>
    <t xml:space="preserve">Telephone advice and service referral for adults and youth requiring addiction services.The Addiction Helpline is a toll free confidential service which provides alcohol,Â tobacco, other drugs and problem gamblingÂ support, information and referral to services. The Addiction Helpline operates 24 hour a day, seven days a weekÂ and isÂ available to all Albertans.
</t>
  </si>
  <si>
    <t>Racette School
Address4638 50 Avenue St. Paul, AlbertaT0A 3A2
Telephone780-645-3571</t>
  </si>
  <si>
    <t>Ashmont Elementary School
Ashmont Secondary School
Glen Avon School
St. Paul Elementary Community School
Two Hills Mennonite School</t>
  </si>
  <si>
    <t>Racette School</t>
  </si>
  <si>
    <t>Service Providers May Includeoccupational therapists (OTs),physicians, psychologists
EligibilityOpen to cancer patients, coupled or single, regardless of sexual orientation.
Service LanguagesInterpreter/Translation services</t>
  </si>
  <si>
    <t>Westmount Shopping Centre
Telephone780-643-4303</t>
  </si>
  <si>
    <t>Cross Cancer Institute
Tom Baker Cancer Centre</t>
  </si>
  <si>
    <t>Westmount Shopping Centre</t>
  </si>
  <si>
    <t xml:space="preserve">The OASIS Program is a sexual health program for those living with and beyond cancer.A variety of in-person programs and services for patients (and their partners) in Calgary and Edmonton. Telehealth consultations are available to patients across the province. Patients can now get helpÂ in the privacy of their home. Topics covered include:
female sexuality and cancer
male sexuality and cancer
erectile dysfunction
vaginal health
lose of sexual desire
fertility
</t>
  </si>
  <si>
    <t>Smoky Lake Continuing Care Centre
Address4607 52 Avenue Smoky Lake, AlbertaT0A 3C0
Telephone780-656-3034
Fax780-656-5010</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</si>
  <si>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St. Therese - St. Paul Healthcare Centre
Valleyview Health Centre
Westlock Continuing Care Centre
William J. Cadzow - Lac La Biche Healthcare Centre</t>
  </si>
  <si>
    <t>Smoky Lake Continuing Care Centre</t>
  </si>
  <si>
    <t>Medicine Hat Regional Hospital
Address666 5 Street SWMedicine Hat, AlbertaT1A 4H6
Telephone403-502-8648 Ext 1823
EmailBob.Findley@ahs.ca
AccessibilityMain entranceParking stalls and washrooms
Getting ThereParking available
Parking map</t>
  </si>
  <si>
    <t>Bassano Health Centre
Big Country Hospital
Bow Island Health Centre
Brooks Health Centre
Chinook Regional Hospital
Coaldale Health Centre
Pincher Creek Health Centre
Taber Health Centre</t>
  </si>
  <si>
    <t>Medicine Hat Regional Hospital</t>
  </si>
  <si>
    <t>Stettler Community Health Centre
Address5911 50 Avenue Stettler, AlbertaT0C 2L0
Telephone403-742-3326
Getting ThereParking available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</si>
  <si>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</si>
  <si>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Stettler Community Health Centre</t>
  </si>
  <si>
    <t>Hinton Healthcare Centre
Address1280 Switzer Drive Hinton, AlbertaT7V 1V2
Telephone780-865-3333
Fax780-865-1099</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</si>
  <si>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</si>
  <si>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Hinton Healthcare Centre</t>
  </si>
  <si>
    <t>Service Providers May Includespiritual health practioners
Service LanguagesInterpreter/Translation services</t>
  </si>
  <si>
    <t>University of Alberta Hospital
Address8440 112 Street NWEdmonton, AlbertaT6G 2B7
Telephone780 407-8447, 780-407-8822 (Switchboard)
Getting ThereParking and Public transportation available
Parking map</t>
  </si>
  <si>
    <t>Days of the Week
Monday8:00 am - 4:15 pm
Tuesday8:00 am - 4:15 pm
Wednesday8:00 am - 4:15 pm
Thursday8:00 am - 4:15 pm
Friday8:00 am - 4:15 pm
Note
Spiritual Care Services can be reached 24 hours a day, 7 days a week by contacting the hospital switchboard.</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</si>
  <si>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WestView Health Centre - Stony Plain
Youville Home</t>
  </si>
  <si>
    <t xml:space="preserve">Gives spiritual and emotional support to patients, families, and staff in the hospital.Offers spiritual and emotional support for patients, families, and staff in the hospital. Services are for people of any religion or culture and may include:
help dealing with difficult decisions or issues of life and death
help talking about ethical concerns or problems
bereavement (grief) counselling
Support is available through:
compassionate staff members
prayer, ritual, or ceremonies
spiritual counsel
help linking people to their faith community
a space set aside for private prayer and services
</t>
  </si>
  <si>
    <t>Wetaskiwin 5010 50 Avenue
Address5010 50 Avenue Wetaskiwin, AlbertaT9A 0S4
Telephone780-352-4010
Emailfrc10@telus.net</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</si>
  <si>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Provincial Building
YW Sheriff King Home</t>
  </si>
  <si>
    <t>Wetaskiwin 5010 50 Avenue</t>
  </si>
  <si>
    <t>St. Paul Community Health Services
Address5610 50 Avenue St. Paul, AlbertaT0A 3A1
Telephone780-645-6609
Fax780-645-3396</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</si>
  <si>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Swan Hills Healthcare Centre
Thorhild Community Health Services
Valleyview Community Health Services
Wabasca / Desmarais Community Health Services
Westlock Community Health Services
Whitecourt Healthcare Centre</t>
  </si>
  <si>
    <t>St. Paul Community Health Services</t>
  </si>
  <si>
    <t>Service Providers May Includepsychiatrists, registered nurses (RNs)
Referral NeededA referral from a doctor in the hospital is needed. Referrals need to be made using the electronic referral system.
Service LanguagesInterpreter/Translation services</t>
  </si>
  <si>
    <t>Rockyview General Hospital
Address7007 14 Street SWCalgary, AlbertaT2V 1P9
Telephone403-943-8645
Getting ThereParking available
Parking map</t>
  </si>
  <si>
    <t>Alberta Children's Hospital
Foothills Medical Centre
Peter Lougheed Centre
South Health Campus</t>
  </si>
  <si>
    <t xml:space="preserve">Assesses and provides care and psychiatric treatment recommendations for people who are in the hospital with a health issue and who have a mental health concern that is affecting their treatment.Services include:
short term counselling interventionÂ while in the hospital
addiction assessments
referrals to community services when being discharged
support and education to hospital staff about caring for patients with psychiatric/mental health concerns
</t>
  </si>
  <si>
    <t>Edson Healthcare Centre
Address3837 6 Avenue Edson, AlbertaT7E 0C5
Telephone1-844-817-5009 (Central Intake), 1-877-303-2642 (24 hr Mental Health Help Line)</t>
  </si>
  <si>
    <t>Days of the Week
Monday8:15 am - 4:30 pm
Tuesday8:15 am - 4:30 pm
Wednesday8:15 am - 4:30 pm
Thursday8:15 am - 4:30 pm
Friday8:15 am - 4:30 pm
Note
Closed 12:00 PM (noon) to 1:00 PM,Â  and statutory holidays.</t>
  </si>
  <si>
    <t>Athabasca Community Health Services
Barrhead Healthcare Centre
Beaverlodge Community Health Services
Bonnyville New Park Place
Cold Lake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</si>
  <si>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Taber Health Centre
Address4326 50 Avenue Taber, AlbertaT1G 1N9
Telephone403-223-7214
Fax403-223-1703
Getting ThereCommunity Handi-Bus available</t>
  </si>
  <si>
    <t>Bassano Health Centre
Big Country Hospital
Bow Island Health Centre
Brooks Health Centre
Cardston Health Centre
Chinook Regional Hospital
Coaldale Health Centre
Crowsnest Pass Health Centre
Fort Macleod Health Centre
Medicine Hat Regional Hospital
Melcor Centre
Milk River Health Centre
Pincher Creek Health Centre
Raymond Health Centre</t>
  </si>
  <si>
    <t>Taber Health Centre</t>
  </si>
  <si>
    <t>Service Providers May Includeaddiction prevention specialists
Service Healthcare providers should consult the Alberta Referral Directory for service referral information.
Please call to book an appointment.</t>
  </si>
  <si>
    <t>Brooks 403  2 Avenue W
Address403 2 Avenue Brooks, AlbertaT1R 0S3
Telephone403-362-1265
Fax403-362-1248</t>
  </si>
  <si>
    <t>Days of the Week
Monday8:00 am - 4:30 pm
Tuesday8:00 am - 4:30 pm
Wednesday8:00 am - 4:30 pm
Thursday8:00 am - 4:30 pm
Friday8:00 am - 4:30 pm
Note
Office closed 12:00 PM - 12:45 PM.</t>
  </si>
  <si>
    <t>Crowsnest Pass Provincial Building
Lethbridge Provincial Building
Medicine Hat Provincial Building
Oyen Community Health Services
Taber Health Centre</t>
  </si>
  <si>
    <t>Brooks 403  2 Avenue W</t>
  </si>
  <si>
    <t xml:space="preserve">Provides alcohol, other drugs, tobacco, and gambling prevention, and education services.Provides prevention services for people, families, schools, communities, and workplaces.
Addiction prevention support may include:
consultation
needs assessment
education
orientation to prevention best practice
prevention activity planning
other support as needed
</t>
  </si>
  <si>
    <t>Service Providers May Includedental health consultants, health promotion facilitators, injury prevention nurses, licensed practical nurses (LPNs), registered dental assistants, registered dental hygienists, school health nursing consultants, school nursing registered nurses (RNs)
Service Contact for more information.
Service LanguagesInterpreter/Translation services</t>
  </si>
  <si>
    <t>Devon General Hospital
Address101 Erie Street SDevon, AlbertaT9G 1A6
Telephone780-342-7069
AccessibilityEntrance</t>
  </si>
  <si>
    <t>Days of the Week
Monday8:30 am - 5:00 pm
Tuesday8:30 am - 5:00 pm
Wednesday8:30 am - 5:00 pm
Thursday8:30 am - 5:00 pm
Friday8:30 am - 5:00 pm
Note
Closed 12:00 PM to 1:00 PM.</t>
  </si>
  <si>
    <t>Beaumont Public Health Centre
Bonnie Doon Public Health Centre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</si>
  <si>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Devon General Hospital</t>
  </si>
  <si>
    <t xml:space="preserve">Provides teachers and parents in the Edmonton Zone with support, resources, and information about child and youth health issues and services.Services include:
School Health Nursing
School Dental Services
For more information visit our website.
</t>
  </si>
  <si>
    <t>Service Providers May Includeaddiction counselors, nurses, psychiatrists, psychologists, social workers
EligibilityAddiction / mental health concerns must be related to service.
Referral NeededReferrals must be received from the Department of National Defence, RCMP, or Veterans Affairs Canada. Potential clients must contact one of our three referral sources, who will provide authorization / referral form.
Service Veterans Affairs, RCMP, or Department of National Defence.
Wait TimesAn estimated wait time will be provided at the time of appointment booking.
Service LanguagesInterpreter/Translation services</t>
  </si>
  <si>
    <t>Northgate Centre
Address9499 137 Avenue Edmonton, AlbertaT5E 5R8
Telephone780-342-2792
Tollfree1-877-657-5770
Fax780-476-5906
Getting ThereParking and Public transportation available</t>
  </si>
  <si>
    <t>Days of the Week
Monday8:00 am - 4:30 pm
Tuesday8:00 am - 7:30 pm
Wednesday8:00 am - 4:30 pm
Thursday8:00 am - 4:30 pm
Friday8:00 am - 4:30 pm</t>
  </si>
  <si>
    <t>/affiliations
Veterans Affairs Canada, RCMP, Department of National Defence</t>
  </si>
  <si>
    <t>Northgate Centre</t>
  </si>
  <si>
    <t xml:space="preserve">Provides mental health services for operational stress injuries (depression, anxiety, PTSD, substance use / addiction problems) related to services in the Canadian Armed Forces or RCMP, army / navy. Supports are also provided to the clients family.Specialized services offered include assessment and treatment with an interdisciplinary team comprised of psychologists, social workers (clinical specialization), nurse and addiction counselor, and psychiatrists.
We cover the northern half of Alberta, as well as the Northwest Territories.We also provide services in our clinic, or via Telehealth for clients who may be limited in their ability to travel.
</t>
  </si>
  <si>
    <t>Barrhead Administration Building
Address5143 50 Street Barrhead, AlbertaT7N 1A4
Telephone780-674-8239 (Addiction Services)
Tollfree310-0000 780-674-8239, 1-866-332-2322 (24 hr Help Line)
Fax780-674-8294</t>
  </si>
  <si>
    <t>Days of the Week
Monday8:15 am - 4:30 pm
Tuesday8:15 am - 4:30 pm
Wednesday8:15 am - 4:30 pm
Thursday8:15 am - 4:30 pm
Friday8:15 am - 4:30 pm
Note
Closed 12:30 PM to 1:00 PM, and statutory holidays.</t>
  </si>
  <si>
    <t>Athabasca Community Health Services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</si>
  <si>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Barrhead Administration Building</t>
  </si>
  <si>
    <t>Killam 4811 49 Avenue
Address4811 49 Avenue Killam, AlbertaT0B 2L0
Telephone780-385-7161
Fax780-385-3329</t>
  </si>
  <si>
    <t>Camrose Addiction and Mental Health Clinic
Consort Community Health Centre
Coronation Hospital and Care Centre
Drayton Valley Community Health Centre
Drumheller Health Centre
Hanna Health Centre
Hardisty Health Centre
Innisfail Health Centre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</si>
  <si>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Killam 4811 49 Avenue</t>
  </si>
  <si>
    <t>Queen Elizabeth II Hospital
Address10409 98 Street Grande Prairie, AlbertaT8V 2E8
Telephone780-538-7346
Fax780-538-7217
Getting ThereParking map</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</si>
  <si>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Slave Lake Healthcare Centre
St. Theresa General Hospital 
St. Therese - St. Paul Healthcare Centre
Westlock Healthcare Centre
Whitecourt Healthcare Centre
William J. Cadzow - Lac La Biche Healthcare Centre</t>
  </si>
  <si>
    <t>Queen Elizabeth II Hospital</t>
  </si>
  <si>
    <t>Lac La Biche Provincial Building
Address9503 Beaverhill Road Lac La Biche, AlbertaT0A 2C0
Telephone780-623-5230
Tollfree 310-0000 780-623-5230
Fax 780-623-5232</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</si>
  <si>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</si>
  <si>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Lac La Biche Provincial Building</t>
  </si>
  <si>
    <t>Harcourt House
Address10215 112 Street Edmonton, AlbertaT5K 1M7
Telephone780-705-7760
Websitehttp://www.artmentorshipab.com</t>
  </si>
  <si>
    <t>Days of the Week
Tuesday11:00 am - 1:00 pm
Wednesday11:00 am - 1:00 pm
Thursday11:00 am - 1:00 pm
Friday11:00 am - 1:00 pm
Saturday12:00 pm - 4:00 pm
Note
Closed Sunday - Monday</t>
  </si>
  <si>
    <t>/affiliations
Art Mentorship Society of Alberta, BGS Enterprises, Canadian Mental Health Association - Edmonton Region, Clubhouse Society of Edmonton &amp; Area, E4C, Edmonton Chamber of Voluntary Organizations, Edmonton Mennonite Centre for Newcomers,  EmployAbilities Society of Alberta, Excel Resources Society, Momentum Walk In Counselling Society of Edmonton, Norwood Child and Family Resource Centre, On Site Placement Services, Pride Centre of Edmonton, Schizophrenia Society of Alberta - Edmonton, Strathcona County Family &amp; Community Services</t>
  </si>
  <si>
    <t>Alex Taylor School
Baker Centre, The
Bonnie Doon Shopping Centre
Community Centre
Edmonton 10608 105 Avenue
Edmonton 108 Street Building 
Edmonton 5215 87 Street
Edmonton Mennonite Centre for Newcomers
First Edmonton Place
GB Building
Ledgeview Business Centre
McDougall House
Northgate Centre
Our House Addiction Recovery Centre
Royal Alex Place
Transition Place
WSP Place</t>
  </si>
  <si>
    <t>Harcourt House</t>
  </si>
  <si>
    <t xml:space="preserve">Individual support with recovery goals of education, employment, fitness, and / or recreation.Provides recovery oriented services in the areas of employment, volunteering, education and self-management skill development in dynamic individual and group formats.
This service is provided by AHS and AHS contracted service providers.
</t>
  </si>
  <si>
    <t>Foothills Medical Centre
Address1403 29 Street NWCalgary, AlbertaT2N 2T9
Telephone403-944-1351
Fax403-283-1777
Getting ThereParking available
Parking map</t>
  </si>
  <si>
    <t>Canmore General Hospital
High River General Hospital
Peter Lougheed Centre
Rockyview General Hospital
South Health Campus</t>
  </si>
  <si>
    <t>Wild Rose Assisted Living 
Address5002 Ball Avenue Boyle, AlbertaT0A 0M0
Telephone780-689-3882</t>
  </si>
  <si>
    <t>Bar-V-Nook Manor
Edson Healthcare Centre
Grande Prairie Care Centre
Heimstaed Lodge
Hinton Continuing Care Centre
J. B. Wood Continuing Care Centre
Manoir du Lac 
Points West Living Cold Lake
Points West Living Grande Prairie
Points West Living Lac La Biche
Points West Living Peace River
Points West Living Slave Lake
Stone Brook</t>
  </si>
  <si>
    <t xml:space="preserve">Wild Rose Assisted Living </t>
  </si>
  <si>
    <t>Drumheller Health Centre
Address351 9 Street NWDrumheller, AlbertaT0J 0Y1
Telephone403-820-7980
Tollfree24 Hour Mental Health Help Line 1 877-303-2642, 24 Hour Addiction Help Line 1 877-332-2322
Fax403 820-7865</t>
  </si>
  <si>
    <t>Drayton Valley Community Health Centre
Lacombe Mental Health Centre
Olds Hospital and Care Centre
Ponoka Provincial Building
Red Deer 49 Street Community Health Centre - Addiction and Mental Health Services
Rocky Mountain House Health Centre
Stettler Hospital and Care Centre
Sylvan Lake Community Health Centre
Wetaskiwin Provincial Building</t>
  </si>
  <si>
    <t>Drumheller Health Centre</t>
  </si>
  <si>
    <t>Northwest Health Centre 
Address11202 100 Avenue High Level, AlbertaT0H 1Z0
Telephone780-841-3200
Fax780-926-7373</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</si>
  <si>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</si>
  <si>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Points West Living Cold Lake
Address512 25 Street Cold Lake, AlbertaT9M 1G6
Telephone780-639-1260 (Switchboard)
Tollfree1-855-371-4122 (Continuing Care Access)
Fax1-855-776-3805 (Continuing Care Access)</t>
  </si>
  <si>
    <t>Bar-V-Nook Manor
Edson Healthcare Centre
Grande Prairie Care Centre
Heimstaed Lodge
Hinton Continuing Care Centre
J. B. Wood Continuing Care Centre
Manoir du Lac 
Points West Living Grande Prairie
Points West Living Lac La Biche
Points West Living Peace River
Points West Living Slave Lake
Stone Brook
Wild Rose Assisted Living</t>
  </si>
  <si>
    <t>Points West Living Cold Lake</t>
  </si>
  <si>
    <t>Peter Lougheed Centre
Address3500 26 Avenue NECalgary, AlbertaT1Y 6J4
Websitehttp://www.albertahealthservices.ca
Getting ThereParking available
Parking map</t>
  </si>
  <si>
    <t>Foothills Medical Centre
Rockyview General Hospital
South Health Campus</t>
  </si>
  <si>
    <t>Fort Macleod Health Centre
Address744 26 Street SFort Macleod, AlbertaT0L 0Z0
Telephone403-330-8691
Fax403-388-6718</t>
  </si>
  <si>
    <t>Bassano Health Centre
Big Country Hospital
Bow Island Health Centre
Brooks Health Centre
Cardston Health Centre
Chinook Regional Hospital
Coaldale Health Centre
Crowsnest Pass Health Centre
Medicine Hat Regional Hospital
Melcor Centre
Milk River Health Centre
Pincher Creek Health Centre
Raymond Health Centre
Taber Health Centre</t>
  </si>
  <si>
    <t>Fort Macleod Health Centre</t>
  </si>
  <si>
    <t>Service Providers May Includeaddictions counsellors, mental health promotion facilitators, occupational therapists (OTs), psychiatrists, psychologists, registered nurses (RNs), social workers
EligibilityFor school aged children, youth and their families.
Referral NeededReferral processes will vary across the zone. Contact your child's school for information about school based and school linked services.
Wait TimesWait time varies.</t>
  </si>
  <si>
    <t>Seton - Jasper Healthcare Centre
Address518 Robson Street Jasper, AlbertaT0E 1E0
Telephone780-852-6616
Fax780-852-3413
Getting ThereLocated behind the Jasper Emergency Services Building.</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</si>
  <si>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Slave Lake 101 3 Street
St. Theresa General Hospital 
St. Therese - St. Paul Healthcare Centre
Swan Hills Healthcare Centre
Valleyview Community Health Services
Westlock Provincial Building
Whitecourt Healthcare Centre</t>
  </si>
  <si>
    <t xml:space="preserve">Provides a range of services to support school aged children, youth and their familiesThe Regional Collaborative Service Delivery is designed to coordinate, integrate and enhance supports and services from service providers to effectively meet the needs of children, youth and their families and support their learning and well being.
Services include prevention, targeted intervention and individual intervention to school aged children, youth and their families related to a wide range of emotional and behavioral concerns.
How services are delivered and by whom may vary across the zone.
</t>
  </si>
  <si>
    <t>Westlock Provincial Building
Address10003 100 Street Westlock, AlbertaT7P 2E8
Telephone780-349-5246
Fax780-349-5846</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</si>
  <si>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Whitecourt Healthcare Centre</t>
  </si>
  <si>
    <t>Westlock Provincial Building</t>
  </si>
  <si>
    <t>Edson Healthcare Centre
Address3837 6 Avenue Edson, AlbertaT7E 0C5
Telephone780-723-3331 (Switchboard)</t>
  </si>
  <si>
    <t>Athabasca Community Health Services
Barrhead Community Health Services
Bonnyville Community Health Services
Boyle Healthcare Centre
Cold Lake Community Health Services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</si>
  <si>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Coaldale Health Centre
Address2100 11 Street Coaldale, AlbertaT1M 1L2
Telephone403-328-2292 , 403-715-2752
Emailabmills@telus.net
AccessibilityMain entranceWashrooms</t>
  </si>
  <si>
    <t>Bassano Health Centre
Big Country Hospital
Bow Island Health Centre
Brooks Health Centre
Chinook Regional Hospital
Medicine Hat Regional Hospital
Pincher Creek Health Centre
Taber Health Centre</t>
  </si>
  <si>
    <t>Coaldale Health Centre</t>
  </si>
  <si>
    <t>Service Providers May Includeactivity convener, health care aides, licensed practical nurses (LPNs), occupational therapists (OTs), pharmacists, physicians, physiotherapists (PTs), recreation therapists, registered nurses (RNs), social workers, therapy aides
EligibilityFor adults 60 years and older:
with complex, long-term health issues who live in their own homes
willing to change their family doctor and pharmacist to CHOICE healthcare providers
can attend the day centre regularly using transportation provided
Under 60 years:
functionally frail, physically disabled, cognitively impaired, or who have challenging behaviours
Call for more information on eligibility.
Wait TimesAn estimated wait time will be provided at the time of appointment booking.
FeesThere is a program fee for non-health-related services; medicine costs are billed through Alberta Blue Cross or other plans; and clients cover co-pay amounts for medications. Call for more information.
Service LanguagesInterpreter/Translation services</t>
  </si>
  <si>
    <t>Good Samaritan Place
Address8425 83 Street Edmonton, AlbertaT6C 2Z2
Telephone780-496-1300 (Community Care Access), 780-413-3500 (Facility)
Fax780-466-3043
Websitehttps://gss.org/services/choice-program/
AccessibilityEntrance</t>
  </si>
  <si>
    <t>CapitalCare CHOICE Mental Health
CapitalCare CHOICE Norwood
CapitalCare Dickinsfield
CapitalCare Norwood
Good Samaritan Dr. Gerald Zetter Care Centre</t>
  </si>
  <si>
    <t>Good Samaritan Place</t>
  </si>
  <si>
    <t xml:space="preserve">Provides services for older adults who have complex health issues and want to remain living in their own homes. The goal of the program is to keep clients healthy, at home, and out of the hospital system.Provides services for older adults who have many health issues and are living in their own homes. Services may include:Â 
access to a day centre
checking and treating health issues by CHOICE physician
filling prescriptions for medicines by CHOICE pharmacy
rehabilitation
24/7 telephone support
help with everday activities based on assessed need (services are provided through AHS Home Care Contracted providers)Â 
This service also offers special programs for people in the later stages of dementia or who haveÂ long-term mental health issues.
Clients may have up to 5 assessment visits before joining the program.
</t>
  </si>
  <si>
    <t>Lamont Health Care Centre
Address5216 53  Street Lamont, AlbertaT0B 2R0
Telephone780-895-5817</t>
  </si>
  <si>
    <t>Days of the Week
Tuesday8:00 am - 4:30 pm
Thursday8:00 am - 4:30 pm
Note
ClosedÂ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</si>
  <si>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</si>
  <si>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Lamont Health Care Centre</t>
  </si>
  <si>
    <t>CapitalCare McConnell Place North
Address9113 144 Avenue NWEdmonton, AlbertaT5E 6K2
Telephone780-496-1300 (Community Care Access)
Emailinfo@capitalcare.net
Websitehttp://www.capitalcare.net/ie/Page156.aspx</t>
  </si>
  <si>
    <t>Balwin Villa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</si>
  <si>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CapitalCare McConnell Place North</t>
  </si>
  <si>
    <t>Rotary Flames House
Address18 Children's Drive NWCalgary, AlbertaT3B 6A8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</si>
  <si>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</si>
  <si>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Rotary Flames House</t>
  </si>
  <si>
    <t>Westlock Provincial Building
Address10003 100 Street Westlock, AlbertaT7P 2E8
Telephone780-349-5246
Tollfree310-0000 780-349-5246, 1-877-303-2642 (24 hr Help Line)
Fax780-349-5846</t>
  </si>
  <si>
    <t>Days of the Week
Monday8:00 am - 4:30 pm
Tuesday8:00 am - 4:30 pm
Wednesday8:00 am - 4:30 pm
Thursday8:00 am - 4:30 pm
Friday8:00 am - 4:30 pm
Note
Closed 12:00 PM (noon) to 12:45 PM, and Statutory holidays.</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</si>
  <si>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Whitecourt Community Health Services</t>
  </si>
  <si>
    <t>Slave Lake Lakeland Centre
Address101 Main Street SESlave Lake, AlbertaT0G 2A3
Telephone780-805-3502
Tollfree1-877-303-2642 (24 hr Help Line)
Fax780-805-3550</t>
  </si>
  <si>
    <t>Days of the Week
Monday8:00 am - 4:30 pm
Tuesday8:00 am - 4:30 pm
Wednesday8:00 am - 4:30 pm
Thursday8:00 am - 4:30 pm
Friday8:00 am - 4:30 pm
Note
Closed 12:00 PM to 1:00 PM, and statutory holidays.</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</si>
  <si>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Spirit River Community Health Services
St. Theresa General Hospital 
St. Therese - St. Paul Healthcare Centre
Swan Hills Healthcare Centre
Valleyview Community Health Services
Westlock Provincial Building
Whitecourt Community Health Services</t>
  </si>
  <si>
    <t>Slave Lake Lakeland Centre</t>
  </si>
  <si>
    <t>Fairview Health Complex
Address10628 110 Street Fairview, AlbertaT0H 1L0
Telephone780-835-3879
Fax780-835-4951</t>
  </si>
  <si>
    <t>Athabasca Community Health Services
Barrhead Community Health Services
Beaverlodge Community Health Services
Bonnyville Healthcare Centre 
Boyle Healthcare Centre
Cold Lake Community Health Services
Elk Point Healthcare Centre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</si>
  <si>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Stollery Children's Hospital
Address8440 112 Street Edmonton, AlbertaT6G 2B7
Telephone780-407-8447, 780-407-8822 (Switchboard)
Getting ThereParking and Public transportation available</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</si>
  <si>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Sturgeon Community Hospital
University of Alberta Hospital
WestView Health Centre - Stony Plain
Youville Home</t>
  </si>
  <si>
    <t>Stollery Children's Hospital</t>
  </si>
  <si>
    <t>Vermilion Provincial Building
Address4701  52 Street Vermilion, AlbertaT9X 1J9
Telephone780-581-8000
Fax780-581-8001</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</si>
  <si>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Wainwright 905A 3 Avenue
Wetaskiwin Provincial Building</t>
  </si>
  <si>
    <t>Vermilion Provincial Building</t>
  </si>
  <si>
    <t>Service Providers May Includefamily counsellors, registered nurses (RNs), social workers
EligibilityChildren or adolescents who were assessed by Psyciatric Emergency Services at Alberta Children's Hospital or Foothills Medical Centre.
Wait TimesAn estimated wait time will be provided at the time of appointment booking.</t>
  </si>
  <si>
    <t>Foothills Professional Building 
Address1620 29 Street NWCalgary, AlbertaT2N 4L7
AccessibilityMain entranceWashrooms</t>
  </si>
  <si>
    <t>Days of the Week
Monday8:00 am - 6:15 pm
Tuesday8:00 am - 6:15 pm
Wednesday8:00 am - 6:15 pm
Thursday8:00 am - 6:15 pm
Friday8:00 am - 6:15 pm
Note
Some evening appointments may be booked by mutual agreement with the assigned clinician.</t>
  </si>
  <si>
    <t xml:space="preserve">Foothills Professional Building </t>
  </si>
  <si>
    <t xml:space="preserve">Voluntary short term mental health support provided to children, adolescents and their families following an emergency room visit.Staff meet with clients in their homes to provide:
emotional or mental health support
brief therapy, intervention and problem solving
health and wellness education and information
referral to other services as needed
</t>
  </si>
  <si>
    <t>Agecare Sagewood
Address140 Cambridge Glen Drive Strathmore, AlbertaT1P 0E2
Telephone403-943-1920 (Home Care Assessment)</t>
  </si>
  <si>
    <t>AgeCare Seton
AgeCare SkyPointe
AgeCare Walden Heights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</si>
  <si>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Agecare Sagewood</t>
  </si>
  <si>
    <t>Crowsnest Pass Provincial Building
Address12501 20 Avenue Blairmore, AlbertaT0K 0E0
Telephone403-562-5040
Fax403-562-3226</t>
  </si>
  <si>
    <t>Days of the Week
Monday8:15 am - 4:30 pm
Tuesday8:15 am - 4:30 pm
Wednesday8:15 am - 4:30 pm
Thursday8:15 am - 4:30 pm
Friday8:15 am - 4:30 pm
Note
Closed 12:30 PM (Noon) to 1:00 PM.</t>
  </si>
  <si>
    <t>Bow Island Provincial Building
Brooks Health Centre
Fort Macleod Health Centre
Lethbridge Provincial Building
Medicine Hat Provincial Building
Pincher Creek Provincial Building 
Provincial Building
Raymond Health Centre
Taber Health Centre</t>
  </si>
  <si>
    <t>Crowsnest Pass Provincial Building</t>
  </si>
  <si>
    <t>Canmore General Hospital
Address1100 Hospital Place Canmore, AlbertaT1W 1N2
Telephone403-678-4696</t>
  </si>
  <si>
    <t>Cochrane Community Health Centre
Mineral Springs Hospital
Sheldon M. Chumir Health Centre</t>
  </si>
  <si>
    <t>Canmore General Hospital</t>
  </si>
  <si>
    <t>Service Providers May Includechild life specialists
Referral NeededHealthcare provider must refer child.
Service For more information or assistance from a Child Life Specialist for your hospitalized child or teen, please ask someone in the the program area your child is admitted to.</t>
  </si>
  <si>
    <t>Alberta Children's Hospital
Address28 Oki Drive NWCalgary, AlbertaT3B 6A8
Telephone403-955-2593
AccessibilityMain entranceLifts
Getting ThereParking map</t>
  </si>
  <si>
    <t xml:space="preserve">Assists patients and their families to cope more successfully with their hospital/healthcare experience.This service provides patients (inpatients and in specific ambulatory settings, like Dr. Gordon Townsend Rehabilitation &amp; Education Program and the Mental Health Program) and their families with
recreation and leisure education
assessment by ChildLife Specialist to learn how much Child Life intervention is needed
Child Life intervention includes:
group play programs
1 to 1 therapeutic play/recreation
leisure counselling
coordinated holiday, entertainment, and special visitor's events
family support/educational resources; 1 to 1 medical play/medical teaching
enhancements include music therapy, art therapy, horticultural therapy, and therapeutic clowns
</t>
  </si>
  <si>
    <t>West Park Lodge
Address5715 41 Street Red Deer, AlbertaT4N 1B3
Tollfree1-855-371-4122 (Home Care Assessment)</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</si>
  <si>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t>
  </si>
  <si>
    <t>West Park Lodge</t>
  </si>
  <si>
    <t>Nanton Community Health Centre
Address2214 20 Street Nanton, AlbertaT0L 1R0
Telephone403-646-2218
Fax403-646-3046</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</si>
  <si>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</si>
  <si>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Nanton Community Health Centre</t>
  </si>
  <si>
    <t>Service Providers May Includemental health professionals
Referral NeededReferral made by Hospital Emergency Physician.
Service LanguagesInterpreter/Translation services</t>
  </si>
  <si>
    <t>Lacombe Hospital and Care Centre
Address5430 47 Avenue Lacombe, AlbertaT4L 1G8
Telephone403-782-3336</t>
  </si>
  <si>
    <t>Days of the Week
Monday4:30 pm - 12:00 am
Tuesday4:30 pm - 12:00 am
Wednesday4:30 pm - 12:00 am
Thursday4:30 pm - 12:00 am
Friday4:30 pm - 12:00 am
Saturday8:00 am - 12:00 am
Sunday8:00 am - 12:00 am</t>
  </si>
  <si>
    <t>Ponoka Hospital and Care Centre
Rimbey Hospital and Care Centre
Rocky Mountain House Health Centre</t>
  </si>
  <si>
    <t>Lacombe Hospital and Care Centre</t>
  </si>
  <si>
    <t xml:space="preserve">Offers crisis intervention and referral to people in emotional and/or mental distress.Provides mental health assessment, referral,Â and crisis interventionÂ for people experiencing significant mental health concerns.
</t>
  </si>
  <si>
    <t>Rocky Mountain House Health Centre
Address5016 52 Avenue Rocky Mountain House, AlbertaT4T 1T2
Telephone403-844-5235</t>
  </si>
  <si>
    <t>Days of the Week
Monday9:00 am - 4:00 pm
Tuesday9:00 am - 4:00 pm
Wednesday9:00 am - 4:00 pm
Thursday9:00 am - 4:00 pm
Friday9:00 am - 4:00 pm
Note
Hours of operation are for information on service delivery.
Closed from 12:00 PM to 1:00 PM for Lunch.</t>
  </si>
  <si>
    <t>Drayton Valley Community Health Centre
Drumheller Health Centre
Lacombe Mental Health Centre
Olds Hospital and Care Centre
Ponoka Provincial Building
Red Deer 49 Street Community Health Centre - Addiction and Mental Health Services
Stettler Hospital and Care Centre
Sylvan Lake Community Health Centre
Wetaskiwin Provincial Building</t>
  </si>
  <si>
    <t>Coronation Hospital and Care Centre
Address5000 Municipal Road Coronation, AlbertaT0C 1C0
Telephone403-578-3803</t>
  </si>
  <si>
    <t>Bashaw Community Health Centre
Bentley Care Centre
Breton Health Centre
Camrose Home Care 
Castor Community Health Centre
Consort Community Health Centre
Consort Hospital and Care Centre
Coronation Community Health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</si>
  <si>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Coronation Hospital and Care Centre</t>
  </si>
  <si>
    <t>Providence Care Centre
Address149 Providence Boulevard SECalgary, AlbertaT2X 0X2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</si>
  <si>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</si>
  <si>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Providence Care Centre</t>
  </si>
  <si>
    <t>Cold Lake Healthcare Centre
Address314 25 Street Cold Lake, AlbertaT9M 1G6
Telephone780-639-4922
Tollfree1-877-303-2642 (24 hr Help Line)
Fax780-639-4990</t>
  </si>
  <si>
    <t>Athabasca Community Health Services
Barrhead Healthcare Centre
Beaverlodge Community Health Services
Bonnyville New Park Place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</si>
  <si>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Cold Lake Healthcare Centre</t>
  </si>
  <si>
    <t>Service Providers May Includeaddiction counsellors, psychiatric nurses, social workers
Wait TimesWait time varies. Clients in crisis are seen on a priority basis.</t>
  </si>
  <si>
    <t>Northwest Health Centre 
Address11202 100 Avenue High Level, AlbertaT0H 1Z0
Telephone780-841-3229
Tollfree1-877-303-2642 (Mental Health Help Line)
Fax780-926-3738</t>
  </si>
  <si>
    <t>Days of the Week
Monday8:00 am - 4:30 pm
Tuesday8:00 am - 4:30 pm
Wednesday8:00 am - 4:30 pm
Thursday8:00 am - 4:30 pm
Friday8:00 am - 4:30 pm
Note
Office hours listed above; closed 12:00 PM to 1:00 PM.
Walk In Counselling is offered on Thursdays, 9:30 AM to 3:00 PM; closed 12:00 1:00 PM.</t>
  </si>
  <si>
    <t>Fairview Health Complex
Fort McMurray Queen Street Building 
Grande Prairie Aberdeen Centre
Peace River Mental Health Clinic</t>
  </si>
  <si>
    <t xml:space="preserve">Provides counselling on a walk-in basis for people experiencing a range of emotional or mental health issues.Provides a short-term counselling service to help people make changes in their lives.
Sometimes people feel overwhelmed, aren't sure what to do, and need more than a friend to talk to.
Counsellor's use a team approach and focus on helping people make changes in their lives by learning what their strengths are and using them.
Â 
Reasons for needing this support may include:
stress
grieving
parenting
relationships
depression
anxiety
Confidential counselling sessions are 50 minutes.
If appropriate, people are provided information on other addiction and/or mental health services.
</t>
  </si>
  <si>
    <t>Youville Home
Address9A St. Vital Avenue St. Albert, AlbertaT8N 1K1
Telephone780-460-6900</t>
  </si>
  <si>
    <t>Days of the Week
Monday8:00 am - 5:00 pm
Tuesday8:00 am - 5:00 pm
Wednesday8:00 am - 5:00 pm
Thursday8:00 am - 5:00 pm
Friday8:00 am - 5:00 pm
Note
Spiritual services available 24 hours a day upon request.</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</si>
  <si>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t>
  </si>
  <si>
    <t>Youville Home</t>
  </si>
  <si>
    <t>Service Providers May Includeaddiction counsellors
Service Please call the local addictions office for information on prevention activities.</t>
  </si>
  <si>
    <t>Peace River Provincial Building  
Address9621 96 Avenue Peace River, AlbertaT8S 1T4
Telephone780-624-6151, 24 hour Help Line 1-866-332-2322
Fax780-624-6579</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</si>
  <si>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Pine Plaza Building
Rainbow Lake Community Health Services
Seton - Jasper Healthcare Centre
Slave Lake 101 3 Street
St. Paul Provincial Building
Whitecourt Provincial Building</t>
  </si>
  <si>
    <t xml:space="preserve">Peace River Provincial Building  </t>
  </si>
  <si>
    <t xml:space="preserve">Provides alcohol, other drugs, tobacco, and gambling prevention, and education services.Provides prevention services for individuals, groups, schools,communities, and workplaces.
The focus of our prevention services is to raise awareness and understanding of alcohol, tobacco, other drug and gambling related issues.
Working closely with local groups, agencies, schools and employers provide support to projects aimed at mobilizing the community to prevent and address these issues.
Resources packages targeting children, youth, seniors, the workplace and parents are available to group facilitators and teachers.
Training and consultation services are available to professionals working with people who experience alcohol, gambling and other drug related issues.
Â 
</t>
  </si>
  <si>
    <t>Service Providers May Includedoctors, psychiatrists, psychologists, registered nurses (RNs), social workers
EligibilityFor veterans, Canadian Forces members, RCMP members and their families.
Referral NeededVeterans: Need to be referred by Veterans Affairs Canada. Call 1-866-522-2122, and ask to speak to an area counsellor.
RCMP and Canadian Forces: Need to be referred by their medical officer.
Wait TimesWaiting time varies, but is usually about 3 weeks.
Service LanguagesFrench</t>
  </si>
  <si>
    <t>Market Mall
Address3625 Shaganappi Trail NWCalgary, AlbertaT3A 0E2
Telephone403-216-9860
Fax403-216-9861</t>
  </si>
  <si>
    <t>/affiliations
Veterans Affairs Canada</t>
  </si>
  <si>
    <t>Market Mall</t>
  </si>
  <si>
    <t xml:space="preserve">Offers mental health services for veterans, Canadian Forces members, RCMP members, and their families.Assesses and treats mental health problems caused by shock or stress for veterans, Canadian Forces members, RCMP members, and their families. Services include:
comprehensive assessment and psychological therapy
medication management
counselling (one-to-one, couple, family)
This service helps people who have:
post-traumatic stress disorder
depression and other mood or anxiety disorders
substance abuse problems
issues with sleep
anger, social issues, or workplace problems
</t>
  </si>
  <si>
    <t>Airdrie Community Health Centre
Address604 Main Street SAirdrie, AlbertaT4B 3K7
Telephone403-912-8500
Fax403-912-8507</t>
  </si>
  <si>
    <t>Days of the Week
Monday2:30 pm - 9:00 pm
Tuesday2:30 pm - 9:00 pm
Wednesday2:30 pm - 9:00 pm
Thursday2:30 pm - 9:00 pm
Friday2:30 pm - 9:00 pm
Saturday10:00 am - 5:00 pm
Sunday10:00 am - 5:00 pm</t>
  </si>
  <si>
    <t>Canmore General Hospital
Cochrane Community Health Centre
Mineral Springs Hospital
Okotoks Health and Wellness Centre
Sheldon M. Chumir Health Centre
South Calgary Health Centre</t>
  </si>
  <si>
    <t>Airdrie Community Health Centre</t>
  </si>
  <si>
    <t>Lac La Biche Provincial Building
Address9503 Beaverhill Road Lac La Biche, AlbertaT0A 2C0
Telephone780-623-2615
Fax780-623-4471</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</si>
  <si>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</si>
  <si>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Bonnyville Provincial Building
Address4902 50 Avenue Bonnyville, AlbertaT9N 2H4
Telephone780-826-8054
Tollfree24 hour Help Line 1-866-332-2322
Fax780-826-8057</t>
  </si>
  <si>
    <t>Days of the Week
Monday8:00 am - 4:30 pm
Tuesday8:00 am - 4:30 pm
Wednesday8:00 am - 4:30 pm
Thursday8:00 am - 4:30 pm
Friday8:00 am - 4:30 pm
Note
Closed from 12:00 to 12:45 for lunch.</t>
  </si>
  <si>
    <t>Athabasca Community Health Services
Barrhead Administration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</si>
  <si>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Bonnyville Provincial Building</t>
  </si>
  <si>
    <t>Fairview Health Complex
Address10628 110 Street Fairview, AlbertaT0H 1L0
Telephone780-835-6149 
Tollfree1-877-303-2642 (24 hr Help Line)
Fax780-835-6185</t>
  </si>
  <si>
    <t>Days of the Week
Monday8:00 am - 4:30 pm
Tuesday8:00 am - 4:30 pm
Wednesday8:00 am - 4:30 pm
Thursday8:00 am - 4:30 pm
Friday8:00 am - 4:30 pm
Note
Closed 12:00 PM. to 1:00 PM, and statutory holidays.</t>
  </si>
  <si>
    <t>Athabasca Community Health Services
Barrhead Healthcare Centre
Beaverlodge Community Health Services
Bonnyville New Park Place
Cold Lake Healthcare Centre
Edson Healthcare Centre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</si>
  <si>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Rosehaven Care Centre
Address5303 47 Avenue Camrose, AlbertaT4V 1Y6
Telephone1-855-371-4122 (Home Care Assessment) , 780-679-1095</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</si>
  <si>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Royal Oak Manor
Sundre Seniors Supportive Living 
Sunrise Village Camrose
Sunset Manor
Timberstone Mews
Villa Marie
West Park Lodge</t>
  </si>
  <si>
    <t>Rosehaven Care Centre</t>
  </si>
  <si>
    <t>Service Providers May Includeaddiction counsellors, emergency department physicians, psychiatrists, registered nurses (RNs), registered psychiatric nurses, social workers</t>
  </si>
  <si>
    <t>Northern Lights Regional Health Centre
Address7 Hospital Street Fort McMurray, AlbertaT9H 1P2
Telephone780-791-6104
Fax780-788-1516
Getting ThereParking map</t>
  </si>
  <si>
    <t>Note
Open 7 days a week, Monday to Sunday, 7:00 AM to 7:00 PM / 7:00 PM to 7:00 AM.</t>
  </si>
  <si>
    <t xml:space="preserve">Addiction and mental health staff are available in the emergency department at Queen Elizabeth Hospital in Grande Prairie and the Northern Lights Regional Health Care Centre in Fort McMurray, providing advice to emergency room physicians for patients presenting with a mental health concern.Provides assessments and referrals for mental health issues on an emergency basis.
Crisis nurses' primary focus is to provide consultations to the emergency room for persons presenting with a psychiatric emergency. Nurses work closely with emergency department physicians and psychiatrists and will recommend admission to an inpatient psychiatry unit, a referral to a community addiction or mental health service or to a community resource.
Nurses also provide consultation when available for persons who present with a wide range of mental health concerns. People are encouraged to access services through the local mental health clinic rather than the emergency department unless situation is an emergency.
</t>
  </si>
  <si>
    <t>Mazankowski Alberta Heart Institute
Address11220 83 Avenue NWEdmonton, AlbertaT6G 2B7
Telephone780-407-8447, 780-407-8822 (Switchboard)
AccessibilityParking stalls, ramps, elevators, Â and washrooms
Getting ThereParking and Public transportation available</t>
  </si>
  <si>
    <t>Alberta Hospital Edmonton
Cross Cancer Institute
Devon General Hospital
Glenrose Rehabilitation Hospital 
Grey Nuns Community Hospital
Lois Hole Hospital for Women
Misericordia Community Hospital 
Redwater Health Centre 
Royal Alexandra Hospital
St. Joseph's Auxiliary Hospital
Stollery Children's Hospital
Sturgeon Community Hospital
University of Alberta Hospital
WestView Health Centre - Stony Plain
Youville Home</t>
  </si>
  <si>
    <t>Mazankowski Alberta Heart Institute</t>
  </si>
  <si>
    <t>Royal Alexandra Hospital
Address10240 Kingsway  Avenue NWEdmonton, AlbertaT5H 3V9
TelephoneAccess to this service is by Emergency Room visit only
AccessibilityEntrance.Elevators
Getting ThereParking and Public transportation available</t>
  </si>
  <si>
    <t>Fort Saskatchewan Community Hospital
Grey Nuns Community Hospital
Leduc Community Hospital
Misericordia Community Hospital 
Northeast Community Health Centre
Strathcona Community Hospital
Sturgeon Community Hospital
University of Alberta Hospital
WestView Health Centre - Stony Plain</t>
  </si>
  <si>
    <t>Fort McMurray and Area - Information / Registration / Appointments
Telephone780-743-8605 (Coordinator)
Websitehttp://www.someothersolutions.ca/</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</si>
  <si>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</si>
  <si>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Fort McMurray and Area - Information / Registration / Appointments</t>
  </si>
  <si>
    <t>South Health Campus
Address4448 Front Street SECalgary, AlbertaT3M 1M4
Getting ThereParking available
Parking map</t>
  </si>
  <si>
    <t>St. Albert Public Health Centre
Address23 Sir Winston Churchill Avenue St. Albert, AlbertaT8N 2S7
Telephone780-459-6671</t>
  </si>
  <si>
    <t>Days of the Week
Monday8:30 am - 5:00 pm
Tuesday8:30 am - 5:00 pm
Wednesday8:30 am - 5:00 pm
Thursday8:30 am - 5:00 pm
Friday8:30 am - 5:00 pm</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</si>
  <si>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Strathcona County Health Centre
Thorsby Public Health Centre
West Jasper Place Public Health Centre
WestView Health Centre - Stony Plain
Westmount Shopping Centre</t>
  </si>
  <si>
    <t>St. Albert Public Health Centre</t>
  </si>
  <si>
    <t>Service Providers May Includesuccess coaches
EligibilityStudents must attend a school that VIBE provides services to and families must be part of the communities VIBE provides services to.
Service Contact any VIBE (Vermilion Is Being Empowered) Coach in the school directly, by email, or by phone or contact the program directly.
Service LanguagesInterpreter/Translation services</t>
  </si>
  <si>
    <t>J.R. Robson High School
Address5102 46 Street Vermilion, AlbertaT9X 1G5
Telephone780-853-3718 (VIBE), 780-853-4177 (High School)
Fax780-853-2920</t>
  </si>
  <si>
    <t>Days of the Week
Monday8:30 am - 4:00 pm
Tuesday8:30 am - 4:00 pm
Wednesday8:30 am - 4:00 pm
Thursday8:30 am - 4:00 pm
Friday8:30 am - 4:00 pm
Note
Not open stat holidays, reduced hours in July and August.</t>
  </si>
  <si>
    <t>Clandonald School
Kitscoty Elementary School
Kitscoty High School
Mannville School
School of Hope
St. Jerome's School
Vermilion Elementary School
Vermilion Outreach School</t>
  </si>
  <si>
    <t>J.R. Robson High School</t>
  </si>
  <si>
    <t xml:space="preserve">A prevention and promotion initiative that works to increase a communityÂ¿s capacity to promote the development of positive mental health and wellness in its children, youth and families using schools as hubs. Outreach services can be provided to schools in the area. We also provide community services in the above.Using prevention and promotion activities VIBE (Vermilion Is Being Empowered)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</si>
  <si>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Hinton Community Health Services
Address1280A Switzer Drive Hinton, AlbertaT7V 1T5
Telephone780-865-1182
Fax780-865-7111
Getting ThereLocated adjacent to the Hinton Healthcare Centre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</si>
  <si>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</si>
  <si>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Spruce Grove Health Unit
Address505 Queen Street Spruce Grove, AlbertaT7X 2V2
Telephone780-342-1301</t>
  </si>
  <si>
    <t>Days of the Week
Monday8:30 am - 4:45 pm
Tuesday8:30 am - 4:45 pm
Wednesday8:30 am - 4:45 pm
Thursday8:30 am - 4:45 pm
Friday8:30 am - 4:45 pm</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</si>
  <si>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St. Albert Public Health Centre
Strathcona County Health Centre
Thorsby Public Health Centre
West Jasper Place Public Health Centre
WestView Health Centre - Stony Plain
Westmount Shopping Centre</t>
  </si>
  <si>
    <t>Spruce Grove Health Unit</t>
  </si>
  <si>
    <t>Bashaw Meadows
Address5502 56 Avenue Bashaw, AlbertaT0B 0H0
Telephone1-855-371-4122 (Home Care Assessment)</t>
  </si>
  <si>
    <t>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</si>
  <si>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Bashaw Meadows</t>
  </si>
  <si>
    <t>Athabasca Community Health Services
Barrhead Administration Building
Bonnyville Provincial Building
Cold Lake 5013 51 Street
Edson Healthcare Centre
Fort McMurray Queen Street Building 
Grande Prairie Aberdeen Centre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</si>
  <si>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Grande Prairie Nordic Court 
Address10014 99 Street Grande Prairie, AlbertaT8V 3N4
Telephone780-538-5160
Tollfree1-877-303-2642 (24 Hour Help Line)
Fax780-538-6279</t>
  </si>
  <si>
    <t>Days of the Week
Monday8:00 am - 4:30 pm
Tuesday8:00 am - 4:30 pm
Wednesday8:00 am - 4:30 pm
Thursday8:00 am - 4:30 pm
Friday8:00 am - 4:30 pm
Note
Closed on Statutory HolidaysServices are provided for children and youth under 18.
The service is available consistent with the school calendar.</t>
  </si>
  <si>
    <t>Athabasca Community Health Services
Barrhead Healthcare Centre
Beaverlodge Community Health Services
Bonnyville New Park Place
Central Peace Health Complex
Cold Lake Healthcare Centre
Edson Provincial Building
Fairview Health Complex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</si>
  <si>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 xml:space="preserve">Grande Prairie Nordic Court </t>
  </si>
  <si>
    <t>Service Providers May Includecommunity treatment coordinators, licensed practical nurses (LPNs), mental health therapists, occupational therapists (OTs)
Referral NeededA Psychiatrist referral is required.
Service Please call to book an appointment.</t>
  </si>
  <si>
    <t>Regional Resource Centre - Medicine Hat Regional Hospital
Address631 Prospect Drive SWMedicine Hat, AlbertaT1A 4C2
Telephone403-529-8030
Fax403-502-8618
Getting TherePublic transportation available</t>
  </si>
  <si>
    <t>Chinook Regional Hospital</t>
  </si>
  <si>
    <t xml:space="preserve">The Community Treatment Order Team fulfills the responsibilities outlined in the Mental Health Act for Community Treatment Orders.Works with psychiatrists and their patients who they identify as potentially benefitting from a Community Treatment Order (CTO). This service also assists patients under Community Treatment Orders in maintaining compliance with treatment.
</t>
  </si>
  <si>
    <t>Service Providers May Includefamily counsellors, occupational therapists, speech language pathologists (SLPs)
Referral NeededReferrals come from community professionals working with infants and children 0-5 yrs.
Service Community provider to contact the service and send written "Request for Consultation" directly to the intake coordinator.
Wait TimesAn estimated wait time will be provided at the time of appointment booking.
Service LanguagesInterpreter/Translation services</t>
  </si>
  <si>
    <t>East Calgary Health Centre
Address4715 8 Avenue SECalgary, AlbertaT2A 3N4
Telephone403-955-1010
Fax403-955-1013
Getting TherePublic transportation available</t>
  </si>
  <si>
    <t>East Calgary Health Centre</t>
  </si>
  <si>
    <t xml:space="preserve">CMHC provides screening and consultation to professionals who provide services to infants and children 0-5 yrs.Consults with mental health care providers at the providerâ€™s place of work, office, child care setting, preschool, or the family home. While the consultation may be limited to a session between the CMHC consultant and the service provider, it most often involves a joint session with the service provider and the child and parents.
The service doesnâ€™t provide direct therapy or case management. However, it:
tells the provider about early childhood mental health
observes and understands the childâ€™s behaviour
assesses strengths and needs
screens social/emotional development
identifies treatments
refers to other services as needed
The program can ask for a consultation from other providers connected to the program, such as: pediatricians, child psychiatrists, psychologist, speech therapist, and adult mental health providers.
The program also provides education for community service providers related to infant/early childhood mental health.
</t>
  </si>
  <si>
    <t>Ponoka Provincial Building
Address5110 49 Avenue Ponoka, AlbertaT4J 1R6
Telephone403-783-7903</t>
  </si>
  <si>
    <t>Days of the Week
Monday8:00 am - 4:30 pm
Tuesday8:00 am - 4:30 pm
Wednesday8:00 am - 4:30 pm
Thursday8:00 am - 4:30 pm
Friday8:00 am - 4:30 pm
Note
Closed from 12:00 PM to 1:00 PM for Lunch.</t>
  </si>
  <si>
    <t>Drayton Valley Community Health Centre
Drumheller Health Centre
Lacombe Mental Health Centre
Olds Hospital and Care Centre
Red Deer 49 Street Community Health Centre - Addiction and Mental Health Services
Rocky Mountain House Health Centre
Stettler Hospital and Care Centre
Sylvan Lake Community Health Centre
Wetaskiwin Provincial Building</t>
  </si>
  <si>
    <t>Service Providers May Includemental health community support workers, mental health therapists
EligibilityThis service is ONLY available to clients within: Edson, Grande Cache, Hinton and Jasper.
Wait Times1 to 4 weeks to access services.</t>
  </si>
  <si>
    <t>Mayerthorpe Healthcare Centre
Address4417 45 Street Mayerthorpe, AlbertaT0E 1N0
Tollfree1-844-817-5009 
Getting ThereSouth of 46 Avenue</t>
  </si>
  <si>
    <t>Edson and Area - Information / Registration / Appointments
Fox Creek Healthcare Centre
Hinton and Area - Information / Registration / Appointments
Jasper - Information / Registration / Appointments
Whitecourt and Area - Information / Registration / Appointments</t>
  </si>
  <si>
    <t>Mayerthorpe Healthcare Centre</t>
  </si>
  <si>
    <t xml:space="preserve">Intake line to book an appointment for Mental Health servicesAssessment and treatment for mental health concerns such as:
depression
postpartum depression
anxiety
obsessive compulsived disorder (ocd)
schizophrenia
bipolar
adjustment issues
Â 
</t>
  </si>
  <si>
    <t>Northern Addictions Centre
Address11333 106 Street Grande Prairie, AlbertaT8V 6T7
Telephone780-538-5210  (Main Reception), 780-538-6350  (Residential Treatment/Residential Gambling Treatment)
Fax780-538-6406</t>
  </si>
  <si>
    <t>Days of the Week
Monday8:00 am - 4:30 pm
Tuesday8:00 am - 4:30 pm
Wednesday8:00 am - 4:30 pm
Thursday8:00 am - 4:30 pm
Friday8:00 am - 4:30 pm
Note
Hours listed are office hours.
Main Reception: Mon to Fri 8:00 AM - 10:00 PM
Closed on statutory holidays
Visiting hours: Residential Treatment/Business &amp; Industry clientsMon to Fri: 6:00 PM to 10:00 PMSat and Sun: 4:00 PM to 8:00 PM (Visiting hours remain the same on statutory holidays)</t>
  </si>
  <si>
    <t>Bonnyville Indian Metis Rehabilitation Centre
Fort McMurray Recovery Centre</t>
  </si>
  <si>
    <t>Northern Addictions Centre</t>
  </si>
  <si>
    <t>Grande Prairie Aberdeen Centre
Address9728 101 Avenue Grande Prairie, AlbertaT8V 5B6
Telephone780-833-4323, 587-259-5513 (ICAT Intake)
Tollfree1-866-332-2322 (24 hr Help Line) , 310-0000 780-833-4323
Fax780-538-5256</t>
  </si>
  <si>
    <t>Days of the Week
Monday8:00 am - 4:30 pm
Tuesday8:00 am - 4:30 pm
Wednesday8:00 am - 4:30 pm
Thursday8:00 am - 4:30 pm
Friday8:00 am - 4:30 pm
Note
Intake â€“ ICAT â€“ Integrated Crisis and Access Team
Monday - Friday (Walk in Clinic)Â  9:00 AM-4:00 PM
ClosedÂ on statutory holidays.</t>
  </si>
  <si>
    <t>Athabasca Community Health Services
Barrhead Administration Building
Bonnyville Provincial Building
Cold Lake 5013 51 Street
Edson Healthcare Centre
Fort McMurray Queen Street Building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</si>
  <si>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Hamlets at Red Deer, The
Address338 Liberty Avenue Red Deer, AlbertaT4E 1B9
Telephone403-986-1250
Fax403-986-1710</t>
  </si>
  <si>
    <t>Bashaw Meadows
Century Park
Clearwater Centre 
Good Samaritan Good Shepherd Lutheran Home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</si>
  <si>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Hamlets at Red Deer, The</t>
  </si>
  <si>
    <t>Eau Claire Retirement Residence
Address301 7 Street SWCalgary, AlbertaT2P 1Y6
Telephone403-943-1920 (Home Care Assessment)</t>
  </si>
  <si>
    <t>AgeCare Seton
AgeCare SkyPointe
AgeCare Walden Heights
Agecare Sagewood
Aspen Ridge Lodge
Bethany Didsbury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</si>
  <si>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Eau Claire Retirement Residence</t>
  </si>
  <si>
    <t>Service Providers May Includeaddiction counsellors, mental health therapists
Service Healthcare providers should consult the Alberta Referral Directory for service referral information.
Please call to book an appointment.</t>
  </si>
  <si>
    <t>Melcor Centre
Address200 4 Avenue SLethbridge, AlbertaT1J 4C9
Telephone403-381-5278
Fax403-388-6799
AccessibilityMelcor Centre has elevators and wheelchair ramps.</t>
  </si>
  <si>
    <t>Days of the Week
Monday8:00 am - 4:30 pm
Tuesday8:00 am - 7:30 pm
Wednesday8:00 am - 4:30 pm
Thursday8:00 am - 7:30 pm
Friday8:00 am - 4:30 pm</t>
  </si>
  <si>
    <t>Brooks 403  2 Avenue W
Cardston Provincial Building 
Crowsnest Pass Provincial Building
Medicine Hat Provincial Building
Oyen Community Health Services
Taber Health Centre</t>
  </si>
  <si>
    <t>Melcor Centre</t>
  </si>
  <si>
    <t xml:space="preserve">Provides individual and family counselling, as well as education and prevention for substance use and misuse including alcohol, other drug, tobaco and gambling.A range of treatment services to help Albertans improve their health, learn new life skills and recover from the harmful effects of substance use and problem gambling. Range of services include screening, assessment, individual and group counselling, referral to other resources, and aftercare support.
Assessment and treatment will include learning about your past history, present situation and identifying your goals. The counsellor will talk with you about the different treatment options, including counselling to help you reach your goals. Your counsellor will help you choose goals and strategies, make suggestions, and review your progress with you.
The office also offers information and support to anyone (including health providers and employers) about alcohol, drugs. tobaco, and gambling.
Prevention and promotion services are offered to help prevent problems and reduce harm related to substance use and gambling. Services include:
school programs
community programs
workplace programs
Â 
</t>
  </si>
  <si>
    <t>Peter Lougheed Centre
Address3500 26 Avenue NECalgary, AlbertaT1Y 6J4
Telephone403-943-5716
Fax403-943-4811
Getting ThereParking available
Parking map</t>
  </si>
  <si>
    <t>Days of the Week
Monday8:00 am - 4:00 pm
Tuesday8:00 am - 4:00 pm
Wednesday8:00 am - 4:00 pm
Thursday8:00 am - 4:00 pm
Friday8:00 am - 4:00 pm
Note
Clinic procedure days are Tuesday, Wednesday and alternate Mondays. Clinic is closed on Statutory holidays.</t>
  </si>
  <si>
    <t>Service Providers May Includeaddiction counsellors, community outreach workers, mental health therapists, occupational therapists (OTs), psychiatrists, psychologists, registered nurses (RNs), social workers
EligibilityFor people ages 18 or older but referring doctors can call if they have someone younger than 18 with early psychosis.
Â .
Referral NeededIndividuals can be referred by:
self
physicians, psychiatrists
family or community members or
hospitals / health care providers
Although someone else may refer individuals, participation is voluntary and individuals have the right to refuse service.
Service Service is generally provided on an outreach basis in the person's community. Please call your nearest clinic to see what services are available to you.
Service LanguagesInterpreter/Translation services</t>
  </si>
  <si>
    <t>Grande Prairie Nordic Court 
Address10014 99 Street Grande Prairie, AlbertaT8V 3N4
Telephone780-538-5160
Fax780-538-6279</t>
  </si>
  <si>
    <t>/affiliations
Canadian Mental Health Association</t>
  </si>
  <si>
    <t>Fairview Health Complex
High Prairie Health Complex
Northern Lights Regional Health Centre
Northwest Health Centre 
Peace River Mental Health Clinic
Pine Plaza Building
St. Therese - St. Paul Healthcare Centre</t>
  </si>
  <si>
    <t xml:space="preserve">Assists individuals to live independently in the community, promote recovery, and minimize hospitalization.A range of supports are provided to persons living with severe and persistent mental illness while they are living in the community and whenever possible, while they are an inpatient.
A qualified team of health professionals offer:
assessment
counselling/therapy
medication Management
crisis Intervention
education
advocacy and liaison
problem solving
goal Setting
social and recreational activities
budgeting
shopping
housing
legal Issues
community access
education or employment
Services are individualized, focused on recovery, and based on the principles of Psychosocial Rehabilitation (PSR) to assist with various areas of community living.
</t>
  </si>
  <si>
    <t>Athabasca Community Health Services
Address3401 48 Avenue Athabasca, AlbertaT9S 1M7
Telephone780-675-5404
Tollfree1-877-303-2642 (24 hr Help Line)
Fax780-675-3111
Getting ThereSouth of Highway 55</t>
  </si>
  <si>
    <t>Days of the Week
Monday8:00 am - 3:30 pm
Tuesday8:00 am - 3:30 pm
Wednesday8:00 am - 3:30 pm
Thursday8:00 am - 3:30 pm
Friday8:00 am - 3:30 pm
Note
Closed_x000D_
12:00 PM to 1:00 PM, and statutory holidays.</t>
  </si>
  <si>
    <t>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</si>
  <si>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Viking Community Health Centre
Address5224 50 Street Viking, AlbertaT0B 4N0
Telephone780-336-4782
Fax780-336-4916</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</si>
  <si>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Wainwright Health Centre
Wetaskiwin Hospital and Care Centre
Winfield Community Health Centre</t>
  </si>
  <si>
    <t>Viking Community Health Centre</t>
  </si>
  <si>
    <t>Spirit of the North Community School
Address10801 102 Street High Level, AlbertaT0H 1Z0
Telephone780-841-7200
Fax780-841-7203
Emaildebbiea@fvsd.ab.ca</t>
  </si>
  <si>
    <t>Florence MacDougall Community School
High Level Learning Store
High Level Public School</t>
  </si>
  <si>
    <t>Spirit of the North Community School</t>
  </si>
  <si>
    <t xml:space="preserve">This is a prevention and promotion initiative that works to increase a community's capacity to promote the development of positive mental health and wellness in its children, youth, and families using schools as hubs.Using prevention and promotion activities, the Student Wellness Project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</si>
  <si>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Elizabeth Settlement Community Hall
Telephone780-594-3383
Fax780-594-2404</t>
  </si>
  <si>
    <t>Athabasca Community Health Services
Barrhead Community Health Services
Bonnyville Community Health Services
Boyle Healthcare Centre
Cold Lake Community Health Services
Edson Healthcare Centre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</si>
  <si>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Elizabeth Settlement Community Hall</t>
  </si>
  <si>
    <t>Service Providers May Includemental health counselor, occupational therapists (OTs), psychiatrists, psychologists
Wait TimesAn estimated wait time will be provided at the time of appointment booking.
Service LanguagesInterpreter/Translation services</t>
  </si>
  <si>
    <t>Stollery Children's Hospital
Address8440 112 Street Edmonton, AlbertaT6G 2B7
Getting ThereParking and Public transportation available</t>
  </si>
  <si>
    <t>/affiliations
Stollery Children's Hospital</t>
  </si>
  <si>
    <t xml:space="preserve">Provides advice and support to the Inpatient and Outpatient Children's Hospital Programs.Offering advice and support to the programs at the Children's Hospital program, both inpatient and outpatient. Care of the patient remains with the referring pediatrician.
</t>
  </si>
  <si>
    <t>Service Providers May Includedoctors, nurse practitioners (NPs), registered nurses (RNs)
EligibilityPeople age 29 or younger, or those that:
have no Alberta Health Care
can't afford birth control
need a translator
need special services (pregnancy options support, emergency contraception, diaphragm fittings)
have a need for our services that they can't meet elsewhere
Eligibility for Okotoks Health and Wellness clinic: All teens and young adults and any person with barriers to service (e.g., no Alberta Health Care, low income, or English is not first language).
Service Healthcare providers should consult the Alberta Referral Directory for service referral information.
Patients may self-refer.
Not all services are available at all locations. Check with each clinic to check what services they offer. Some services may be by drop-in or by appointment.Â 
You may need to book an appointment for:
pregnancy options decision support (drop-in or by appointment)
IUD insertion and counselling. You may need to 2 appointments. The first is to get information and see if IUD is right for you. The second appointment is to have the IUD put in.
HIV Pre-exposure prophylaxis (PrEP) at Calgary East , South and Sheldon Chumir clinicsÂ 
Not all services are available at all clinics. Contact a clinic directly to book an appointment.Â 
Service LanguagesInterpreter/Translation services</t>
  </si>
  <si>
    <t>East Calgary Health Centre
Address4715 8 Avenue SECalgary, AlbertaT2A 3N4
Telephone403-955-1431, 403-955-3368 (HIV PrEP only appointments)
Getting TherePublic transportation available</t>
  </si>
  <si>
    <t>Days of the Week
Tuesday12:30 pm - 5:00 pm
Thursday12:30 pm - 5:00 pm</t>
  </si>
  <si>
    <t>/affiliations
Calgary Rural PCN (Okotoks)</t>
  </si>
  <si>
    <t>Okotoks Health and Wellness Centre
Sheldon M. Chumir Health Centre
South Calgary Health Centre
Sunridge Professional Building</t>
  </si>
  <si>
    <t xml:space="preserve">Provides youth-friendly, non-judgmental and confidential sexual and reproductive health services.Confidential services may include:
birth control information, prescriptions and supplies
free birth control for those who qualify
emergency contraception (e.g., morning after pill, Plan B, Ella, Copper IUD)
STI, HIV, and syphilis testing
STI treatment
pregnancy tests
pregnancy options decisions support (parenting, adoption, abortion)
post abortion check ups
Pap tests
care after a sexual assault
HPV vaccine information and prescriptions
HIV Pre-exposure prophylaxis (PrEP) by appointment only at Calgary East, South and Sheldon Chumir clinics
Not all services are available at all clinics. Contact a clinic directly to book an appointment.
For information about clinical services across Alberta visit ourÂ website. For Calgary locations, view facilities with this service.
</t>
  </si>
  <si>
    <t>Sundre Hospital and Care Centre
Address709 1 Street NESundre, AlbertaT0M 1X0
Telephone403 507-8174
Tollfree24 Hour Mental Health Help Line 1 877-303-2642, 24 Hour Addiction Help Line 1 877-332-2322</t>
  </si>
  <si>
    <t>Days of the Week
Monday8:00 am - 4:30 pm
Tuesday8:00 am - 4:30 pm
Wednesday8:00 am - 4:30 pm
Thursday8:00 am - 4:30 pm
Friday8:00 am - 4:30 pm
Note
Closed from 12-1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</si>
  <si>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Sylvan Lake Community Health Centre
Three Hills Provincial Building
Tofield Health Centre
Vegreville Community Health Centre
Vermilion Provincial Building
Wainwright 905A 3 Avenue
Wetaskiwin Provincial Building</t>
  </si>
  <si>
    <t>Sundre Hospital and Care Centre</t>
  </si>
  <si>
    <t>Service Providers May Includeneurologists, neuropsychologists, psychologists, registered nurses (RNs), social workers
Service Healthcare providers should consult the Alberta Referral Directory for service referral information.
Wait TimesAn estimated wait time will be provided at the time of appointment booking.
Service LanguagesInterpreter/Translation services</t>
  </si>
  <si>
    <t>University of Calgary - Health Sciences Building
Address3350 Hospital Drive NWCalgary, AlbertaT2N 4N1
Telephone403-944-4406
Fax403-476-9629</t>
  </si>
  <si>
    <t>Days of the Week
Monday7:00 am - 3:00 pm
Tuesday7:00 am - 3:00 pm
Wednesday7:00 am - 3:00 pm
Thursday7:00 am - 3:00 pm
Friday7:00 am - 3:00 pm
Note
Closed on all statutory holidays.</t>
  </si>
  <si>
    <t>University of Calgary - Health Sciences Building</t>
  </si>
  <si>
    <t xml:space="preserve">A multidisciplinary assessment is provided to clients with neurodegenerative diseases.The clinic provides services to clients with neurodegerative diseases, such as Alzheimer's Disease or Vascular Dementia.Â  Services offered may include consultation, assessmentÂ and follow upÂ toÂ patients with suspectedÂ mild cognitive impairment or dementia.
</t>
  </si>
  <si>
    <t>Cochrane - Information / Registration / Appointments
Telephone403-851-2251 (Coordinator)</t>
  </si>
  <si>
    <t>Banff and Area - Information / Registration / Appointments
Calgary 1406 Centre Street NE
Calgary Zone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</si>
  <si>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Cochrane - Information / Registration / Appointments</t>
  </si>
  <si>
    <t>Service Providers May Includedoctors, registered nurses (RNs), social workers
EligibilitySexual assaults that have occurred in the last 96 hours. The SART team will see children age 14 and older. For people younger than 14, pediatrics will be consulted.
Service If you have been sexually assaulted within the past 96 hours, go to the Medicine Hat Regional Hospital emergency department. If you attend a rural emergency department in the South Zone-East, the physician can call SART for advice or to arrange SART involvement.
If you have been sexually assaulted over 96 hours ago, please call Health Link at 811 or see your family doctor. For support and information you can call the Southeastern Alberta Sexual Assault Response Committee at 403-548-2717 or Connect Family and Sexual Abuse Network for support at 1-888-237-5888
Service LanguagesInterpreter/Translation services</t>
  </si>
  <si>
    <t>Medicine Hat Regional Hospital
Address666 5 Street SWMedicine Hat, AlbertaT1A 4H6
Telephone403-529-8000
AccessibilityMain entranceParking stalls and washrooms
Getting ThereParking available
Parking map</t>
  </si>
  <si>
    <t xml:space="preserve">Provides medical care and sexual assault examinations for males and females who have been sexually assaulted in the past 96 hours.Services provided may include:
support and options for care following a sexual assault
option to chose medical care with no forensic evidence collection (provided by emergency physicians) or to chose medical care and forensic evidence collection with or without police involvement (provided by SART physicians)
treatment and prevention of sexually transmitted infections, HIV, pregnancy and other concerns
referrals for follow-up care including counselling and support
</t>
  </si>
  <si>
    <t>Service Providers May Includemental health clinicians, occupational therapists (OTs), outreach workers, psychiatrists
EligibilityAge 65 or over; diagnosis of anxiety or depression; able to attend program three days per week; MOCA minimum 22 / 30
Service Healthcare providers should consult the Alberta Referral Directory for service referral information.
Please submit referral via  Mental Health.
Wait TimesAn estimated wait time will be provided at the time of appointment booking.
Service LanguagesInterpreter/Translation services</t>
  </si>
  <si>
    <t>Bridgeland Seniors Health Centre
Address1070 McDougall Road NECalgary, AlbertaT2E 7Z2
Telephone403-943-1500 (Access Mental Health)
Tollfree1-844-943-1500</t>
  </si>
  <si>
    <t>/affiliations
Community based organizations such as YWCA, seniors organizations, any groups active in creating community connections.</t>
  </si>
  <si>
    <t xml:space="preserve">A 10 week program for geriatric clients with mental health concerns, especially depression and anxiety. It includes individual and group therapy and the program runs 3 days per week.10 week program that:
is offered 3 days per week
is offered to geriatric clients with mental health concerns. Focus is primarily depression and anxiety
includes psychiatric assessment, individual therapy and group based therapy
has a large component of group activities helping clients become connected in the community and helping them spend more time outside the home
groups focus on some key themes related to aging including:_x000D_
loss of significant relationship, physical and cognitive capacities
loneliness and isolation
depression and demoralization
coping with stress
sense of purpose and self-esteem
</t>
  </si>
  <si>
    <t>Strathmore Public Health Office
Address650 Westchester Road Strathmore, AlbertaT1P 1H8
Telephone403-361-7200
Fax403-361-7244</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</si>
  <si>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Thornhill Community Health Centre
Village Square Leisure Centre
Vulcan Community Health Centre</t>
  </si>
  <si>
    <t>Strathmore Public Health Office</t>
  </si>
  <si>
    <t>Rockyview General Hospital
Address7007 14 Street SWCalgary, AlbertaT2V 1P9
Telephone403-943-1500 Access Mental Health, 403-943-3812
Tollfree1-844-943-1500
Fax403-258-2822
Getting ThereParking available
Parking map</t>
  </si>
  <si>
    <t>Days of the Week
Monday8:00 am - 4:15 pm
Tuesday8:00 am - 4:15 pm
Wednesday8:00 am - 4:15 pm
Thursday8:00 am - 4:15 pm
Friday8:00 am - 4:15 pm
Note
Closed weekends and statutory holidays.</t>
  </si>
  <si>
    <t>Two Hills Health Centre
Address4401 53 Avenue Two Hills, AlbertaT0B 4K0
Telephone780-657-3361
Fax780-657-2928</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</si>
  <si>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Vegreville Community Health Centre
Vermilion Provincial Building
Viking Community Health Centre
Wainwright Health Centre
Wetaskiwin Hospital and Care Centre
Winfield Community Health Centre</t>
  </si>
  <si>
    <t>Two Hills Health Centre</t>
  </si>
  <si>
    <t>Seton - Jasper Healthcare Centre
Address518 Robson Street Jasper, AlbertaT0E 1E0
Telephone780-342-2383
Fax780-342-3348
Getting ThereLocated behind the Jasper Emergency Services Building.</t>
  </si>
  <si>
    <t>Days of the Week
Monday8:30 am - 4:30 pm
Tuesday8:30 am - 4:30 pm
Wednesday8:30 am - 4:30 pm
Thursday8:30 am - 4:30 pm
Friday8:30 am - 4:30 pm
Note
Closed Stat Holidays and lunch hours.</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</si>
  <si>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Slave Lake Healthcare Centre
St. Theresa General Hospital 
St. Therese - St. Paul Healthcare Centre
Swan Hills Healthcare Centre
Valleyview Community Health Services
Westlock Community Health Services
Whitecourt Healthcare Centre</t>
  </si>
  <si>
    <t>Service Providers May Includeregistered nurses
Service LanguagesInterpreter/Translation services</t>
  </si>
  <si>
    <t>Alberta-Wide Web and / or Telephone Access
Telephone811
Websitehttp://www.ahs.ca
Getting TherePhysical location not applicable.</t>
  </si>
  <si>
    <t xml:space="preserve">A dementia advice line, available to all Albertans free of charge.This service provides:
24/7 telephone nurse advice for individuals and caregivers living with Dementia and Alzheimer's
When needed, callers will be referred to a specialized dementia nurse for additional support.
</t>
  </si>
  <si>
    <t>Service Call 1-877-303-2642 (toll free within Alberta) for mental health advice.</t>
  </si>
  <si>
    <t>Alberta-Wide Web and / or Telephone Access
Telephone1-877-303-2642 (Toll free)
Getting TherePhysical location not applicable.</t>
  </si>
  <si>
    <t xml:space="preserve">Provides toll-free, 24/7 telephone service, which offers help for mental health concerns for Albertans.Provides 24/7:
confidential, anonymous service
crisis intervention
information about mental health programs and services
referrals to other agencies if needed
</t>
  </si>
  <si>
    <t>Service Providers May Includedietitians, doctors, geriatricians, occupational therapists (OTs), occupational therapy assistants, pharmacists, physical therapists (PTs), physiotherapy assistants, recreational therapists (RTs), recreational therapy assistants, registered nurses (RNs), social workers, speech-language pathologists (SLPs)
EligibilityCriteria:
patient requires assessment by three or more of the multi-disciplinary team services unique to Unit 5A
patient has complex medical issues and co-morbidities
there must be potentially reversible components that are contributing to a decline in the functional abilities
patient and caregivers (if applicable) must be motivated to participate in our program
patient must be 65 and older or functionally geriatric
Wait TimesAn estimated wait time will be provided at the time of appointment booking.
Service LanguagesInterpreter/Translation services</t>
  </si>
  <si>
    <t>Chinook Regional Hospital
Address960 19 Street SLethbridge, AlbertaT1J 1W5
Telephone403-388-6610
Getting ThereParking map</t>
  </si>
  <si>
    <t xml:space="preserve">This inpatient program specializes in the inter-disciplinary assessment and treatment of seniors with complex medical problems.The provision of integrated health services is directed toward elderly patients experiencing potentially reversible medical problems which are contributing to a physical, psychological, or social decline in function. The program is restorative and rehabilitative in its focus and endeavors to facilitate a patientâ€™s ability to return to their own home or, when necessary, recommend alternative living options.
Persons over the age of 65 who suffer from a multitude of medical, social, emotional and physical problems that have made it difficult to continue living independently at home may receive the following services:
medical - family physician
geriatrician
psychiatrist
nursing
diagnostic testing
assessments
consultations
speech therapy
occupational therapy
physical therapy
recreation therapy
respiratory therapy
nutritional counselling and education
individual and family counselling
pain assessment, management and education
social activities
pastoral care
home assessment
follow-up
What is the purpose?
to discover and treat curable disease
to review complex medication regimens
to improve patients' functional ability
to help patients return to their own homes or to suggest suitable alternate living arrangements if a return to home is not possible
</t>
  </si>
  <si>
    <t>Service Providers May Includeaddiction counsellors
Service Healthcare providers should consult the Alberta Referral Directory for service referral information.
Regularly scheduled drop in schedule provides access to a counsellor with minimal wait. Please phone for drop in times.
Booked appointments also avaliable.
Service LanguagesInterpreter/Translation services</t>
  </si>
  <si>
    <t>Brooks 403  2 Avenue W
Address403 2 Avenue Brooks, AlbertaT1R 0S3
Telephone403-362-1265
Tollfree1-866-332-2322 (24 Hour Help Line)
Fax403-362-1248
Emailbrooks@albertahealthservices.ca</t>
  </si>
  <si>
    <t>Days of the Week
Monday8:00 am - 4:30 pm
Tuesday8:00 am - 4:30 pm
Wednesday8:00 am - 4:30 pm
Thursday8:00 am - 4:30 pm
Friday8:00 am - 4:30 pm
Note
Closed for lunch from 12:00 to 12:45 pm.
Please call clinic to book an appointment.</t>
  </si>
  <si>
    <t>Cardston Provincial Building 
Crowsnest Pass Provincial Building
Lethbridge Provincial Building
Medicine Hat Provincial Building
Oyen Community Health Services
Pincher Creek Provincial Building 
Taber Health Centre</t>
  </si>
  <si>
    <t xml:space="preserve">Community out-patient based adult counselling for individuals and families as well as the provision of education and prevention for substance use and misuse including alcohol, other drugs, tobacco and gambling.A range of treatment services to help Albertans improve their health, learn new life skills and recover from the harmful effects of substance use and problem gambling. Range of services include screening, assessment, individual and group counselling, referral to other resources, and aftercare support.
Assessment and treatment will include learning about your past history, present situation and identifying your goals. The counsellor will talk with you about the different treatment options, including counselling to help you reach your goals. Your counsellor will help you choose goals and strategies, make suggestions, and review your progress with you
The office also offers information and support to anyone (including health providers and employers) about alcohol, drugs, tobaco, and gambling.
Prevention and promotion services are offered to help prevent and reduce harm related to substance use and gambling. Services include:
school programs
community programs
workplace programs
</t>
  </si>
  <si>
    <t>Bassano Health Centre
Address608 5 Avenue Bassano, AlbertaT0J 0B0
Telephone403-641-6123
Fax403-641-2157</t>
  </si>
  <si>
    <t>Days of the Week
Tuesday8:30 am - 4:30 pm
Thursday8:30 am - 4:30 pm</t>
  </si>
  <si>
    <t>Big Country Hospital
Bow Island Health Centre
Brooks Health Centre
Cardston Health Centre
Chinook Regional Hospital
Coaldale Health Centre
Crowsnest Pass Health Centre
Fort Macleod Health Centre
Medicine Hat Regional Hospital
Melcor Centre
Milk River Health Centre
Pincher Creek Health Centre
Raymond Health Centre
Taber Health Centre</t>
  </si>
  <si>
    <t>Bassano Health Centre</t>
  </si>
  <si>
    <t>Crowsnest Pass Provincial Building
Address12501 20 Avenue Blairmore, AlbertaT0K 0E0
Telephone403-562-2966
Tollfree 24 hour Help Line 1-866-332-2322
Fax403-562-8933</t>
  </si>
  <si>
    <t>Days of the Week
Monday8:00 am - 4:30 pm
Tuesday8:00 am - 4:30 pm
Wednesday8:00 am - 4:30 pm
Thursday8:00 am - 4:30 pm
Friday8:00 am - 4:30 pm
Note
Closed 12:00 PM (Noon) to 1:00 PM.</t>
  </si>
  <si>
    <t>Brooks 403  2 Avenue W
Lethbridge Provincial Building
Medicine Hat Provincial Building
Oyen Community Health Services
Taber Health Centre</t>
  </si>
  <si>
    <t>Good Samaritan South Ridge Village
Address550 Spruce Way SEMedicine Hat, AlbertaT1B 4P1
Tollfree1-866-388-6380 (Home Care Assessment)</t>
  </si>
  <si>
    <t>Extendicare Fairmont Park
Good Samaritan Garden Vista
Good Samaritan Lee Crest
Good Samaritan Linden View
Good Samaritan Park Meadows Village
Good Samaritan Prairie Ridge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</si>
  <si>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South Ridge Village</t>
  </si>
  <si>
    <t>Fox Creek Healthcare Centre
Address600 3 Street Fox Creek, AlbertaT0H 1P0
Telephone780-622-5106 
Tollfree1-877-303-2642 (24 hr Help Line)</t>
  </si>
  <si>
    <t>Days of the Week
Monday8:00 am - 4:30 pm
Tuesday8:00 am - 4:30 pm
Wednesday8:00 am - 4:30 pm
Thursday8:00 am - 4:30 pm
Friday8:00 am - 4:30 pm
Note
Closed 12:00 PM to 1:00 PM and statutory holidays.</t>
  </si>
  <si>
    <t>Athabasca Community Health Services
Barrhead Healthcare Centre
Beaverlodge Community Health Services
Bonnyville New Park Place
Cold Lake Healthcare Centre
Edson Healthcare Centre
Fairview Health Complex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</si>
  <si>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Fox Creek Healthcare Centre</t>
  </si>
  <si>
    <t>Barrhead Administration Building
Address5143 50 Street Barrhead, AlbertaT7N 1A4
Telephone780-674-8239 (Addiction Services)
Tollfree310-0000 780-674-8239, 1-866-332-2322 (24 hr Help Line)
Fax 780-674-8294</t>
  </si>
  <si>
    <t>Days of the Week
Monday8:15 am - 4:30 pm
Tuesday8:15 am - 4:30 pm
Wednesday8:15 am - 4:30 pm
Thursday8:15 am - 4:30 pm
Friday8:15 am - 4:30 pm
Note
Closed_x000D_
12:00 PM (noon) to 1:00 PM. and statutory holidays.</t>
  </si>
  <si>
    <t>Athabasca Community Health Services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</si>
  <si>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Athabasca Community Health Services
Barrhead Healthcare Centre
Beaverlodge Community Health Services
Bonnyville New Park Place
Cold Lake Healthcare Centre
Edson Healthcare Centre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</si>
  <si>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Includecertified spiritual care providers, chaplains
Service Please call the hospital switchboard for further information.
Service LanguagesInterpreter/Translation services</t>
  </si>
  <si>
    <t>Mineral Springs Hospital
Address305 Lynx Street Banff, AlbertaT1L 1H7
Telephone403-762-2222, 403-760-1917 ( On- call Cellular number)
Fax403-762-4193</t>
  </si>
  <si>
    <t>Alberta Children's Hospital
Canmore General Hospital
Claresholm General Hospital
Foothills Medical Centre
High River General Hospital
Oilfields General Hospital
Peter Lougheed Centre
Rockyview General Hospital
South Health Campus
Tom Baker Cancer Centre
Vulcan Community Health Centre</t>
  </si>
  <si>
    <t xml:space="preserve">Clinically and theologically trained spiritual care providers (chaplains) support spiritual health needs for those with any or no religious affiliation.This Service Provides spiritual and emotional support for patients, families and staffÂ as an integral part of the multidisciplinary care team thatÂ works within the health care system to assess and address spiritual care needs, which may include:
spiritual assessment and intervention
facilitating rituals and sacraments (e.g. sweet-grass, sacrament of the sick)
decision-making support and supportive care for patient and family at end-of-life
collaboration with religious leaders at patient's and/or family's request
serving as a resource to care team on topics such as communication, religious and cultural awareness, grief and bereavement, compassion fatigue, and spiritual needs assessment
daily 24-hour (on-call) coverage at most acute care centres
Chaplains adhere to professional standards of practice for spiritual care delivery.
For more information visit our webpage.
</t>
  </si>
  <si>
    <t>Beaverlodge Community Health Services
Address412 10A Street Beaverlodge, AlbertaT0H 0C0
Telephone780-538-5160 Addiction and Mental Health Grande Prairie
Fax780-538-6279 Addiction and Mental Health Grande Prairie</t>
  </si>
  <si>
    <t>Athabasca Community Health Services
Barrhead Healthcare Centre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</si>
  <si>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Beaverlodge Community Health Services
Address412 10A Street Beaverlodge, AlbertaT0H 0C0
Telephone780-342-2383
Fax780-342-3348</t>
  </si>
  <si>
    <t>Days of the Week
Tuesday9:00 am - 3:00 pm</t>
  </si>
  <si>
    <t>Athabasca Community Health Services
Barrhead Healthcare Centre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</si>
  <si>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Service Providers May Includechild life specialists, dog trainers
EligibilityCall for information.
Wait TimesAn estimated wait time will be provided at the time of appointment booking.
Service LanguagesInterpreter/Translation services</t>
  </si>
  <si>
    <t>Stollery Children's Hospital
Address8440 112 Street Edmonton, AlbertaT6G 2B7
Telephone780-407-6818
Getting ThereParking and Public transportation available</t>
  </si>
  <si>
    <t>Days of the Week
Monday7:00 am - 4:00 pm
Tuesday7:00 am - 4:00 pm
Wednesday7:00 am - 4:00 pm
Thursday7:00 am - 4:00 pm
Friday7:00 am - 4:00 pm</t>
  </si>
  <si>
    <t xml:space="preserve">Pet therapy is a referral based program in which trained therapy dogs are integrated into a pediatric patient's psychosocial treatment process. It is a goal directed intervention delivered by a health care professional.Pet Therapy is utilized to:
increase participation in therapies such as physical, occupational, speech or psychological treatments
help in coping or compliance with tests or procedures
help improve mood, decrease anxiety and/or fear of hospitalizatoin or illness
</t>
  </si>
  <si>
    <t>Service Providers May Includeactivity conveners, licensed practical nurses (LPNs), registered nurses (RNs)
EligibilityClients age 65 and older with health problems as described above. Individuals under the age of 65 are assessed on an individual basis.
Referral NeededClients can self-refer or be referred by Home Care, Community Outreach Team, physicians, family members, friends, or caregivers.
Service Clients are registered into the program once they have completed a trial period to determine if clients needs can be met.
Wait TimesWaiting period is 4 to 6 weeks.
FeesClient fee for attendance is $10.00 per day to cover the cost of lunch, snacks and beverages (coffee, tea, juice). Client is billed monthly based on actual attendance. Fees may be changed without notice. Please contact the service for more information. Fee is reviewed and waived based on annual income as per the Alberta Seniors Benefit Program general eligibility amounts.
Service LanguagesInterpreter/Translation services</t>
  </si>
  <si>
    <t>Medicine Hat Regional Hospital
Address666 5 Street SWMedicine Hat, AlbertaT1A 4H6
Telephone403-529-8949
Fax403-529-8858
AccessibilityMain entranceParking stalls and washrooms
Getting ThereParking available
Parking map</t>
  </si>
  <si>
    <t>Days of the Week
Monday8:00 am - 4:00 pm
Tuesday8:00 am - 4:00 pm
Wednesday8:00 am - 4:00 pm
Thursday8:00 am - 4:00 pm
Friday8:00 am - 4:00 pm
Note
Public can contact Seniors Services as listed above. Day Hospital clinic days are Monday, Tuesday, Thursday and Friday.</t>
  </si>
  <si>
    <t xml:space="preserve">Provides care to clients in a day hospital / community setting. The service focuses on senior clients with mental health diagnosis of depression / anxiety disorders, stress issues and early dementia.Services include:
therapeutic groups
balance and fall prevention exercise program
one-on-one counselling
case conferencing
ongoing health assessments
treatment
Clients come to the day hospital 2 days a week.
</t>
  </si>
  <si>
    <t>Service Providers May Includeregistered nurses (RNs)
EligibilityFor caregivers of children under the age of 6 years who would like help in addressing issues related to physical and mental health, lifestyle, parenting, relationships and / or social isolation.
Service LanguagesInterpreter/Translation services</t>
  </si>
  <si>
    <t>Medicine Hat 477 3 Street SE
Address477 3 Street SEMedicine Hat, AlbertaT1A 0G8
Telephone403-526-7473</t>
  </si>
  <si>
    <t>Days of the Week
Monday8:30 am - 4:30 pm
Tuesday8:30 am - 4:30 pm
Wednesday8:30 am - 4:30 pm
Thursday8:30 am - 4:30 pm
Friday8:30 am - 4:30 pm
Note
Please call for information during the hours listed.
Â 
Closed 12:00 PM (noon) to 1:00 PM</t>
  </si>
  <si>
    <t>/affiliations
Bridges Family Programs Association of Southeastern Alberta</t>
  </si>
  <si>
    <t>Bow Island Health Centre
Brooks Health Centre
Oyen Community Health Services</t>
  </si>
  <si>
    <t>Medicine Hat 477 3 Street SE</t>
  </si>
  <si>
    <t xml:space="preserve">Provides support, education, and assists families in achieving enhanced resilience and self-reliance in order to encourage the full potential of children and families within the community.Building Blocks offers:
personalized home visits
assessment of child growth and development
information on your areas of interest, i.e. nutrition, child development, safety, health, budgeting, child-parent activities, injury prevention, smoking cessation, parenting tips and much more
parent support
service planning
connection to community services and organizaitons
parenting groups
This program will help you to understand your childâ€™s development as well as promote positive communication and interactions between you and your child.
</t>
  </si>
  <si>
    <t>Coronation Hospital and Care Centre
Address5000 Municipal Road Coronation, AlbertaT0C 1C0
Telephone403-743-2000
Tollfree24 Hour Mental Health Help Line 1 877-303-2642, 24 Hour Addiction Help Line 1 877-332-2322
Fax403-740-8880</t>
  </si>
  <si>
    <t>Consort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</si>
  <si>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Service Providers May Includesocial workers
Referral NeededCan self refer or be referred by family or friend.
Service Contact the project for referrals.
Service LanguagesInterpreter/Translation services</t>
  </si>
  <si>
    <t>Southview Community School
Address2425 Southview  Drive SEMedicine Hat, AlbertaT1B 1E8
Telephone403-526-4495 Ext 5833
EmailHUG@sd76.ab.ca, MyPlace@sd76.ab.ca</t>
  </si>
  <si>
    <t>Days of the Week
Monday8:00 am - 3:00 pm
Tuesday8:00 am - 3:00 pm
Wednesday8:00 am - 3:00 pm
Thursday8:00 am - 3:00 pm
Friday8:00 am - 3:00 pm</t>
  </si>
  <si>
    <t>Southview Community School</t>
  </si>
  <si>
    <t xml:space="preserve">A prevention and promotion initiative that works to increase a communityÂ¿s capacity to promote the development of positive mental health and wellness in its children, youth and families using schools as hubs. Outreach services can be provided to schools in the area. We also provide community services.Using prevention and promotion activities HUG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</si>
  <si>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St. Theresa General Hospital 
Address4506 46 Avenue Fort Vermilion, AlbertaT0H 1N0
Telephone780-841-3229
Tollfree1-877-303-2642 (24 hr Help Line)
Fax780-926-3738</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</si>
  <si>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Therese - St. Paul Healthcare Centre
Swan Hills Healthcare Centre
Valleyview Community Health Services
Westlock Provincial Building
Whitecourt Community Health Services</t>
  </si>
  <si>
    <t xml:space="preserve">St. Theresa General Hospital </t>
  </si>
  <si>
    <t>Service Providers May Includecounsellors, dietitians, dietary technicians, doctors, occupational therapists (OTs), pediatricians, psychiatrists, recreational therapists, registered nurses (RNs)
Service Healthcare providers should consult the Alberta Referral Directory for service referral information.
Service LanguagesInterpreter/Translation services</t>
  </si>
  <si>
    <t>Richmond Road Diagnostic and Treatment Centre
Address1820 Richmond Road SWCalgary, AlbertaT2T 5C7
Telephone403-955-7700
Fax403-955-3066
Getting ThereParking available
Parking map</t>
  </si>
  <si>
    <t>Days of the Week
Monday8:30 am - 4:30 pm
Tuesday8:30 am - 4:30 pm
Wednesday8:30 am - 4:30 pm
Thursday8:30 am - 4:30 pm
Friday8:30 am - 4:30 pm
Note
Appointments may be scheduled outside of regular office hours.</t>
  </si>
  <si>
    <t>/affiliations
Southern Alberta Eating Disorder Network</t>
  </si>
  <si>
    <t xml:space="preserve">Provides treatment to Albertans of all ages who have been diagnosed with a moderate to severe eating disorder.Offers treatment for people diagnosed with an eating disorder such as anorexia nervosa, bulimia nervosa, and other specified feeding or eating disorder.
Services include:
outpatient, inpatient, and day patient programs
outpatient treatment
inpatient program
day treatment
consultations and referrals to doctors, therapists, and community groups
information sessions for family and friends of patients
educational workshops for healthcare professionals and students
</t>
  </si>
  <si>
    <t>William J. Cadzow - Lac La Biche Healthcare Centre
Address9110 93 Street Lac La Biche, AlbertaT0A 2C0
Telephone780-623-4404
Fax780-623-5904
Getting ThereAcross the street from Portage College.</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</si>
  <si>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t>
  </si>
  <si>
    <t>William J. Cadzow - Lac La Biche Healthcare Centre</t>
  </si>
  <si>
    <t>Lacombe Community Health Centre
Address5010 51 Street Lacombe, AlbertaT4L 1W2
Telephone403-782-6535</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</si>
  <si>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</si>
  <si>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Lacombe Community Health Centre</t>
  </si>
  <si>
    <t>Beaverlodge Community Health Services
Address412 10A Street Beaverlodge, AlbertaT0H 0C0
Telephone780-538-5160 (Addiction and Mental Health Grande Prairie)
Fax780-538-6279 (Addiction and Mental Health Grande Prairie)</t>
  </si>
  <si>
    <t>Athabasca Community Health Services
Barrhead Healthcare Centre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</si>
  <si>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Devon General Hospital
Address101 Erie Street SDevon, AlbertaT9G 1A6
Telephone780-987-8200 (Switchboard) 
AccessibilityEntrance</t>
  </si>
  <si>
    <t>Beaumont Public Health Centre
Centre Hope Building 
Fort Saskatchewan Community Hospital
Gibbons Health Unit
Good Samaritan Pembina Village
Morinville Provincial Building
Redwater Health Centre 
St. Albert Provincial Building
Stan Woloshyn Building
Strathcona Community Hospital
Thorsby Public Health Centre
WestView Health Centre - Stony Plain</t>
  </si>
  <si>
    <t>Service Providers May Includecrisis counselors, doctors, police officers, registered nurses (RNs)
EligibilityÂ If you have been sexually assaulted within the past 4 days and you are:
14 years or older - go to the Sheldon M. Chumir Urgent Care Centre or any emergency department or urgent care centre
under 14 years of age - go to the Alberta Childrenâ€™s Hospital Emergency Department
If you have been sexually assaulted OVER 4 days ago, medical care and support is important.
Contact these services and organizations:Â 
Sexual &amp; Reproductive Health Clinics
Calgary Communities Against Sexual Abuse
Health Link at 811
STI clinic
a family doctor or a walk-in clinic
Service Â 
If you have been sexually assaulted within the past 4 days and you are 14 years or older -- go to the Sheldon M. Chumir Urgent Care Centre or any emergency department or urgent care centre.Tell the triage nurse when you check-in that you've been sexually assaulted.
Â 
If you have been sexually assaulted within the past 4 days and you are under 14 years of age â€“ go to the Alberta Childrenâ€™s Hospital Emergency Department. Tell the triage nurse when you check-in that you or your child has been sexually assaulted.
Â 
If you are a healthcare provider and you need to access or consult with CSART, call Foothills Medical Centre switchboard.
If it is an emergency or are in immediate danger call: 911
If you wish to report the sexual assault and it is not an emergency call the police non-emergency line.
Â 
Â 
Service LanguagesInterpreter/Translation services</t>
  </si>
  <si>
    <t>Alberta Children's Hospital
Address28 Oki Drive NWCalgary, AlbertaT3B 6A8
Telephone403-955-6030 (Information), 403-955-6030 (CSART information line), 403-955-6500 (Sexual &amp; Reproductive Health Clinics), 403-955-6200 (STI Clinic), 403-237-5888 (Calgary Communities Against Sexual Abuse), 403-944-1110 (Foothills Medical Centre switchboard), 403-266-1234 (Police)
Tollfree811 (Health Link), 1-888-237-5888 (Calgary Communities Against Sexual Abuse)
Websitehttp://www.albertahealthservices.ca/info/service.aspx?id=1962, http://www.calgarycasa.com/programs/crisis-intervention-and-counselling-programs/sexual-assault-response-team/
AccessibilityMain entranceLifts
Getting ThereParking map</t>
  </si>
  <si>
    <t>/affiliations
Calgary Communities Against Sexual Abuse (CCASA), Calgary Police Service, area RCMP, Alberta Justice</t>
  </si>
  <si>
    <t>Sheldon M. Chumir Health Centre</t>
  </si>
  <si>
    <t xml:space="preserve">Provides medical care and emotional support for males and females who have been sexually assaulted in the past 4 days (96 hours).Registered nurses, doctors and crisis counsellors offer medical treatment, emotional support and education aboutÂ options for care and reporting for people who have been sexually assaulted in the past 4 days (96 hours).Â 
medical treatment with no police involvement
medical treatment with police involvement and collection of a sexual assault exam kit
medical treatment with no police involvementÂ and collection of a sexual assault exam kitÂ andÂ 1 year to decide if you want to report to the policeÂ  
Medical care includes treating or preventing sexually transmitted infections, pregnancy and other health concerns, follow-up testing and referrals to other health care services.
A crisis counsellor from Calgary Communities Against Sexual Abuse (CCASA) can provide support, give you information about common reactions to sexual assault and recovery, and support you, your family, friends or loved ones immediate and ongoing emotional needs.
Additional information is available at:
AHS Sexual and Reproductive Health
Calgary Community Against Sexual Assault (CCASA)
Calgary Police Service
Connect Network
</t>
  </si>
  <si>
    <t>Cochrane Addiction and Mental Health Clinic 
Address60 Grande Boulevard Cochrane, AlbertaT4C 0S4
Telephone1-877-652-4700 Intake Line
Fax403-851-6101
AccessibilityAccess on main floor at front of building, accessible washrooms on all floors.</t>
  </si>
  <si>
    <t>Days of the Week
Monday8:00 am - 7:15 pm
Tuesday8:00 am - 7:15 pm
Wednesday8:00 am - 7:15 pm
Thursday8:00 am - 7:15 pm
Friday8:00 am - 4:15 pm
Note
The hours listed are the clinic office hours. Walk-in service is available from 11:00 AM to 5:00 PM Monday to Thursday and 11:00 AM to 3:00 PM on Friday.</t>
  </si>
  <si>
    <t>Addiction and Mental Health Clinic - Strathmore
Airdrie Provincial Building
Banff Community Health Centre
Canmore Boardwalk Building
Chestermere Community Health Centre
Claresholm Addiction and Mental Health Clinic
Didsbury District Health Services
High River Addiction and Mental Health Clinic 
Nanton Community Health Centre
Oilfields General Hospital
Okotoks Mental Health Centre</t>
  </si>
  <si>
    <t xml:space="preserve">Cochrane Addiction and Mental Health Clinic </t>
  </si>
  <si>
    <t>Service Providers May Includepsychiatrists, psychologists, registered nurses (RNs), social workers
Referral NeededReferrals by court order for pre-trial and pre-sentence assessments should include a clear referral question and all background information (e.g. details of the offence, police reports, court transcripts, and criminal record). Probation officers or other agencies making a referral should submit the standard FAOS referral form with background information.
Probation officers or other agencies making a referral should submit the standard FAOS referral form with background information.
Service Healthcare providers should consult the Alberta Referral Directory for service referral information.
You need to be referred by the courts, probation, and other community agencies.
Wait TimesAn estimated wait time will be provided at the time of appointment booking.
Service LanguagesInterpreter/Translation services</t>
  </si>
  <si>
    <t xml:space="preserve">Provides assessment and treatment for people with mental health concerns who are in conflict with the law.Services may include:
one-to-one counselling
couples counselling
sex offender treatment programs
family violence treatment programs
group therapy
</t>
  </si>
  <si>
    <t>Service Providers May Includeaddictions counselors, chaplains, doctors, licensed nurse practitioners (LPNs), occupational therapists, outreach workers, pharmacists, psychiatric aides, psychiatrists, psychologists, psychometrists, recreation therapists, registered nurses (RNs/RPNs), residential support workers, social workers
EligibilityPatients can be admitted from general psychiatric units when charged with a detainable offence and certified under the Mental Health Act.
Deputy Directors from correctional institutions can request a patient to be transferred to SAFPC for stabilization if needed.
Referral NeededReferrals are received through the justice system or solicitor general. All referrals are triaged on a weekly basis.
Service Healthcare providers should consult the Alberta Referral Directory for service referral information.
Referrals are typically made through the court system.Â  Lawyers, police, probation, or parole can request the assessment be ordered.
Directors of correctional facilities may request that a patient be sent to our facility for psychiatric stabilization.
Wait TimesWait times are dependent on the acuity of the units,number of court-ordered assessments being referred, emergency admissions and staffing levels.
Service LanguagesInterpreter/Translation services</t>
  </si>
  <si>
    <t>Southern Alberta Forensic Psychiatry Centre
Address11333 85 Street NWCalgary, AlbertaT3R 1J3
Telephone403-944-6800
Fax403-944-6852</t>
  </si>
  <si>
    <t>/affiliations
Alberta Justice, Solicitor General</t>
  </si>
  <si>
    <t>Southern Alberta Forensic Psychiatry Centre</t>
  </si>
  <si>
    <t xml:space="preserve">SAFPC is a designated mental health facility that provides comprehensive, multidisciplinary court ordered assessments for the justice system.The Southern Alberta Forensic Psychiatry Centre (SAFPC) provides the following service:
court ordered psychiatric assessments
assessments range from Pre-trial, Pre-sentence, Long term offender (LTO), Dangerous offender (DO), and Not Criminally Responsible (NCR)
treatment and rehabilitation to individuals who have been found NCR due to mental disorder under the legislation of the Alberta Review Board
temporary treatment and stabilization for individuals who have decompensated while in custody
</t>
  </si>
  <si>
    <t>Referral NeededEmergency room doctor to call in referral
Service Referral must be made through the Emergency Department at Red Deer Hospital.
Service LanguagesInterpreter/Translation services</t>
  </si>
  <si>
    <t>Red Deer Regional Hospital Centre
Address3942 50A Avenue Red Deer, AlbertaT4N 4E7
Telephone403-343-4422
Getting ThereParking and Public transportation available
Parking map</t>
  </si>
  <si>
    <t>Days of the Week
Monday8:00 am - 12:00 am
Tuesday8:00 am - 12:00 am
Wednesday8:00 am - 12:00 am
Thursday8:00 am - 12:00 am
Friday8:00 am - 12:00 am
Saturday8:00 am - 12:00 am
Sunday8:00 am - 12:00 am</t>
  </si>
  <si>
    <t xml:space="preserve">Offers crisis intervention and referral to people in emotional and/or mental distress.Provides mental health assessment, referral, and crisis intervention for people experiencing significant mental health concerns.
</t>
  </si>
  <si>
    <t>Strathcona County Health Centre
Address2 Brower Drive Sherwood Park, AlbertaT8H 1V4
Telephone780-342-4600
Getting ThereParking and Public transportation available</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</si>
  <si>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Thorsby Public Health Centre
West Jasper Place Public Health Centre
WestView Health Centre - Stony Plain
Westmount Shopping Centre</t>
  </si>
  <si>
    <t>Strathcona County Health Centre</t>
  </si>
  <si>
    <t>Sacred Heart Community Health Centre
Address350 3 Avenue NWMcLennan, AlbertaT0H 2L0
Telephone780-324-3750
Getting ThereMain Street McLennan</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</si>
  <si>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Shepherd's Care Barrhead
Slave Lake Healthcare Centre
Smoky Lake Continuing Care Centre
St. Therese - St. Paul Healthcare Centre
Valleyview Health Centre
Westlock Continuing Care Centre
William J. Cadzow - Lac La Biche Healthcare Centre</t>
  </si>
  <si>
    <t>Sacred Heart Community Health Centre</t>
  </si>
  <si>
    <t>Barrhead Healthcare Centre
Address4815 51 Avenue Barrhead, AlbertaT7N 1M1
Telephone780-674-8243
Tollfree310-0000 780-674-8243, 1-877-303-2642 (24 hr Help Line)
Fax780-674-8352
Getting ThereLocated on the east side of Highway 33</t>
  </si>
  <si>
    <t>Days of the Week
Monday8:15 am - 4:30 pm
Tuesday8:15 am - 4:30 pm
Wednesday8:15 am - 4:30 pm
Thursday8:15 am - 4:30 pm
Friday8:15 am - 4:30 pm
Note
Closed_x000D_
12:00 PM (noon) to 1:00 PM, and statutory holidays.</t>
  </si>
  <si>
    <t>Athabasca Community Health Services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</si>
  <si>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WestView Health Centre - Stony Plain
Address4405 South Park Drive Stony Plain, AlbertaT7Z 2M7
Telephone780-968-3600, 780-968-3656 (Long Term Care)</t>
  </si>
  <si>
    <t>Note
Pastoral services withÂ community clergy offered upon request. Chapel service takes place onÂ WednesdayÂ at 6:00 PM.</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</si>
  <si>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Youville Home</t>
  </si>
  <si>
    <t>WestView Health Centre - Stony Plain</t>
  </si>
  <si>
    <t>Banff Community Health Centre
Address303 Lynx Street Banff, AlbertaT1L 1B3
Telephone403-762-4451
Fax403-762-5570</t>
  </si>
  <si>
    <t>Canmore Boardwalk Building
Claresholm Addiction and Mental Health Clinic
Cochrane Community Health Centre
Vulcan Community Health Centre</t>
  </si>
  <si>
    <t>Banff Community Health Centre</t>
  </si>
  <si>
    <t>Mill Woods Public Health Centre
Address7525 38 Avenue Edmonton, AlbertaT6K 3X9
Telephone780-342-1660
AccessibilityMain floor
Getting ThereParking and Public transportation available</t>
  </si>
  <si>
    <t>Beaumont Public Health Centre
Bonnie Doon Public Health Centre
Devon General Hospital
East Edmonton Health Centre
Fort Saskatchewan Community Hospital
Gibbons Health Unit
Leduc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</si>
  <si>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Mill Woods Public Health Centre</t>
  </si>
  <si>
    <t>Good Samaritan Vista Village 
Address1240 Ken Thornton Boulevard Pincher Creek, AlbertaT0K 1W0
Tollfree1-866-388-6380 (Home Care Assessment)</t>
  </si>
  <si>
    <t>Extendicare Fairmont Park
Good Samaritan Garden Vista
Good Samaritan Lee Crest
Good Samaritan Linden View
Good Samaritan Park Meadows Village
Good Samaritan Prairie Ridge
Good Samaritan South Ridge Village
Good Samaritan West Highlands
Legacy Lodge
Leisure Way
Masterpiece Southland Meadows
Meadow Ridge Seniors Village
Piyami Place
River Ridge Seniors Village
St. Michael's Health Centre
St. Therese Villa
Sunny South Lodge
Sunrise Gardens</t>
  </si>
  <si>
    <t xml:space="preserve">Good Samaritan Vista Village </t>
  </si>
  <si>
    <t>Service Providers May Includeoccupational therapists (OTs), psychiatrists, psychologists, registered nurses (RNs), social workers
EligibilitySevere psychiatric disturbance, high risk of harm to self and others, accepted for admission by child psychiatrist.
Service LanguagesInterpreter/Translation services</t>
  </si>
  <si>
    <t>Glenrose Rehabilitation Hospital 
Address10230 111 Avenue NWEdmonton, AlbertaT5G 0B7
AccessibilityParking stalls
Getting ThereParking available
Public transportation available
Parking map</t>
  </si>
  <si>
    <t xml:space="preserve">Provides 24/7 acute inpatient services for youth experiencing severe psychiatric disturbance.Assessment and Treatment of children and adolescents with acute psychiatric problems.
</t>
  </si>
  <si>
    <t>Cremona Community Health Centre
Address106 Railway Avenue Cremona, AlbertaT0M 0R0
Telephone403-335-9393 (Didsbury)
Fax403-637-3715</t>
  </si>
  <si>
    <t>Days of the Week
Thursday8:30 am - 11:30 pm</t>
  </si>
  <si>
    <t>Acadia Community Health Centre
Airdrie Community Health Centre
Banff Community Health Centre
Canmore Provincial Building
Claresholm Community Health Centre
Cochrane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</si>
  <si>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Cremona Community Health Centre</t>
  </si>
  <si>
    <t>Service Providers May Includeoccupational therapists (OTs), physical therapists (PTs), speech-language pathologists (SLPs), therapy assistants
EligibilityAges birth to 18 years.
Service Infant / Preschool services requires an intake process. Either a referral or telephone intake process is followed.
For school age children, please review supports available through your local school or school division.
Wait TimesAn estimated wait time will be provided at the time of appointment booking.
Service LanguagesInterpreter/Translation services</t>
  </si>
  <si>
    <t>Didsbury District Health Services
Address1210 20 Avenue Didsbury, AlbertaT0M 0W0
Telephone403-335-2511
Fax403-335-7606
AccessibilityElevator</t>
  </si>
  <si>
    <t>/affiliations
Bow River RCSD, Central East RCSD</t>
  </si>
  <si>
    <t>Canmore Provincial Building
Okotoks Health and Wellness Centre
Strathmore Public Health Office</t>
  </si>
  <si>
    <t>Didsbury District Health Services</t>
  </si>
  <si>
    <t xml:space="preserve">This program provides Speech Language Pathology support for preschool and school age children and youth. Access to Occupational Therapy and Physical Therapy varies depending on the community.This program supports children, youth and their families in enhancing their participation in identified roles and activities. Services support children and youth who are not achieving their full abilities, either due to an impairment or an environmental limitation.
Services offered may include:
assessment, planning, intervention, and evaluation.
child and family teaching and support
coordinated planning in cooperation with family, teachers, and community partners
</t>
  </si>
  <si>
    <t>St. Albert Provincial Building
Address30 Sir Winston Churchill Avenue St. Albert, AlbertaT8N 3A3
Telephone780-342-1410
Fax780-460-7152
Getting ThereParking available</t>
  </si>
  <si>
    <t>Beaumont Public Health Centre
Centre Hope Building 
Devon General Hospital
Fort Saskatchewan Community Hospital
Gibbons Health Unit
Good Samaritan Pembina Village
Morinville Provincial Building
Redwater Health Centre 
Stan Woloshyn Building
Strathcona Community Hospital
Thorsby Public Health Centre
WestView Health Centre - Stony Plain</t>
  </si>
  <si>
    <t>St. Albert Provincial Building</t>
  </si>
  <si>
    <t>Rimbey Hospital and Care Centre
Address5228 50 Avenue Rimbey, AlbertaT0C 2J0
Telephone403-843-2406
Fax403-843-2337</t>
  </si>
  <si>
    <t>Days of the Week
Monday8:00 am - 4:30 pm
Tuesday8:00 am - 4:30 pm
Wednesday8:00 am - 4:30 pm
Thursday8:00 am - 4:30 pm
Note
Closed Fridays.Â Â 
ClosedÂ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</si>
  <si>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</si>
  <si>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Service Providers May Includeclinical nurse specialists, psychologists, social workers
Service Healthcare providers should consult the Alberta Referral Directory for service referral information.
Contact  Mental Health to arrange for an appointment.
Clients can self-refer or can be referred by a psychiatrist, family doctor, or other health care provider.
Service LanguagesInterpreter/Translation services</t>
  </si>
  <si>
    <t>South Calgary Health Centre
Address31 Sunpark  Plaza SECalgary, AlbertaT2X 3W5
Telephone403-943-1500   Intake -  Access Mental Health, 403-943-9374   Clinic
Websitehttp://www.albertahealthservices.ca</t>
  </si>
  <si>
    <t xml:space="preserve">Provides psychotherapy for people with mental health problems.Offers psychotherapy for adults, 18 years of age and old, with mental health problems, who are appropriate for 8 to 12 sessions.Â  Services include:
one-to-one therapy
</t>
  </si>
  <si>
    <t>Sylvan Lake Community Health Centre
Address4602 49 Avenue Sylvan Lake, AlbertaT4S 1M7</t>
  </si>
  <si>
    <t>Drayton Valley Community Health Centre
Drumheller Health Centre
Lacombe Mental Health Centre
Olds Hospital and Care Centre
Ponoka Provincial Building
Red Deer 49 Street Community Health Centre - Addiction and Mental Health Services
Rocky Mountain House Health Centre
Stettler Hospital and Care Centre
Wetaskiwin Provincial Building</t>
  </si>
  <si>
    <t>Sylvan Lake Community Health Centre</t>
  </si>
  <si>
    <t>Service Providers May Includepsychiatrists, psychologists, registered nurses (RNs), social workers
EligibilityWe provide services for clients' ages 18-64 presenting with a mental health disorder.
Service Healthcare providers should consult the Alberta Referral Directory for service referral information.
Wait TimesAn estimated wait time will be provided at the time of appointment booking.
Service LanguagesInterpreter/Translation services</t>
  </si>
  <si>
    <t>Sheldon M. Chumir Health Centre
Address1213 4 Street SWCalgary, AlbertaT2R 0X7
Telephone403-955-6686
Getting ThereParking available
Parking map</t>
  </si>
  <si>
    <t>Days of the Week
Monday8:00 am - 4:00 pm
Tuesday8:00 am - 6:00 pm
Wednesday8:00 am - 6:00 pm
Thursday8:00 am - 6:00 pm
Friday8:00 am - 4:00 pm
Note
Some early evening appointments are also available. The majority of group therapy sessions are offered in the later afternoon / early evening.</t>
  </si>
  <si>
    <t xml:space="preserve">Provides therapy for people with mental health concerns.The Outpatient Mental Health Program provides time limited, goal focused, change orientated psychotherapy program focused on treatment for the presenting problem.Â Treatment plans are reviewed with clients between session 18-22. Psychotherapy Services available include cognitive behavioral for individuals and groups. interpersonal for individual therapy and groups, and narrative therapies for individuals. Clients must have a physician, usually a family doctor, supporting client care while enrolled at OPMH
</t>
  </si>
  <si>
    <t>Peace River Mental Health Clinic
Address10015 98 Street Peace River, AlbertaT8S 1A1
Telephone780-624-6151
Fax780-624-6565</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</si>
  <si>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Pine Plaza Building
Seton - Jasper Healthcare Centre
Slave Lake 101 3 Street
St. Theresa General Hospital 
St. Therese - St. Paul Healthcare Centre
Swan Hills Healthcare Centre
Valleyview Community Health Services
Westlock Provincial Building
Whitecourt Healthcare Centre</t>
  </si>
  <si>
    <t>Peace River Mental Health Clinic</t>
  </si>
  <si>
    <t>Provost Provincial Building
Address5419 44 Street Provost, AlbertaT0B 3S0
Telephone780-753-2375
Fax780-753-8096</t>
  </si>
  <si>
    <t>Days of the Week
Monday8:00 am - 4:30 pm
Tuesday8:00 am - 4:30 pm
Wednesday8:00 am - 4:30 pm</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</si>
  <si>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</si>
  <si>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Provost Provincial Building</t>
  </si>
  <si>
    <t>Our House Addiction Recovery Centre
Address22210  Stony Plain Road NWEdmonton, AlbertaT5S 2C3
Telephone 780-474-8945
Fax780-479-2271
Emailhouse@ourhouseedmonton.com 
Websitehttp://www.ourhouseedmonton.com
Getting TherePublic transportation available</t>
  </si>
  <si>
    <t>Days of the Week
Monday8:00 am - 4:00 pm
Tuesday8:00 am - 4:00 pm
Wednesday8:00 am - 4:00 pm
Thursday8:00 am - 4:00 pm
Friday8:00 am - 4:00 pm
Note
Program hours vary.</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</si>
  <si>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McDougall House
Northgate Centre
Royal Alex Place
Transition Place
WSP Place</t>
  </si>
  <si>
    <t>Our House Addiction Recovery Centre</t>
  </si>
  <si>
    <t>Valleyview Community Health Services
Address5112 50 Avenue Valleyview, AlbertaT0H 3N0
Telephone780-524-5096
Tollfree1-877-303-2642 (24 hr Help Line)
Fax780-524-2107</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</si>
  <si>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Westlock Provincial Building
Whitecourt Community Health Services</t>
  </si>
  <si>
    <t>Valleyview Community Health Services</t>
  </si>
  <si>
    <t>Provost Provincial Building
Address5419 44 Street Provost, AlbertaT0B 3S0
Telephone780-753-6180
Fax780-753-2064</t>
  </si>
  <si>
    <t>Days of the Week
Monday8:00 am - 4:00 pm
Tuesday8:00 am - 4:00 pm
Wednesday8:00 am - 4:00 pm
Thursday8:00 am - 4:00 pm
Friday8:00 am - 4:00 pm
Note
Hours of operation are for program information.</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</si>
  <si>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</si>
  <si>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Service Providers May Includecounsellors, doctors, registered nurses (RNs)
EligibilityWomen with a confirmed pregnancy who wish to terminate their pregnancy (abortion) or require information about the procedure or pregnancy options counselling.
Service Healthcare providers should consult the Alberta Referral Directory for service referral information.
Patients book their own appointment over the phone or online on the Women's Health Options website.
Wait TimesAn estimated wait time will be provided at the time of appointment booking.
FeesNo cost for services with valid Alberta Health Care. Fees may apply if out of province or country health care. Please call the clinic. 
Service LanguagesInterpreter/Translation services</t>
  </si>
  <si>
    <t>Edmonton 12409 109A Avenue
Address12409 109A Avenue Edmonton, AlbertaT5M 4A7
Telephone780-484-1124 (Appointments)
Fax780-489-3379
Emailinfo@womanshealthoptions.com, nurses@womanshealthoptions.com, counselors@womanshealthoptions.com
Websitehttp://womanshealthoptions.com
Getting TherePublic transportation available</t>
  </si>
  <si>
    <t>Edmonton 12409 109A Avenue</t>
  </si>
  <si>
    <t xml:space="preserve">This service provides pregnancy options decision making support and abortion services.Services include:
pregnancy options decision-making support
surgical abortion services (termination of confirmed pregnancy) up to 20 weeks of pregnancy
medical abortion services (termination of confirmed early pregnancy using Mifepristone/Misoprostol (Woman's Health Options and Kensington Clinic Only)
pre and post abortion counselling
support services related to early pregnancy loss (i.e., up to 20 weeks gestation)
birth control counselling and prescriptions including IUD (intrauterine device) insertion
STIÂ testing and treatment
Women's Health Options offers specialty services including:
Pap testing (cervical cancer screening)
Essure (method of permanent birth control)
Copper IUD insertion for emergency contraception
This service is provided by AHS and AHS contracted service providers.
</t>
  </si>
  <si>
    <t>Service Providers May Includeoccupational therapists (OTs), psychiatrists, registered nurses (RNs), social workers
Eligibility
patient must have a full scale IQ below 70 prior to the age of 18 (PDD eligible).
patient must be over the age of 16 years.
patient must have a current mental health and/or significant behavioral concerns.
patient must have a family doctor and the family doctor must be supportive of the referral.
patient must have had a full physical in the last year.
Clients must meet ALL eligibility criteria in order to be seen at Arnika Centre.
Service Healthcare providers should consult the Alberta Referral Directory for service referral information.
A family doctor or specialist may refer but the specialist referral must include a letter from the family doctor supporting the referral.
Wait TimesAn estimated wait time will be provided at the time of appointment booking.
Service LanguagesInterpreter/Translation services</t>
  </si>
  <si>
    <t>Calgary 3465 26 Avenue NE
Address3465 26 Avenue NECalgary, AlbertaT1Y 6L4
Telephone403-943-8301
Fax403-943-8367</t>
  </si>
  <si>
    <t>Days of the Week
Monday8:30 am - 4:30 pm
Tuesday8:30 am - 4:30 pm
Wednesday8:30 am - 4:30 pm
Thursday8:30 am - 4:30 pm
Friday8:30 am - 4:30 pm
Note
This not a walk-in service. An appointment is required. Call between the listed hours to book an appointment.</t>
  </si>
  <si>
    <t>/affiliations
PDD_x000D_
UCMC Family Medical Clinic</t>
  </si>
  <si>
    <t>Calgary 3465 26 Avenue NE</t>
  </si>
  <si>
    <t xml:space="preserve">Provides psychiatric assessment and consultation to adults and teenagers age 16 year of age and older with an intellectual disability and a mental health and / or behavioral problem.Arnika Centre offers psychiatric assessment and stabilization via medication for individuals 16 years or older who have an IQ 70 or below prior to the age of 18, have mental health concerns and/or significant behavioral problems,Â and have a family doctor who is supportive of the referral.
</t>
  </si>
  <si>
    <t>Service Providers May Includeoccupational therapists (OTs), psychiatrists, psychologists, registered nurses (RNs), social workers, speech-language pathologists (SLPs), teachers
EligibilityChildren, between 5 to 12 years of age, who require more than outpatient clinic or school mental health services
Wait TimesAn estimated wait time will be provided at the time of appointment booking.
Service LanguagesInterpreter/Translation services</t>
  </si>
  <si>
    <t>Glenrose Rehabilitation Hospital 
Address10230 111 Avenue NWEdmonton, AlbertaT5G 0B7
Telephone780-735-6295
AccessibilityParking stalls
Getting ThereParking available
Public transportation available
Parking map</t>
  </si>
  <si>
    <t xml:space="preserve">Day program are for children and includes classroom participation.Multi-disciplinary treatment planning and recommendations for management in home and community school.
Program includes:
Assessment Day Program (3 weeks)
Treatment Day Program (12 weeks)
Complex Day Program
</t>
  </si>
  <si>
    <t>Bonnyville New Park Place
Address5201 44  Street Bonnyville, AlbertaT9N 2G5
Telephone780-826-2404
Fax780-826-6114
Getting ThereLocated in the Bonnyville Remax Building, 2nd Floor.</t>
  </si>
  <si>
    <t>Athabasca Community Health Services
Barrhead Healthcare Centre
Beaverlodge Community Health Services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</si>
  <si>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Athabasca Community Health Services
Barrhead Healthcare Centre
Beaverlodge Community Health Services
Bonnyville New Park Place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</si>
  <si>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Bonnyville Healthcare Centre 
Address5001 Lakeshore Drive Bonnyville, AlbertaT9N 2J7
Telephone780-826-6114
Fax780-826-2404
Getting ThereLocated east of Lakeshore Drive</t>
  </si>
  <si>
    <t>Athabasca Community Health Services
Barrhead Community Health Services
Beaverlodge Community Health Services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</si>
  <si>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Manning Community Health Centre
Address600 2 Street NEManning, AlbertaT0H 2M0
Telephone780-836-2860
Fax780-836-7361</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</si>
  <si>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</si>
  <si>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Ashmont Elementary School
Telephone780-726-3877</t>
  </si>
  <si>
    <t>Ashmont Secondary School
Glen Avon School
Racette School
St. Paul Elementary Community School
Two Hills Mennonite School</t>
  </si>
  <si>
    <t>Ashmont Elementary School</t>
  </si>
  <si>
    <t>Service Providers May Includecourt liaison workers, mental health therapists
EligibilityOffenders who have a mental health illness, youths 12 to 18 years, and adults.
Referral NeededReferrals come from the justice system.
Service LanguagesInterpreter/Translation services</t>
  </si>
  <si>
    <t>Cold Lake Healthcare Centre
Grande Prairie Aberdeen Centre
St. Therese - St. Paul Healthcare Centre</t>
  </si>
  <si>
    <t xml:space="preserve">A service intended to divert persons with mental illness who have committed a minor offence from the justice system.Services to offenders who have a mental illness. This program provides diversion from the justice system to the mental health system for adults 18 and older and youth (12 years to 18 years) who have a mental illness and are charged with a less serious criminal offence. The service assesses people and offers assistance to identify goals and needs, links to agencies or services, and recommends charges are withdrawn if goals are met.
It offers the judicial system an alternative in dealing with adults with mental illness who have been charged with a minor, low-risk crime. They now may be eligible to participate in mental health and community care, subject to referral and approval by the Crown prosecutor.
Once a person enters the service, a mental health clinician conducts a completed assessment, which includes gathering a detailed history. The person is then linked to resources specific to their needs and receives support to make positive changes.
</t>
  </si>
  <si>
    <t>High Prairie Health Complex
Address5101 38 Street High Prairie, AlbertaT0G 1E0</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</si>
  <si>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</si>
  <si>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Didsbury District Health Services
Address1210 20 Avenue Didsbury, AlbertaT0M 0W0
Telephone403-335-7292
Fax403-335-4816
AccessibilityElevator</t>
  </si>
  <si>
    <t>Acadia Community Health Centre
Airdrie Community Health Centre
Banff Community Health Centre
Canmore Provincial Building
Claresholm Community Health Centre
Cochrane Community Health Centre
Cremona Community Health Centre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</si>
  <si>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Nanton Community Health Centre
Address2214 20 Street Nanton, AlbertaT0L 1R0
Telephone1-877-652-4700 Intake Line</t>
  </si>
  <si>
    <t>Addiction and Mental Health Clinic - Strathmore
Airdrie Provincial Building
Banff Community Health Centre
Canmore Boardwalk Building
Chestermere Community Health Centre
Claresholm Addiction and Mental Health Clinic
Cochrane Addiction and Mental Health Clinic 
Didsbury District Health Services
High River Addiction and Mental Health Clinic 
Oilfields General Hospital
Okotoks Mental Health Centre</t>
  </si>
  <si>
    <t>Service Providers May Includepsychologists
Service Healthcare providers should consult the Alberta Referral Directory for service referral information.
Wait TimesAn estimated wait time will be provided at the time of appointment booking.</t>
  </si>
  <si>
    <t>Grey Nuns Community Hospital
Address1100  Youville  Drive NWEdmonton, AlbertaT6L 5X8
Telephone780-735-7575
Getting TherePublic transportation available</t>
  </si>
  <si>
    <t>Note
Open Weekdays</t>
  </si>
  <si>
    <t>Mother Rosalie Health Services Centre</t>
  </si>
  <si>
    <t>Grey Nuns Community Hospital</t>
  </si>
  <si>
    <t xml:space="preserve">Provides a range of psychology services for people with emotional, behavioural, cognitive, and interpersonal problems.Offers psychology services for people with emotional, behavioural, cognitive, and interpersonal problems. Services include:
testing
assessment
diagnosis
treatment
</t>
  </si>
  <si>
    <t>Service A series of lectures on Nutrition, Exercise, Pelvic Floor Physiotherapy and Psychology and Sexuality are offered every second Tuesday at the Prostate Cancer Centre.</t>
  </si>
  <si>
    <t>Rockyview General Hospital
Address7007 14 Street SWCalgary, AlbertaT2V 1P9
Telephone403-943-8710 (Registration)
Websitehttps://myhealth.alberta.ca/HealthTopics/cancer-and-sexuality/Pages/male-anatomy-overview.aspx 
Getting ThereParking available
Parking map</t>
  </si>
  <si>
    <t xml:space="preserve">This program is to teach people about life changes after prostate cancer.Offers a series of lectures about many aspects of life after prostate cancer.
</t>
  </si>
  <si>
    <t>Points West Living Stettler
Address4501 70 Street Stettler, AlbertaT0C 2L3
Tollfree1-855-371-4122 (Home Care Assessment)</t>
  </si>
  <si>
    <t>Bashaw Meadows
Century Park
Clearwater Centre 
Good Samaritan Good Shepherd Lutheran Home
Hamlets at Red Deer, The
Park Avenue at Creekside
Pioneer House
Points West Living Lloydminster
Points West Living Red Deer
Points West Living Wainwright
Rosehaven Care Centre
Royal Oak Manor
Sundre Seniors Supportive Living 
Sunrise Village Camrose
Sunset Manor
Timberstone Mews
Villa Marie
West Park Lodge</t>
  </si>
  <si>
    <t>Points West Living Stettler</t>
  </si>
  <si>
    <t>Service Providers May Includeregistered nurses (RNs), social workers
Wait TimesAn estimated wait time will be provided at the time of appointment booking.
Service LanguagesInterpreter/Translation services</t>
  </si>
  <si>
    <t>Days of the Week
Monday8:00 am - 4:00 pm
Tuesday8:00 am - 4:00 pm
Wednesday8:00 pm - 4:00 pm
Thursday8:00 am - 4:00 pm
Friday8:00 am - 4:00 pm</t>
  </si>
  <si>
    <t xml:space="preserve">Provides short-term follow-up for recently discharged clients of the Rockyview Hospital and Carewest Glenmore Mental Health Recovery and Rehabilitation Unit.Provides short-term follow-up for recently discharged clients of the Rockyview Hospital and Carewest Glenmore Mental Health Recovery and Rehabilitation Unit. The goal of the follow-up is to help clients enter back into the community.
Services provided include:
case management for up to 90 days
medicine monitoring
community services referrals
supportive counselling
caregiver support
consulting referring psychiatrists
Services provided include:
case management for up to 90 days
medicine monitoring
community services referrals
supportive counselling
caregiver support
consulting referring psychiatrists
</t>
  </si>
  <si>
    <t>WestView Health Centre - Stony Plain
Address4405 South Park Drive Stony Plain, AlbertaT7Z 2M7</t>
  </si>
  <si>
    <t>Fort Saskatchewan Community Hospital
Grey Nuns Community Hospital
Leduc Community Hospital
Misericordia Community Hospital 
Northeast Community Health Centre
Royal Alexandra Hospital
Strathcona Community Hospital
Sturgeon Community Hospital
University of Alberta Hospital</t>
  </si>
  <si>
    <t>Slave Lake 101 3 Street
Address101 3 Street Slave Lake, AlbertaT0G 2A4
Telephone780-805-3502 
Fax780-849-7394</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</si>
  <si>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St. Theresa General Hospital 
St. Therese - St. Paul Healthcare Centre
Swan Hills Healthcare Centre
Valleyview Community Health Services
Westlock Provincial Building
Whitecourt Healthcare Centre</t>
  </si>
  <si>
    <t>Slave Lake 101 3 Street</t>
  </si>
  <si>
    <t>Coaldale Health Centre
Address2100 11 Street Coaldale, AlbertaT1M 1L2
Telephone403-345-3075 Ext 2522
Fax403-345-6489
AccessibilityMain entranceWashrooms</t>
  </si>
  <si>
    <t>Bassano Health Centre
Big Country Hospital
Bow Island Health Centre
Brooks Health Centre
Cardston Health Centre
Chinook Regional Hospital
Crowsnest Pass Health Centre
Fort Macleod Health Centre
Medicine Hat Regional Hospital
Melcor Centre
Milk River Health Centre
Pincher Creek Health Centre
Raymond Health Centre
Taber Health Centre</t>
  </si>
  <si>
    <t>Strathmore Public Health Office
Address650 Westchester Road Strathmore, AlbertaT1P 1H8
Telephone403-361-7200</t>
  </si>
  <si>
    <t>Canmore Provincial Building
Didsbury District Health Services
Okotoks Health and Wellness Centre</t>
  </si>
  <si>
    <t>Service Please call for more information.
Service LanguagesInterpreter/Translation services</t>
  </si>
  <si>
    <t>Wainwright Health Centre
Address530 6 Avenue Wainwright, AlbertaT9W 1R6
Telephone780-842-3324</t>
  </si>
  <si>
    <t>Centennial Centre for Mental Health and Brain Injury
Hanna Health Centre
Red Deer Regional Hospital Centre</t>
  </si>
  <si>
    <t>Wainwright Health Centre</t>
  </si>
  <si>
    <t xml:space="preserve">Available in various acute and continuing care facilities, this service offers compassionate support and response to patients, residents, families, and healthcare providers in time of need.Spiritual Care Staff and Volunteers
come from a variety of backgrounds and faith traditions
offer a wealth of life experience
great respect for people's differences and life challenges
are caring and sensitive
Reasons You Might Like to Speak with a Spiritual Health Practitioner
someone to pray with
you are scared and just want someone to be with you and listen
someone to contact your community clergy person to come and visit
you are mourning a loss and would like to find supportive resources
to have sacraments or rituals, such as a baptism, communion, anointing, or a blessing for yourself or a child
you have spiritual questions you would like to explore with someone
someone to sit with you in shared silence
you are wondering about where God is because you feel like God is not listening to your prayers
going to have surgery or an important medical procedure and would like someone to say a prayer with you or listen to you
you would like to talk to someone who is not a physician or nurse, or is not somehow involved in your physical care Spiritual Care Services
</t>
  </si>
  <si>
    <t>Cochrane Community Health Centre
Address60 Grande Boulevard Cochrane, AlbertaT4C 0S4
Telephone403-851-6000</t>
  </si>
  <si>
    <t>Days of the Week
Monday12:00 pm - 7:00 pm
Tuesday12:00 pm - 7:00 pm
Wednesday12:00 pm - 7:00 pm
Thursday12:00 pm - 7:00 pm
Friday12:00 pm - 7:00 pm
Saturday10:00 am - 5:00 pm
Sunday10:00 am - 5:00 pm</t>
  </si>
  <si>
    <t>Airdrie Community Health Centre
Canmore General Hospital
Mineral Springs Hospital
Okotoks Health and Wellness Centre
Sheldon M. Chumir Health Centre
South Calgary Health Centre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</si>
  <si>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Smoky Lake Continuing Care Centre
St. Therese - St. Paul Healthcare Centre
Valleyview Health Centre
Westlock Continuing Care Centre
William J. Cadzow - Lac La Biche Healthcare Centre</t>
  </si>
  <si>
    <t>Royal Alexandra Hospital
Address10240 Kingsway  Avenue NWEdmonton, AlbertaT5H 3V9
Telephone780-735-4119
AccessibilityEntrance.Elevators
Getting ThereParking and Public transportation available</t>
  </si>
  <si>
    <t>Available
24 hour service
Note
Spiritual Care Services can be reached 24 hours a day, 7 days a week by contacting the hospital switchboard.</t>
  </si>
  <si>
    <t>Alberta Hospital Edmonton
Cross Cancer Institute
Devon General Hospital
Glenrose Rehabilitation Hospital 
Grey Nuns Community Hospital
Lois Hole Hospital for Women
Mazankowski Alberta Heart Institute
Misericordia Community Hospital 
Redwater Health Centre 
St. Joseph's Auxiliary Hospital
Stollery Children's Hospital
Sturgeon Community Hospital
University of Alberta Hospital
WestView Health Centre - Stony Plain
Youville Home</t>
  </si>
  <si>
    <t>Hinton Community Health Services
Address1280A Switzer Drive Hinton, AlbertaT7V 1T5
Telephone780-865-8247
Fax780-865-8327
Getting ThereLocated adjacent to the Hinton Healthcare Centre</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</si>
  <si>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</si>
  <si>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Mayerthorpe Healthcare Centre
Address4417 45 Street Mayerthorpe, AlbertaT0E 1N0
Telephone780-786-2279
Fax780-786-2023
Getting ThereSouth of 46 Avenue</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</si>
  <si>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</si>
  <si>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Spirit River Community Health Services
Address5003 45 Avenue Spirit River, AlbertaT0H 3G0
Telephone780-538-5160 (Addiction and Mental Health Grande Prairie)
Tollfree1-877-303-2642 (24 hr Help Line)
Fax780-538-6279 (Addiction and Mental Health Grande Prairie)</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</si>
  <si>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St. Theresa General Hospital 
St. Therese - St. Paul Healthcare Centre
Swan Hills Healthcare Centre
Valleyview Community Health Services
Westlock Provincial Building
Whitecourt Community Health Services</t>
  </si>
  <si>
    <t>Spirit River Community Health Services</t>
  </si>
  <si>
    <t>Days of the Week
Monday7:00 am - 2:00 pm
Tuesday7:00 am - 2:00 pm
Wednesday7:00 am - 2:00 pm
Thursday7:00 am - 2:00 pm
Friday7:00 am - 2:00 pm
Saturday7:00 am - 2:00 pm
Sunday7:00 am - 2:00 pm</t>
  </si>
  <si>
    <t>Peter Lougheed Centre
Rockyview General Hospital
South Health Campus</t>
  </si>
  <si>
    <t>Royal Alexandra Hospital
Address10240 Kingsway  Avenue NWEdmonton, AlbertaT5H 3V9
Telephone780-735-4111
EmailMichelle.Knox@ahs.ca
AccessibilityEntrance.Elevators
Getting ThereParking and Public transportation available</t>
  </si>
  <si>
    <t xml:space="preserve">An eight week program offered to individuals referred through outpatient psychiatry at the Royal Alexandra Hospital (RAH).Program content includes mindfulness practice, emotional regulation skills, effective communication skills, interpersonal skills and wellness principles. Participants develop these skills through participation in various groups offered over the eight week time period.
</t>
  </si>
  <si>
    <t>Sacred Heart Community Health Centre
Address350 3 Avenue NWMcLennan, AlbertaT0H 2L0
Telephone780-324-4206
Fax780-324-3750
Getting ThereMain Street McLennan</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</si>
  <si>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</si>
  <si>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Sundre Seniors Supportive Living 
Address749 6 Street SWSundre, AlbertaT0M 1X0
Telephone403-638-4833
Tollfree1-855-371-4122
Fax403-638-4832</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</si>
  <si>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Sunrise Village Camrose
Sunset Manor
Timberstone Mews
Villa Marie
West Park Lodge</t>
  </si>
  <si>
    <t xml:space="preserve">Sundre Seniors Supportive Living </t>
  </si>
  <si>
    <t>Good Samaritan West Highlands
Address2687 Garry Drive WLethbridge, AlbertaT1J 5A3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</si>
  <si>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Legacy Lodge
Leisure Way
Masterpiece Southland Meadows
Meadow Ridge Seniors Village
Piyami Place
River Ridge Seniors Village
St. Michael's Health Centre
St. Therese Villa
Sunny South Lodge
Sunrise Gardens</t>
  </si>
  <si>
    <t>Good Samaritan West Highlands</t>
  </si>
  <si>
    <t>Fairview Health Complex
Address10628 110 Street Fairview, AlbertaT0H 1L0
Telephone780-835-6149
Fax780-835-6185</t>
  </si>
  <si>
    <t>Athabasca Community Health Services
Barrhead Healthcare Centre
Beaverlodge Community Health Services
Bonnyville New Park Place
Central Peace Health Complex
Cold Lake Healthcare Centre
Edson Provincial Building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</si>
  <si>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Service Providers May Includemental health therapists
EligibilityChildren age 0 to 4 years experiencing or who have experienced:
fears and anxiety
withdrawal
aggression
trauma
emotional, physical or sexual abuse
witnessed domestic violence
Service Healthcare providers should consult the Alberta Referral Directory for service referral information.
Children can be referred by their families or community professionals and programs.
Appointment required.
Service LanguagesInterpreter/Translation services</t>
  </si>
  <si>
    <t>Regional Resource Centre - Medicine Hat Regional Hospital
Address631 Prospect Drive SWMedicine Hat, AlbertaT1A 4C2
Telephone403-529-8903
Fax403-528-5614
Getting TherePublic transportation available</t>
  </si>
  <si>
    <t>Medicine Hat Provincial Building
Melcor Centre</t>
  </si>
  <si>
    <t xml:space="preserve">Provides mental health assessment and therapy in the home to children age 0 - 4 years of age experiencing emotional and social difficulties and their caregivers.In partnership with Public Health Community Services this service provides outreach mental health services to children and their families. A safe, confidential and caring environment is created in partnership with the child, caregiver and therapist. The therapist will offer:
child/caregiver oriented interventions through the use of play and/or art,
caregiver education in supporting optimal social and emotional development
appropriate referral to community services to support the unique needs of the child and family
Service is provided in the Lethbridge and Taber areas.
</t>
  </si>
  <si>
    <t>Medicine Hat Provincial Building
Regional Resource Centre - Medicine Hat Regional Hospital</t>
  </si>
  <si>
    <t>Service Providers May Includepsychologists
EligibilityAdults ages 18 to 64
Clients must already be registered in treatment at the participating clinics.
Wait TimesAn estimated wait time will be provided at the time of appointment booking.
Service LanguagesInterpreter/Translation services</t>
  </si>
  <si>
    <t xml:space="preserve">Provides psychological assessment and consultation.Consultation services providingÂ psychological testing and consultation for clients in:
RGH Psychiatric Consultation Clinic
NW Community Mental Health Centre
FMC Psychiatric Assessment Service
Chumir programs; Active Treatment Team, Dialectical Behavior Therapy team and Outpatient Mental Health Program
Sunridge Gallery Primary Mental Health Care
Service is offered at the site. Feedback can be arranged at the siteÂ where the client is already registered in treatment.
</t>
  </si>
  <si>
    <t>Milk River Health Centre
Address517 Centre Avenue Milk River, AlbertaT0K 1M0
Telephone403-647-5521
Fax403-647-2337
Getting ThereCommunity Handi-Bus available</t>
  </si>
  <si>
    <t>Bassano Health Centre
Big Country Hospital
Bow Island Health Centre
Brooks Health Centre
Cardston Health Centre
Chinook Regional Hospital
Coaldale Health Centre
Crowsnest Pass Health Centre
Fort Macleod Health Centre
Medicine Hat Regional Hospital
Melcor Centre
Pincher Creek Health Centre
Raymond Health Centre
Taber Health Centre</t>
  </si>
  <si>
    <t>Milk River Health Centre</t>
  </si>
  <si>
    <t>Pine Plaza Building
Address702 Pine Plaza  NWGrande Cache, AlbertaT0E 0Y0
Telephone780-827-3430
Tollfree310-0000 780-827-3430, 1-877-303-2642 (24 hr Help Line)
Fax780-827-7313</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</si>
  <si>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Seton - Jasper Healthcare Centre
Slave Lake 101 3 Street
St. Paul Provincial Building
Whitecourt Provincial Building</t>
  </si>
  <si>
    <t>Pine Plaza Building</t>
  </si>
  <si>
    <t>Westlock Provincial Building
Address10003 100 Street Westlock, AlbertaT7P 2E8
Telephone780-349-5246
Tollfree1-877-303-2642 (24 hr Help Line)
Fax780-349-5846</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</si>
  <si>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Whitecourt Community Health Services</t>
  </si>
  <si>
    <t>Service Providers May Includechild life specialists, music therapists
Service Healthcare providers should consult the Alberta Referral Directory for service referral information.
Referrals also by request support staff or families on nursing units or outpatient clinics.
Wait TimesAn estimated wait time will be provided at the time of appointment booking.
Service LanguagesInterpreter/Translation services</t>
  </si>
  <si>
    <t>Days of the Week
Monday7:00 am - 4:00 pm
Tuesday7:00 am - 4:00 pm
Wednesday7:00 am - 4:00 pm
Thursday7:00 am - 4:00 pm
Friday7:00 am - 4:00 pm
Note
Check calendar located outside of WMC 4B1.08 for updated program times.
Tuesday and Wednesday night family night programs and the beach is open on weekends on Saturday and every 2nd Sunday.</t>
  </si>
  <si>
    <t xml:space="preserve">Provides psychosocial, developmental and educational support to children and families regarding illness and hospitalization.Supports children and families in the hospital by:
developing strategies to help adapt to, cope with and adjust to illness or hospitalization
addressing anxiety or misunderstandings usingÂ various strategies (e.g. expressive art, therapeutic or medical play)
collaborating with families and other healthcare providers in the hospital and community
teaching children and families what to expect with treatments, illness and hospitalization
providing safe and fun places to play and learn through normal life experiences and special events
running play and teen group programs ("The Beach" and the "Teen Room")
providing other supportive therapeutic programs such as Music Therapy and Pet Therapy
Â 
</t>
  </si>
  <si>
    <t>Service Providers May Includepsychiatrists, psychologists, registered nurses (RNs), occupational therapists (OTs), social workers
EligibilityÂ 
Patients between the ages of 15-64 years thought to be suffering from:
bipolar disorder (I or II)
recurrent major depressive disorder, treatment refractory depression
first episode depression with a family history of bipolar disorder
not currently before the courts or requiring a community treatment order
active substance use will be considered on a case by case basis
Referral NeededA doctor's referral is needed.
Wait TimesWait times vary.</t>
  </si>
  <si>
    <t>Foothills Medical Centre
Address1403 29 Street NWCalgary, AlbertaT2N 2T9
Telephone403-944-1491
Fax403-270-2093
Websitehttp://www.albertahealthservices.ca
Getting ThereParking available
Parking map</t>
  </si>
  <si>
    <t>Days of the Week
Monday8:00 am - 4:00 pm
Tuesday8:00 am - 4:00 pm
Wednesday8:00 am - 4:00 pm
Thursday8:00 am - 4:00 pm
Friday8:00 am - 4:00 pm
Note
Closed weekends and holidays</t>
  </si>
  <si>
    <t xml:space="preserve">The program provides timely comprehensive psychiatric assessment and when indicated treatment services to referred patients suffering from or at risk for primary recurrent unipolar and bipolar mood disorders.The Mood Disorders Program is a subspecialty psychiatry service based at the Foothills Medical Centre. This program provides:
timely and comprehensive psychiatric assessment
treatment for primary recurrent unipolar and bipolar mood disorder when indicated
education
research
</t>
  </si>
  <si>
    <t>Service Providers May Includemental health counselors, psychiatrists
EligibilityAdults (young adults under 18 may be considered). Certain groups are diagnosis-specific (e.g. therapeutic group for clients with a diagnosis of schizophrenia)
Wait TimesAn estimated wait time will be provided at the time of appointment booking.
Service LanguagesInterpreter/Translation services</t>
  </si>
  <si>
    <t>Royal Alexandra Hospital
Address10240 Kingsway  Avenue NWEdmonton, AlbertaT5H 3V9
Telephone780-735-4181
Fax780-735-4797
Emailmeghan.toth@ahs.ca
AccessibilityEntrance.Elevators
Getting ThereParking and Public transportation available</t>
  </si>
  <si>
    <t>/affiliations
TIES (formerly Day Progam)</t>
  </si>
  <si>
    <t xml:space="preserve">Provides services for adults with mental health problems. Specializes in the treatment of Borderline Personality Disorder.Intervention services include assessment, consultation, individual therapy, and group programming.The service provide adults with treatment focusing on emotion regulation, including Dialectical Behaviour Therapy (DBT). Clients who do not have a current psychiatric assessment will be seen by one of the consulting psychiatrists in the outpatient program and referred to group or individual therapy as appropriate. Referrals for the purpose of diagnosis and medication recommendations are also welcome.
Intervention services include:
assessment
consultation
individual therapy
group programming.
</t>
  </si>
  <si>
    <t>Drumheller Health Centre
Address351 9 Street NWDrumheller, AlbertaT0J 0Y1
Telephone403-823-6500</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</si>
  <si>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</si>
  <si>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Service Providers May Includeoccupational therapists (OTs), psychiatrist, psychologist
Service Healthcare providers should consult the Alberta Referral Directory for service referral information.
Doctors can fax an RCAT referral form and supporting information (e.g., specialist reports, neuro-imaging results, discharge summaries from acute care sites or programs, recent lab work results).
Wait TimesAn estimated wait time will be provided at the time of appointment booking.
Service LanguagesInterpreter/Translation services</t>
  </si>
  <si>
    <t>Bridgeland Seniors Health Centre
Address1070 McDougall Road NECalgary, AlbertaT2E 7Z2
Telephone403-955-1555
Fax403-955-1564</t>
  </si>
  <si>
    <t xml:space="preserve">Assesses a personÂ¿s decision-making capacity to determine if they are able to understand information and appreciate consequences when making personal decisions.Services provided include:
assessing adults and older adults, in acute care and community, in the Calgary Zone
clinical consultations provided for non-registered clients and for general questions related to capacity.
giving presentations and training workshops
</t>
  </si>
  <si>
    <t>Mayerthorpe Healthcare Centre
Address4417 45 Street Mayerthorpe, AlbertaT0E 1N0
Telephone780-786-2261
Fax780-786-2023
Getting ThereSouth of 46 Avenue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</si>
  <si>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</si>
  <si>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Edmonton 108 Street Building 
Address9942 108 Street NWEdmonton, AlbertaT5K 2J5
Telephone780-342-7705
Getting ThereOn major bus route Metered parking or Impark lot across the street on corner</t>
  </si>
  <si>
    <t>Centre of Hope
Fort McMurray Queen Street Building 
Grande Prairie Aberdeen Centre
Lethbridge Provincial Building
Peace River Community Mental Health Services
Red Deer 49 Street Community Health Centre - Addiction and Mental Health Services
Regional Resource Centre - Medicine Hat Regional Hospital
St. Therese - St. Paul Healthcare Centre</t>
  </si>
  <si>
    <t>Service Providers May Includecounsellors, dietitians, dietary technicians, doctors, occupational therapists (OTs), pediatricians, psychiatrists, recreational therapists, registered nurses (RNs)
Wait TimesAn estimated wait time will be provided at the time of appointment booking.
FeesClients participating in this program are asked to pay a monthly fee to offset costs associated with program outings and transportation. Based on financial need. If you cannot pay, talk to your healthcare provider.
Service LanguagesInterpreter/Translation services</t>
  </si>
  <si>
    <t>Alberta Children's Hospital
Address28 Oki Drive NWCalgary, AlbertaT3B 6A8
Telephone403-955-7700
Fax403-955-3066
AccessibilityMain entranceLifts
Getting ThereParking map</t>
  </si>
  <si>
    <t>Days of the Week
Monday8:00 am - 7:00 pm
Tuesday8:00 am - 7:00 pm
Wednesday8:00 am - 7:00 pm
Thursday8:00 am - 7:00 pm
Friday8:00 am - 4:30 pm</t>
  </si>
  <si>
    <t xml:space="preserve">Cares for people with diagnosed eating disorders (e.g., anorexia nervosa, bulimia nervosa) that are moderate to severe.Offers intense day treatment for people with severe eating disorders.Â Offers:
assessment
group therapy
one-to-one therapy
family therapy
school resources for students
3 meals and 2 snacks per day
Most people are in the program for about 3 months. There are residential support home placements for evenings and weekends for people who need it or for people who donâ€™t live in Calgary.
For more information visit the Calgary Eating Disorder Program.
</t>
  </si>
  <si>
    <t>Monterey Place
Address4288 Catalina  Boulevard NECalgary, AlbertaT1Y 7J5
Telephone403-943-1920 (Home Care Assessment)
AccessibilityEntrance</t>
  </si>
  <si>
    <t>AgeCare Seton
AgeCare SkyPointe
AgeCare Walden Heights
Agecare Sagewood
Aspen Ridge Lodge
Bethany Didsbury
Eau Claire Retirement Residence
Evanston Grand Village
Holy Cross Manor
Millrise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</si>
  <si>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Monterey Place</t>
  </si>
  <si>
    <t>Mayerthorpe Healthcare Centre
Address4417 45 Street Mayerthorpe, AlbertaT0E 1N0
Telephone780-786-2279
Tollfree1-877-303-2642 (24 hr Help Line)
Fax780-786-2023
Getting ThereSouth of 46 Avenue</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</si>
  <si>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</si>
  <si>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Peace River Community Health Centre
Address10101 68 Street Peace River, AlbertaT8S 1T6
Telephone780-342-2383
Fax780-342-3348
Getting ThereLocated west of 74 Street</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</si>
  <si>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</si>
  <si>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Peace River Community Health Centre</t>
  </si>
  <si>
    <t>Vermilion Provincial Building
Address4701  52 Street Vermilion, AlbertaT9X 1J9
Telephone780-853-5270
Fax780-853-7362</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</si>
  <si>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Viking Community Health Centre
Wainwright Health Centre
Wetaskiwin Hospital and Care Centre
Winfield Community Health Centre</t>
  </si>
  <si>
    <t>Claresholm Community Health Centre
Address5221 2 Street WClaresholm, AlbertaT0L 0T0
Telephone403-625-4061
Fax403-625-4062</t>
  </si>
  <si>
    <t>Acadia Community Health Centre
Airdrie Community Health Centre
Banff Community Health Centre
Canmore Provincial Building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</si>
  <si>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Claresholm Community Health Centre</t>
  </si>
  <si>
    <t>Beaverlodge Community Health Services
Address412 10A Street Beaverlodge, AlbertaT0H 0C0
Telephone780-538-5160 (Addiction and Mental Health Grande Prairie)
Tollfree1-877-303-2642 (24 hr Help Line)
Fax780-538-6279 )Addiction and Mental Health Grande Prairie)</t>
  </si>
  <si>
    <t>Athabasca Community Health Services
Barrhead Healthcare Centre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</si>
  <si>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Includedoctors, addiction counsellors, client care assistants, dietitians, family counsellors, recreation therapists, registered nurses (RNs)
EligibilityFor men 25 years and older.
Service Please contact the program for information, length of stay, program options, and admission requirements.</t>
  </si>
  <si>
    <t>Drumheller - Grace House
Address175 3 Street WDrumheller, AlbertaT0J 0Y0
Telephone 403-823-5437
Fax403-823-7468
Emailgracehouse@telus.net 
Websitehttp://www.drumhellergracehouse.com/</t>
  </si>
  <si>
    <t>Available
24 hour service
Note
Call to arrange an interview.
Admissions and Administration 
MondayÂ Â Â Â Â Â Â  8:00 am to 4:30 pm
TuesdayÂ Â Â Â Â Â Â 8:00 am to 4:30 pm
WednesdayÂ  8:00 am to 4:30 pm
ThursdayÂ Â Â Â Â  8:00 am to 4:30 pm
FridayÂ Â Â Â Â Â Â Â Â Â  8:00 am to 4:30 pm</t>
  </si>
  <si>
    <t>Drumheller - Grace House</t>
  </si>
  <si>
    <t xml:space="preserve">A residential, long-term intensive treatment program for men 25 years and older with substance addiction.Treatment options and programs in this residential, long-term intensive treatment program may include:
gender-specific programs
Aboriginal-based programs
one to one, family, and group counselling
interactive workshops
information sessions
self-help groups
anger management
tobacco cessation
recreation and leisure programming
nutrition
career planning or training
budget planning
discharge planning
relapse prevention
</t>
  </si>
  <si>
    <t>Service Providers May Includemental health counselors, occupational therapists(OTs), psychiatrists, psychologists, registered nurses (RNs)
EligibilityHas had their first episode of psychosis.
Referral NeededFax or e-mail attach one page referral form from any source.
Service LanguagesInterpreter/Translation services</t>
  </si>
  <si>
    <t>Edmonton 108 Street Building 
Address9942 108 Street NWEdmonton, AlbertaT5K 2J5
Telephone780-342-5523
Fax780-342-5398
Emailbrett.granger@albertahealthservices.ca
Getting ThereOn major bus route Metered parking or Impark lot across the street on corner</t>
  </si>
  <si>
    <t xml:space="preserve">Aimed at improving the outcome of individuals with a first episode of psychosis and providing support to their families.Edmonton Early Psychosis Intervention Clinic (EEPIC) offers services to individuals 16 to 35 years of age who have a suspected psychosis or are displaying early signs and symptoms of psychosis. Key strategies are to empower young adults and their families who are coping with psychosis through supportive counseling, education (client and family), and respectful specialized treatment.
</t>
  </si>
  <si>
    <t>Olds Provincial Building (South)
Address5025 50 Street Olds, AlbertaT4H 1R9
Telephone403-507-8174
Tollfree24 Hour Mental Health Help Line 1 877-303-2642, 24 Hour Addiction Help Line 1 877-332-2322
Fax403-556-1584</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</si>
  <si>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</si>
  <si>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Olds Provincial Building (South)</t>
  </si>
  <si>
    <t>Service Providers May Includeaddiction counsellors, client care assistants, dietitians, doctors, family counsellors, recreation therapists, registered nurses (RNs)
EligibilityMust be 18 years or older, and must be at least 5 days clean and sober.
Service Please contact the program for more information, including length of stay, program options, and admission requirements.
Wait TimesBeds go to highest need.
Fees$40.00 per day. Possible for any client who has to self-pay. Clients encouraged to secure support from Alberta Works, EAP's, other funders.</t>
  </si>
  <si>
    <t>Southern Alcare Manor
Address520 7 Street SLethbridge, AlbertaT1J 2H1
Telephone403-328-0955
Fax403-381-2021
Emailalcare@telus.net
Websitehttps://www.southernalcaremanor.ca/</t>
  </si>
  <si>
    <t>Southern Alcare Manor</t>
  </si>
  <si>
    <t xml:space="preserve">Provides support for people who are transitioning from addiction treatment back into daily life.Continued care for people who have finished treatment for addiction issues and are transitioning back into their everyday lives.
Services may include:
outpatient counselling/group counselling
life skill training
housing or supported living
referral to other agencies and services
educational and work training or referrals
</t>
  </si>
  <si>
    <t>Calgary Zone - Information / Registration / Appointments
Telephone403-297-1700 (Coordinator)
Websitehttp://www.cmha.calgary.ab.ca/
Getting ThereMap does not signify location of any organization or service.</t>
  </si>
  <si>
    <t>Banff and Area - Information / Registration / Appointments
Calgary 1406 Centre Street NE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</si>
  <si>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Calgary Zone - Information / Registration / Appointments</t>
  </si>
  <si>
    <t>Cold Lake Healthcare Centre
Address314 25 Street Cold Lake, AlbertaT9M 1G6
Telephone780-639-3322
Fax780-639-6522</t>
  </si>
  <si>
    <t>Alpine Summit Seniors Lodge
Athabasca Healthcare Centre
Bonnyville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</si>
  <si>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EligibilityStudents must attend a school that HOSTS provides services to and families must be part of the communities HOSTS provides services to.
Service Contact any HOSTS (Helping Our Students to Succeed) Coach in the school directly, by email, or by phone or contact the program directly.</t>
  </si>
  <si>
    <t>Prairie River Junior High School
Address5006 56 Avenue High Prairie, AlbertaT0G 1E0
Telephone780-523-4418
Fax780-523-4422
Emaillauri.davidson@hfcrd.ab.ca</t>
  </si>
  <si>
    <t>High Prairie Elementary School
St. Andrews School</t>
  </si>
  <si>
    <t>Prairie River Junior High School</t>
  </si>
  <si>
    <t xml:space="preserve">A prevention and promotion initiative that works to increase a communityÂ¿s capacity to promote the development of positive mental health and wellness in its children, youth and families using schools as hubs.Using prevention and promotion activities HOSTS (Helping Our Students to Succeed)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</si>
  <si>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Lac La Biche Provincial Building
Address9503 Beaverhill Road Lac La Biche, AlbertaT0A 2C0
Tollfree780-310-0000 780-623-5230
Fax780-623-5232</t>
  </si>
  <si>
    <t>Edson Healthcare Centre
Hinton Community Health Services
Seton - Jasper Healthcare Centre
St. Therese - St. Paul Healthcare Centre
Whitecourt Healthcare Centre</t>
  </si>
  <si>
    <t>Service Providers May Includepsychiatrists, registered nurses (RNs), support workers
Service LanguagesInterpreter/Translation services</t>
  </si>
  <si>
    <t>Edmonton 108 Street Building 
Address9942 108 Street NWEdmonton, AlbertaT5K 2J5
Telephone780-342-7600 (Intake Services), 780-342-7742 (Program Information)
Fax780-342-7621 (Intake Services)
Getting ThereOn major bus route Metered parking or Impark lot across the street on corner</t>
  </si>
  <si>
    <t xml:space="preserve">Provides team-based, intensive interventions to individualÂ¿s whose mental illness creates a significant barrier to them accessing and effectively participating in treatment through regular community mental health programs.The Assertive Community TreatmentÂ program provides team-based, intensive interventions to individual's whose mental illness creates a significant barrier to them accessing and effectively participating in treatment through regular community mental health programs. Assertive engagement, and extensive community outreach approaches are used to assist individuals in achieving sufficient recovery to access and participate in other programs and services.
</t>
  </si>
  <si>
    <t>Valleyview Community Health Services
Address5112 50 Avenue Valleyview, AlbertaT0H 3N0
Telephone780-524-3153
Fax780-524-3338</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</si>
  <si>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Wabasca / Desmarais Community Health Services
Westlock Community Health Services
Whitecourt Healthcare Centre</t>
  </si>
  <si>
    <t>Service Providers May Includeregistered nurses (RNs)
EligibilityAll referrals from within Children and Adolescent Addiction and Mental Health Programs (CAAMHP) must have a CAAMHP psychiatrist willing to provide consultation and support.
Referral NeededReferrals through Children and Adolescent Addiction and Mental Health Programs (CAAMHP) within Calgary
Wait TimesWaiting times vary.
Service LanguagesInterpreter/Translation services</t>
  </si>
  <si>
    <t>Days of the Week
Monday8:00 am - 4:15 pm
Tuesday8:00 am - 4:15 pm
Wednesday8:00 am - 4:15 pm
Thursday8:00 am - 4:15 pm
Friday8:00 am - 4:15 pm
Note
24 hour support provided by Liaison nurse.</t>
  </si>
  <si>
    <t>Parkdale Campus</t>
  </si>
  <si>
    <t xml:space="preserve">Residential transition support for Adolescents aged 13-17yrs. Clients are referred from within Calgary Child &amp; Adolescent Addiction &amp; Mental Health services.Services may include:
therapy and goal setting
family therapy and family goal setting
evening groups
daily living skills
education support
mental health and behaviour supportÂ 
</t>
  </si>
  <si>
    <t>Edson Healthcare Centre
Address3837 6 Avenue Edson, AlbertaT7E 0C5
Telephone780-723-3331 (Switchboard)
Fax780-723-7787</t>
  </si>
  <si>
    <t>Athabasca Healthcare Centre
Barrhead Healthcare Centre
Bonnyville Healthcare Centre 
Central Peace Health Complex
Cold Lake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</si>
  <si>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CapitalCare CHOICE Norwood
Address10404 111  Avenue NWEdmonton, AlbertaT5G 3A2
Telephone780-496-1300 (Community Care Access), 780-944-8662 (Facility)
Fax780-944-8677
Emailinfo@capitalcare.net
Websitehttp://www.capitalcare.net/Page159.aspx
AccessibilityEntrance.
Getting ThereÂ Public transportation available</t>
  </si>
  <si>
    <t>CapitalCare CHOICE Mental Health
CapitalCare Dickinsfield
CapitalCare Norwood
Good Samaritan Dr. Gerald Zetter Care Centre
Good Samaritan Place</t>
  </si>
  <si>
    <t>CapitalCare CHOICE Norwood</t>
  </si>
  <si>
    <t>Vermilion Outreach School
Address4925 50 Avenue Vermilion, AlbertaT9X 1A6
Telephone780-853-2111</t>
  </si>
  <si>
    <t>Clandonald School
J.R. Robson High School
Kitscoty Elementary School
Kitscoty High School
Mannville School
School of Hope
St. Jerome's School
Vermilion Elementary School</t>
  </si>
  <si>
    <t>Vermilion Outreach School</t>
  </si>
  <si>
    <t>St. Therese - St. Paul Healthcare Centre
Address4713 48  Avenue St. Paul, AlbertaT0A 3A3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</si>
  <si>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Swan Hills Healthcare Centre
Valleyview Community Health Services
Westlock Community Health Services
Whitecourt Healthcare Centre</t>
  </si>
  <si>
    <t>Northeast Community Health Centre
Address14007 50 Street Edmonton, AlbertaT5A 5E4
Telephone780-342-4020
Getting ThereParking available.</t>
  </si>
  <si>
    <t>Beaumont Public Health Centre
Bonnie Doon Public Health Centre
Devon General Hospital
East Edmonton Health Centre
Fort Saskatchewan Community Hospital
Gibbons Health Unit
Leduc Public Health Centre
Mill Woods Public Health Centre
Morinville Provincial Building
Northgate Centre
Rutherford Health Centre
Spruce Grove Health Unit
St. Albert Public Health Centre
Strathcona County Health Centre
Thorsby Public Health Centre
West Jasper Place Public Health Centre
WestView Health Centre - Stony Plain
Westmount Shopping Centre</t>
  </si>
  <si>
    <t>Consort Hospital and Care Centre
Address5402 52 Avenue Consort, AlbertaT0C 1B0
Telephone403-577-3555</t>
  </si>
  <si>
    <t>Bashaw Community Health Centre
Bentley Care Centre
Breton Health Centre
Camrose Home Care 
Castor Community Health Centre
Consort Community Health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</si>
  <si>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Consort Hospital and Care Centre</t>
  </si>
  <si>
    <t>Service Providers May Includelicensed practical nurses (LPNs), registered nurses (RNs)
Service LanguagesInterpreter/Translation services</t>
  </si>
  <si>
    <t>Chinook Regional Hospital
Address960 19 Street SLethbridge, AlbertaT1J 1W5
Fax403-388-6645, 403-388-6388 (Referrals)
Getting ThereParking map</t>
  </si>
  <si>
    <t>Days of the Week
Monday8:00 am - 6:15 pm
Tuesday8:00 am - 6:15 pm
Wednesday8:00 am - 6:15 pm
Thursday8:00 am - 6:15 pm
Friday8:00 am - 6:15 pm
Saturday10:00 am - 6:15 pm
Sunday10:00 am - 6:15 pm</t>
  </si>
  <si>
    <t xml:space="preserve">Provides coordinated discharge care planning and management for high-risk patients with complex medical, physical, and/or mental health issues.This program works closely with geriatricians and community care programs to coordinate discharge planning for high-risk patients with complex medical and/or physical issues. Â Services may include:
assesses high-risk patients, both in the hospital and in their homes
some sites offer a follow-up clinic
some sites offer home parenteral therapy (HPTP) and wound care services
</t>
  </si>
  <si>
    <t>Central Peace Health Complex
Address5010 45 Avenue Spirit River, AlbertaT0H 3G0</t>
  </si>
  <si>
    <t>Athabasca Healthcare Centre
Barrhead Healthcare Centre
Bonnyville Healthcare Centre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</si>
  <si>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Glenrose Rehabilitation Hospital 
Address10230 111 Avenue NWEdmonton, AlbertaT5G 0B7
Telephone780-735-8268
Emailmaryann.woodman@ahs.ca
AccessibilityParking stalls
Getting ThereParking available
Public transportation available
Parking map</t>
  </si>
  <si>
    <t xml:space="preserve">Provides services for youth who have a primary psychiatric diagnosis and require assistance to transition from Child &amp; Adolescent Mental Health to Adult Mental Health Services, while empowering the youth to set goals towards their transition.This service is voluntary, individual focused, goal oriented, strength and relationship based, recognizes the youthâ€™s resiliency factors, and includes the youthâ€™s key supports. The service provides consultation and collaborates to connect youth and their families to appropriate community resources and Adult Mental Health Services.
</t>
  </si>
  <si>
    <t>Service Providers May Includeaddiction counselors, occupational therapists (OTs), psychiatrists, psychologists, registered nurses (RNs), social workers
EligibilityPsychiatrist acceptance of referral.
Service LanguagesInterpreter/Translation services</t>
  </si>
  <si>
    <t>Misericordia Community Hospital 
Address16940 87 Avenue Edmonton, AlbertaT5R 4H5
Telephone780-735-2720
Getting ThereParking available
Public transportation is available on 87 Ave.</t>
  </si>
  <si>
    <t>Alberta Hospital Edmonton
Grey Nuns Community Hospital
Royal Alexandra Hospital
University of Alberta Hospital</t>
  </si>
  <si>
    <t xml:space="preserve">Misericordia Community Hospital </t>
  </si>
  <si>
    <t xml:space="preserve">Inpatient program that provides assessment, stabilization and treatment initiation for persons suffering from acute episodes of mental illness (including those complicated by an addiction) when the type of care needed cannot be safely provided in a community setting.On admission to Adult Acute Services, an individualized plan of care is developed with the intention of understanding and stabilizing the person's mental illness to the extent necessary for them to continue pursuing their recovery goals in the community. Interventions include a wide range of individual and group therapies, medication management, patient and family education, implementation of plans to meet social care needs and linkage to ongoing community based treatment and recovery supports.
</t>
  </si>
  <si>
    <t>Red Deer Regional Hospital Centre
Address3942 50A Avenue Red Deer, AlbertaT4N 4E7
Telephone403-343-4634, 403-343-4636
Getting ThereParking and Public transportation available
Parking map</t>
  </si>
  <si>
    <t>Service Providers May Includedietitians, doctors, registered nurses (RNs), occupational therapists (OTs), pharmacists, physical therapists (PTs), psychologists, recreation therapists, social workers, speech-language pathologists, spiritual care providers
EligibilityPatients aged 65 years or over with a mental health concern. Patients under 65 with a psychogeriatric syndrome will be considered on a case by case basis.
Wait TimesAn estimated wait time will be provided at the time of appointment booking.
FeesAccommodation costs apply for inpatients who have finished active treatment and are waiting for placement to Long Term Care. There is a daily cost for day program clients. 
Service LanguagesInterpreter/Translation services</t>
  </si>
  <si>
    <t>Villa Caritas
Address16515 88 Avenue NWEdmonton, AlbertaT5R 0A4
Telephone780-342-6565, 780-342-6552 (Referrals)
Fax780-342-6579 (Referrals)
Websitehttp://www.covenanthealth.ca/hospitals-care-centres/villa-caritas/
AccessibilityParkingParking stalls, ramps and washrooms
Getting ThereParking and Public transportation available</t>
  </si>
  <si>
    <t>/affiliations
Covenant Health</t>
  </si>
  <si>
    <t>Villa Caritas</t>
  </si>
  <si>
    <t xml:space="preserve">Provides both community and inpatient psychiatric assessment and treatment to individuals 65 years of age and over, who suffer from a severe and/or persistent mental illness.Provides psychiatric services for adults age 65 and older with a severe and / or persistent mental health concern. The programs offers treatment and the right supports to help older adults go back home or to a care setting.
The inpatient program provides:
assessment and treatment
stabilization
rehabilitation
The community program provides:
assessment and treatment
day programs
consultations
</t>
  </si>
  <si>
    <t>Elk Point Healthcare Centre
Address5310 50 Avenue Elk Point, AlbertaT0A 1A0
Telephone780-712-6857
Fax780-723-2135</t>
  </si>
  <si>
    <t>Alpine Summit Seniors Lodge
Athabasca Healthcare Centre
Bonnyville Healthcare Centre 
Cold Lake Healthcare Centre
Dr. W. R. KEIR - Barrhead Continuing Care Centre
Edson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</si>
  <si>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Elk Point Healthcare Centre</t>
  </si>
  <si>
    <t>Service Providers May Includepsychiatrists, registered nurses (RNs)
Service LanguagesInterpreter/Translation services</t>
  </si>
  <si>
    <t>Regional Resource Centre - Medicine Hat Regional Hospital
Address631 Prospect Drive SWMedicine Hat, AlbertaT1A 4C2
Telephone504-529-8030, 403-502-8617
Fax403-502-8618
Getting TherePublic transportation available</t>
  </si>
  <si>
    <t xml:space="preserve">The Mental Health Outreach Depot Clinic provides long acting medication administration via injection and medication and mental health monitoring for clients with a mental illness.Assists clients with mental illness to improve and or maintain their well being through consistent administration of long acting medications via injection. Staff members:
assess the individualâ€™s mental health
monitor effect and side effects of medication
monitor compliance
collaborate with the client and their psychiatrist/ physician and
provide education
The community support team assists by transporting clients who would have difficulty getting to the clinic.
</t>
  </si>
  <si>
    <t>Wedman Village Homes
Address1609 Bears Paw Drive NWEdmonton, AlbertaT6J 5E2
Telephone780-433-0338, 780-435-4116, 780-435-3085</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</si>
  <si>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West Country Hearth</t>
  </si>
  <si>
    <t>Wedman Village Homes</t>
  </si>
  <si>
    <t>Service Providers May Includeoccupational therapists (OTs), recreational therapists (RTs), therapy assistants
EligibilityAdults with:
primaryÂ mental health diagnosis, primary barrier to functioning or identified goal is related to mental health
identified rehabilitation goal or need
requires active Physician of Record (POR)
demonstrated rehabilitation readiness indicated by: agreeable and able to meet in community locations; basic needs are stable - such as finances, housing; client is ready to work on the identified goals and therapy if not required first; client is medically stable
program does not accept clients mandated for treatment or request for 3rd party assessment
Service Healthcare providers should consult the Alberta Referral Directory for service referral information.
Wait TimesAn estimated wait time will be provided at the time of appointment booking.
Service LanguagesInterpreter/Translation services</t>
  </si>
  <si>
    <t>Calgary 3465 26 Avenue NE
Address3465 26 Avenue NECalgary, AlbertaT1Y 6L4
Telephone403-943-8304, 403-943-1500 (Intake - Access Mental Health)</t>
  </si>
  <si>
    <t xml:space="preserve">Program provides short-term rehabilitation intervention to adults with primary mental health diagnosis in the community setting.
Supports people with mental health issues in making healthy lifestyle choices.
Services include:
healthy living education
leisure assessment and planning
life skills instruction
job and education support
linking to community resources
</t>
  </si>
  <si>
    <t>Park Avenue at Creekside
Address5810 47 Avenue Rocky Mountain House, AlbertaT4T 0B5
Tollfree1-855-371-4122 (Home Care Assessment)</t>
  </si>
  <si>
    <t>Bashaw Meadows
Century Park
Clearwater Centre 
Good Samaritan Good Shepherd Lutheran Home
Hamlets at Red Deer, The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</si>
  <si>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Park Avenue at Creekside</t>
  </si>
  <si>
    <t>South Calgary Health Centre
Address31 Sunpark  Plaza SECalgary, AlbertaT2X 3W5
Telephone403-943-9500
Fax403-943-9505</t>
  </si>
  <si>
    <t>Days of the Week
Monday8:00 am - 4:30 pm
Tuesday8:00 am - 9:00 pm
Wednesday8:00 am - 9:00 pm
Thursday8:00 am - 9:00 pm
Friday8:00 am - 4:30 pm</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</si>
  <si>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Strathmore Public Health Office
Thornhill Community Health Centre
Village Square Leisure Centre
Vulcan Community Health Centre</t>
  </si>
  <si>
    <t>Service Providers May Includeoccupational therapists (OTs), psychiatrists, psychologists, registered nurses (RNs), social workers, speech-language pathologists (SLPs)
EligibilityChildren and Adolescents with significant mental health disorders not able to be diagnosed or treated in Primary Care or by Pediatrician.
Wait TimesAn estimated wait time will be provided at the time of appointment booking.
Service LanguagesInterpreter/Translation services</t>
  </si>
  <si>
    <t>Glenrose Rehabilitation Hospital 
Address10230 111 Avenue NWEdmonton, AlbertaT5G 0B7
Telephone780-342-2701
AccessibilityParking stalls
Getting ThereParking available
Public transportation available
Parking map</t>
  </si>
  <si>
    <t xml:space="preserve">Provides treatment services for specialized diagnoses.Includes assessment and treatment of children and youth with complex neuro-psychiatric disorders.
Disorders include:
ADHD
Tourette's Syndrome
Affective Disorders
Complex Neuro-Developmental Disorders
</t>
  </si>
  <si>
    <t>Fort Saskatchewan Community Hospital
Address9401 86 Avenue Fort Saskatchewan, AlbertaT8L 0C6
Telephone780-342-2366
Getting ThereParking and Public transportation available</t>
  </si>
  <si>
    <t>Beaumont Public Health Centre
Bonnie Doon Public Health Centre
Devon General Hospital
East Edmonton Health Centre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</si>
  <si>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Olds Provincial Building (South)
Address5025 50 Street Olds, AlbertaT4H 1R9
Telephone403-507-8174
Tollfree24 Hour Addiction Help Line 1-877-332-2322, 24 Hour Mental Health Help Line 1-877-303-2642
Fax403-556-1584</t>
  </si>
  <si>
    <t>Consort Hospital and Care Centre
Coronation Hospital and Care Centre
Drayton Valley Community Health Centre
Drumheller Health Centre
Hanna Provincial Building
Innisfail Health Centre
Lacombe Mental Health Centre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</si>
  <si>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Grande Prairie Aberdeen Centre
Address9728 101 Avenue Grande Prairie, AlbertaT8V 5B6
Telephone780-833-4323, 587-259-5513 (ICAT Intake)
Tollfree1-877-303-2642 (Mental Health Help Line)
Fax780-538-5256</t>
  </si>
  <si>
    <t>Note
Walk in Clinic hours are Monday to Friday, 9:00 AM to 4:00 PM ONLY.
The ICAT(Integrated Crisis and Access Team) telephone line is open for over-the-phone counselling, Monday to Friday, 9:00 AM to 7:00 PM.</t>
  </si>
  <si>
    <t>Fairview Health Complex
Fort McMurray Queen Street Building 
Northwest Health Centre 
Peace River Mental Health Clinic</t>
  </si>
  <si>
    <t>Service Providers May Includeaddiction counselors, employment counseling, financial assistance, financial planning, housing support workers, mental health counselors, social workers
EligibilityClients must have been abstinent for 5 days.
Wait TimesWe average a 1 week waiting period for intake.
Service LanguagesInterpreter/Translation services</t>
  </si>
  <si>
    <t>Henwood Treatment Centre
Address18750 18 Street NWEdmonton, AlbertaT5Y 6C1
Telephone780-422-9069 (General Office),  780-422-4466 (Admissions)
Getting ThereParking and Public transportation available</t>
  </si>
  <si>
    <t>Available
24 hour service
Note
Administration and Admissions
MondayÂ Â Â Â Â Â Â Â Â Â  8:00 am - 4:00 pm
TuesdayÂ Â Â Â Â Â Â Â Â  8:00 am - 4:00 pm
WednesdayÂ Â Â Â  8:00 am - 4:00 pm
ThursdayÂ Â Â Â Â Â Â Â  8:00 am - 4:00 pm
FridayÂ Â Â Â Â Â Â Â Â Â Â Â  8:00 am - 4:00 pm</t>
  </si>
  <si>
    <t>Henwood Treatment Centre</t>
  </si>
  <si>
    <t xml:space="preserve">Provides a residential addiction treatment service.Offers a 19-day, gender-specific intensive treatment program which includes:
individual and group counseling
information sessions
skill-based workshops
recreation and leisure activities and
participation in self-help groups
</t>
  </si>
  <si>
    <t>Manning Community Health Centre
Address600 2 Street NEManning, AlbertaT0H 2M0</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</si>
  <si>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</si>
  <si>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Taber Health Centre
Address4326 50 Avenue Taber, AlbertaT1G 1N9
Telephone403-332-0480
Emailmichael.rose@ahs.ca
Getting ThereCommunity Handi-Bus available</t>
  </si>
  <si>
    <t>Bassano Health Centre
Big Country Hospital
Bow Island Health Centre
Brooks Health Centre
Chinook Regional Hospital
Coaldale Health Centre
Medicine Hat Regional Hospital
Pincher Creek Health Centre</t>
  </si>
  <si>
    <t>Okotoks Mental Health Centre
Address11 Cimarron Common Okotoks, AlbertaT1S 2E9
Telephone403-995-2712
Tollfree1-877-652-4700 (Intake Line)</t>
  </si>
  <si>
    <t>Days of the Week
Monday8:00 am - 4:30 pm
Tuesday8:00 am - 4:30 pm
Wednesday8:00 am - 4:30 pm
Thursday8:00 am - 4:30 pm
Friday8:00 am - 4:30 pm
Note
Closed for lunch 12:00 pm to 12:45 pm.</t>
  </si>
  <si>
    <t>Addiction and Mental Health Clinic - Strathmore
Airdrie Provincial Building
Banff Community Health Centre
Canmore Boardwalk Building
Chestermere Community Health Centre
Claresholm Addiction and Mental Health Clinic
Cochrane Addiction and Mental Health Clinic 
Didsbury District Health Services
High River Addiction and Mental Health Clinic 
Nanton Community Health Centre
Oilfields General Hospital</t>
  </si>
  <si>
    <t>Okotoks Mental Health Centre</t>
  </si>
  <si>
    <t>Lac La Biche Provincial Building
Address9503 Beaverhill Road Lac La Biche, AlbertaT0A 2C0
Tollfree780-310-0000  780-623-5230
Fax780-623-5232</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</si>
  <si>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</si>
  <si>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EligibilityAdult 18 years and older.
Service Adult Crisis Response Line
Consultations/referrals can be directed to a therapist within the Community Urgent Services and Stabilization Team at 780-342-7777.
Service LanguagesInterpreter/Translation services</t>
  </si>
  <si>
    <t>Edmonton Zone - Information / Registration / Appointments
Telephone780-342-7777 (Crisis Response Team)</t>
  </si>
  <si>
    <t>/affiliations
Edmonton Police Services</t>
  </si>
  <si>
    <t>Edmonton Zone - Information / Registration / Appointments</t>
  </si>
  <si>
    <t xml:space="preserve">Provides early intervention to clients in high risk situations and assists mental health and police services to find the most appropriate intervention.The focus is to provide early intervention to clients that require joint services from mental health and Edmonton Police Services (EPS). These teams are trained to assist mental health and police services to advocate the most appropriate intervention for Addiction and Mental Health clients in high risk situations. Police and Crisis Team (PACT) is an adjunct to the Adult Crisis Response Team.
</t>
  </si>
  <si>
    <t>Barrhead Community Health Services
Address6203 49 Street Barrhead, AlbertaT7N 1A1
Telephone780-674-3408
Fax780-674-3941</t>
  </si>
  <si>
    <t>Athabasca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</si>
  <si>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Barrhead Community Health Services</t>
  </si>
  <si>
    <t>Grande Prairie Aberdeen Centre
Address9728 101 Avenue Grande Prairie, AlbertaT8V 5B6
Telephone780-833-4323, 587-259-5513 (ICAT Intake)
Tollfree1-866-332-2322 (24 hr Help Line)
Fax780-538-5256</t>
  </si>
  <si>
    <t>Days of the Week
Monday8:00 am - 4:30 pm
Tuesday8:00 am - 4:30 pm
Wednesday8:00 am - 4:30 pm
Thursday8:00 am - 4:30 pm
Friday8:00 am - 4:30 pm
Note
Intake â€“ ICAT â€“ Integrated Crisis and Access TeamMonday - Friday (Walk in Clinic) 9:00 AM-4:00 PM
Closed on Statutory Holidays.</t>
  </si>
  <si>
    <t>Athabasca Community Health Services
Barrhead Administration Building
Bonnyville Provincial Building
Cold Lake 5013 51 Street
Edson Healthcare Centre
Fort McMurray Queen Street Building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</si>
  <si>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Brooks Health Centre
Address440 3 Street EBrooks, AlbertaT1R 0G5
Telephone403-501-3232
Getting ThereCity provided special transit</t>
  </si>
  <si>
    <t>Bassano Health Centre
Big Country Hospital
Bow Island Health Centre
Chinook Regional Hospital
Coaldale Health Centre
Medicine Hat Regional Hospital
Pincher Creek Health Centre
Taber Health Centre</t>
  </si>
  <si>
    <t>Canmore Provincial Building
Address800 Railway Avenue Canmore, AlbertaT1W 1P1
Telephone403-678-7200
Fax403-678-0093</t>
  </si>
  <si>
    <t>Didsbury District Health Services
Okotoks Health and Wellness Centre
Strathmore Public Health Office</t>
  </si>
  <si>
    <t>Canmore Provincial Building</t>
  </si>
  <si>
    <t>Morinville Provincial Building
Address10008 107 Street Morinville, AlbertaT8R 1L3
Telephone780-342-2600
Getting ThereParking available</t>
  </si>
  <si>
    <t>Days of the Week
Monday8:30 am - 5:00 pm
Tuesday8:30 am - 5:00 pm
Wednesday8:30 am - 5:00 pm
Thursday8:30 am - 5:00 pm
Friday8:30 am - 5:00 pm
Note
Every second Thursday open 8:30Â AM to 8:00 PM.</t>
  </si>
  <si>
    <t>Beaumont Public Health Centre
Bonnie Doon Public Health Centre
Devon General Hospital
East Edmonton Health Centre
Fort Saskatchewan Community Hospital
Gibbons Health Unit
Leduc Public Health Centre
Mill Woods Public Health Centre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</si>
  <si>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Morinville Provincial Building</t>
  </si>
  <si>
    <t>Valleyview Community Health Services
Address5112 50 Avenue Valleyview, AlbertaT0H 3N0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</si>
  <si>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Westlock Community Health Services
Whitecourt Healthcare Centre</t>
  </si>
  <si>
    <t>Drayton Valley Hospital and Care Centre
Address4550 Madsen Avenue Drayton Valley, AlbertaT7A 1N8
Telephone780-542-5321</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</si>
  <si>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</si>
  <si>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Drayton Valley Hospital and Care Centre</t>
  </si>
  <si>
    <t>Service Providers May Includemental health counselors, registered nurses (RNs), psychiatrists
EligibilityModerate to severe addiction, substance use and / or mental health disorder. Adults (young adults under 18 may be considered).
Wait TimesAn estimated wait time will be provided at the time of appointment booking.
Service LanguagesInterpreter/Translation services</t>
  </si>
  <si>
    <t>Northgate Centre
Address9499 137 Avenue Edmonton, AlbertaT5E 5R8
Telephone780-342-7600, 780-342-2700 (Clinic Information)
Fax780-342-7621 (Intake Services), 780-413-4728 (Clinic Information)
Getting ThereParking and Public transportation available</t>
  </si>
  <si>
    <t xml:space="preserve">Services are designed for adults who are dealing with a severe and / or persistent addiction and / or mental illness.Care is coordinated by a mental health therapist and goal directed services are tailored to the needs of individual clients.
Services may include:
individual therapy
medication management
psychiatric consultation
case management and crisis stabilization
Where possible, the Adult Community Services team works closely with the YACLS (Young Adults &amp; Cross Level Services) team on site at Northgate in providing occupational, recreational, and social assessments and opportunities.
Short-term Treatment Program provides:
short-term (less than one year)
goal-directed therapy for adults who suffer from acute psychiatric or emotional disorders
The service is intended to provide time limited interventions that will improve functioning and wellness in a short period of time. Mental Health Therapists work collaboratively with primary care providers (family physicians and PCNâ€™s) so that the clientsâ€™ ongoing care may be followed through at the primary care level.
The Community Wellness and Recovery Program integrates a chronic disease management model and provides a broad range of services and supports at varying levels of intensity for individuals with significant mental illness who require longer term and / or ongoing assistance in managing their recovery. A Community Adult Support Worker provides enhanced daily living supports with a focus on building skills that will enable community living.
</t>
  </si>
  <si>
    <t>Service Providers May Includeaides, registered nurses (RNs)
Wait TimesAn estimated wait time will be provided at the time of appointment booking.
Service LanguagesInterpreter/Translation services</t>
  </si>
  <si>
    <t>University of Alberta Hospital
Address8440 112 Street NWEdmonton, AlbertaT6G 2B7
Getting ThereParking and Public transportation available
Parking map</t>
  </si>
  <si>
    <t xml:space="preserve">Provides direct patient care to individuals presenting to an Emergency Department with addiction and mental health concerns, once medical clearance is provided at triage.Integrates mental health expertise in Emergency Departments at theÂ Royal Alexandra Hospital and the University of Alberta Hospital sites. Individuals presenting with an addiction or mental health presentation are triaged, cleared medically, and transferred to the team. Initial assessments, including risk assessment is completed to determine plan of care.
If admission is required the team will work with the Bed Management office to facilitate.
</t>
  </si>
  <si>
    <t>Drayton Valley Community Health Centre
Address4110 50 Avenue Drayton Valley, AlbertaT7A 0B3
Telephone780-542-3140</t>
  </si>
  <si>
    <t>Drumheller Health Centre
Lacombe Mental Health Centre
Olds Hospital and Care Centre
Ponoka Provincial Building
Red Deer 49 Street Community Health Centre - Addiction and Mental Health Services
Rocky Mountain House Health Centre
Stettler Hospital and Care Centre
Sylvan Lake Community Health Centre
Wetaskiwin Provincial Building</t>
  </si>
  <si>
    <t>Service Providers May Includemental health therapists, psychiatrists
EligibilityFor young people between 16-24 years of age who:
have a clear clinical mental health issue or diagnosis
have a history within a mental health system
express and demonstrate interest and motivation to develop goals and work toward change. Individuals with an ASD or FASD diagnosis need to be able to demonstrate their ability to benefit from talked-based and insight-based therapy.
this service is not suitable for individuals with delays in their cognitive development, autism, fetal alcohol spectrum disorder (FASD), or Asperger's syndrome.
Service Healthcare providers should consult the Alberta Referral Directory for service referral information.
Wait TimesAn estimated wait time will be provided at the time of appointment booking.
Service LanguagesInterpreter/Translation services</t>
  </si>
  <si>
    <t>Richmond Road Diagnostic and Treatment Centre
Address1820 Richmond Road SWCalgary, AlbertaT2T 5C7
Telephone403-955-8389
Fax403-955-8780
Getting ThereParking available
Parking map</t>
  </si>
  <si>
    <t xml:space="preserve">This clinic helps young people between the ages of 16-24 years who are struggling with a mental health issue with their transition from adolescent mental health services into adulthood.Services include:
individual and / or group therapy
psychiatric consultations (when and if necessary)
referral to adult mental health services (when and if necessary).
</t>
  </si>
  <si>
    <t>Foothills Medical Centre
Address1403 29 Street NWCalgary, AlbertaT2N 2T9
Telephone403-944-2168
Fax403-944-8340
Getting ThereParking available
Parking map</t>
  </si>
  <si>
    <t>Days of the Week
Monday8:00 am - 4:00 pm
Tuesday8:00 am - 4:00 pm
Wednesday8:00 am - 4:00 pm
Thursday8:00 am - 4:00 pm
Friday8:00 am - 4:00 am
Note
For urgent consultation after hours, on weekends or statutory holidays, please contact the psychiatrist on call through the hospital switchboard.</t>
  </si>
  <si>
    <t>Good Samaritan Prairie Ridge
Address328 Broadway  SRaymond, AlbertaT0K 2S0
Tollfree1-866-388-6380 (Home Care Assessment)
Getting ThereParking available</t>
  </si>
  <si>
    <t>Extendicare Fairmont Park
Good Samaritan Garden Vista
Good Samaritan Lee Crest
Good Samaritan Linden View
Good Samaritan Park Meadows Village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</si>
  <si>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Prairie Ridge</t>
  </si>
  <si>
    <t>Pine Plaza Building
Address702 Pine Plaza  NWGrande Cache, AlbertaT0E 0Y0
Telephone780-827-4998
Fax780-427-7313</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</si>
  <si>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</si>
  <si>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Stettler Hospital and Care Centre
Address5912 47 Avenue Stettler, AlbertaT0C 2L0
Telephone403-743-2000
Tollfree1-877-303-2642 (24 Hour Mental Health Help Line), 1-877-332-2322 (24 Hour Addiction Help Line) 
Fax403-740-8880</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</si>
  <si>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Sundre Hospital and Care Centre
Sylvan Lake Community Health Centre
Three Hills Provincial Building
Vegreville Provincial Building 
Wainwright 905A 3 Avenue
Wetaskiwin Provincial Building</t>
  </si>
  <si>
    <t>Good Samaritan Lee Crest
Address989 1 Street ECardston, AlbertaT0K 0K0
Tollfree1-866-388-6380 (Home Care Assessment)</t>
  </si>
  <si>
    <t>Extendicare Fairmont Park
Good Samaritan Garden Vista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</si>
  <si>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Lee Crest</t>
  </si>
  <si>
    <t>George McDougall - Smoky Lake Healthcare Centre
Address4212 55 Avenue Smoky Lake, AlbertaT0A 3C0
Telephone780-656-2242
Fax780-656-3595
Getting ThereOn the northeast side of town, along Highway 28.</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</si>
  <si>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</si>
  <si>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Alpine Summit Seniors Lodge
Athabasca Healthcare Centre
Bonnyville Healthcare Centre 
Cold Lake Healthcare Centre
Dr. W. R. KEIR - Barrhead Continuing 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</si>
  <si>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Lac La Biche Provincial Building
Address9503 Beaverhill Road Lac La Biche, AlbertaT0A 2C0
Telephone780-623-5230
Tollfree1-877-303-2642 (24 hr Help Line)
Fax780-623-5232</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</si>
  <si>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</si>
  <si>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Misericordia Community Hospital 
Address16940 87 Avenue Edmonton, AlbertaT5R 4H5
Telephone780-735-2877
Websitehttp://www.caritas.ab.ca/home/programsandservices/caritas-wide/spiritual+care.htm
Getting ThereParking available
Public transportation is available on 87 Ave.</t>
  </si>
  <si>
    <t>Days of the Week
Monday8:00 am - 9:00 pm
Tuesday8:00 am - 9:00 pm
Wednesday8:00 am - 9:00 pm
Thursday8:00 am - 9:00 pm
Friday8:00 am - 4:00 pm
Saturday8:00 am - 4:00 pm
Sunday8:00 am - 4:00 pm</t>
  </si>
  <si>
    <t>Alberta Hospital Edmonton
Cross Cancer Institute
Devon General Hospital
Glenrose Rehabilitation Hospital 
Grey Nuns Community Hospital
Lois Hole Hospital for Women
Mazankowski Alberta Heart Institute
Redwater Health Centre 
Royal Alexandra Hospital
St. Joseph's Auxiliary Hospital
Stollery Children's Hospital
Sturgeon Community Hospital
University of Alberta Hospital
WestView Health Centre - Stony Plain
Youville Home</t>
  </si>
  <si>
    <t>Lac La Biche Provincial Building
Address9503 Beaverhill Road Lac La Biche, AlbertaT0A 2C0
Telephone780-623-5227
Fax780-623-5296</t>
  </si>
  <si>
    <t>Athabasca Community Health Services
Barrhead Healthcare Centre
Beaverlodge Community Health Services
Bonnyville New Park Place
Cold Lake Healthcare Centre
Edson Healthcare Centre
Fairview Health Complex
Grande Prairie Nordic Court 
High Prairie Health Complex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</si>
  <si>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Includeaddictions therapists, mental health therapists
EligibilityAny criminal charges need to be resolved prior to entering this program.
Service Adults may be referred by Probation / Community CorrectionsÂ for intimate partner violence assessment and treatment.
Self referrals, and referrals from therapists, Childrenâ€™s Services, family doctors and other community referrals are also considered if there are intimate partner abuse issues or risk.
Service LanguagesInterpreter/Translation services</t>
  </si>
  <si>
    <t>Medicine Hat Provincial Building
Address346 3 Street SEMedicine Hat, AlbertaT1A 0G7
Telephone403-529-3500
Fax403-529-3562</t>
  </si>
  <si>
    <t>Days of the Week
Monday10:45 am - 7:15 pm
Tuesday8:00 am - 4:30 pm
Wednesday8:00 am - 4:30 pm
Thursday10:45 am - 7:15 pm
Friday8:00 am - 4:30 pm
Note
Evening appointments and groups may be available.</t>
  </si>
  <si>
    <t>Medicine Hat Provincial Building</t>
  </si>
  <si>
    <t xml:space="preserve">The Domestic Violence Offender Treatment Program provides assessment and treatment for individuals who have been mandated through the court system to receive treatment related to domestic violence. This program also provides support for victims and family members impacted by family violence.Helps individuals improve their relationships and increase personal safety within homes where violence has been present or could exist in the future. Services include:
assessment and treatment for individuals with domestic violence offences
access to psychiatric, mental health, domestic violence and addiction services referrals where appropriate
individual and group therapy
support for victims and family members impacted by family violence
</t>
  </si>
  <si>
    <t>Lacombe Hospital and Care Centre
Ponoka Hospital and Care Centre
Rocky Mountain House Health Centre</t>
  </si>
  <si>
    <t>Service Providers May Includedietitians, doctors, licensed practical nurses (LPNs), occupational therapists (OTs), patient care aides, pharmacists, rehabilitation therapists, registered nurses (RNs), social workers
EligibilityAdults ages 65 and older.
Service Client or health care provider can contact the CARE Program for an assessment. Call them at (780) 538-7510. Healthcare providers should Include pre-admission assessment report along with consultation and medical reports and recent lab tests.
Service LanguagesInterpreter/Translation services</t>
  </si>
  <si>
    <t>Queen Elizabeth II Hospital
Address10409 98 Street Grande Prairie, AlbertaT8V 2E8
Telephone780-538-7510
Getting ThereParking map</t>
  </si>
  <si>
    <t xml:space="preserve">Short-term residential program to assess people 65 or older with problems with memory changes or loss.This 50-day assessment is for people 65 and older who are having problems due to issues with their memory.Â  It provides a supportive environment that involves the person, family, and the healthcare team.
</t>
  </si>
  <si>
    <t>Athabasca Community Health Services
Barrhead Administration Building
Bonnyville Provincial Building
Cold Lake 5013 51 Street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</si>
  <si>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Service Providers May Includedoctor, psychiatrist, therapist
EligibilityAdults and youth (16 years of age and older) who are questioning their gender identity or wanting to socially / medically transition.
Referral NeededA referral is needed from a doctor, psychologist, or social worker. For urgent matters, please call the clinic. For all other referrals, mail or fax referral letter, including relevant health records.
Wait TimesTypical wait times for this service are variable and range from 6-18 months.
Service LanguagesInterpreter/Translation services</t>
  </si>
  <si>
    <t xml:space="preserve">Provides assessment and support for individuals throughout their transition by facilitating connection to hormone providers and / or gender-affirming surgeries.This clinic provides:
comprehensive assessment regarding gender identity
treatment of co-occurring mental health concerns (e.g. mood and anxiety related to gender)
education and support regarding social transition (e.g. family, work, legal document changes)
referrals to access hormones and / or surgery required for transition
</t>
  </si>
  <si>
    <t>Seton - Jasper Healthcare Centre
Address518 Robson Street Jasper, AlbertaT0E 1E0
Telephone780-852-6640
Tollfree301-0000 780-852-6640, 1-877-303-2642 (24 hr Help Line)
Fax780-852-3413
Getting ThereLocated behind the Jasper Emergency Services Building.</t>
  </si>
  <si>
    <t>Days of the Week
Monday8:30 am - 4:30 pm
Tuesday8:30 am - 4:30 pm
Wednesday8:30 am - 4:30 pm
Thursday8:30 am - 4:30 pm
Friday8:30 am - 4:30 pm
Note
Closed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</si>
  <si>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</si>
  <si>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Alberta Children's Hospital
Address28 Oki Drive NWCalgary, AlbertaT3B 6A8
AccessibilityMain entranceLifts
Getting ThereParking map</t>
  </si>
  <si>
    <t>Available
24 hour service
Note
Nursing staff are available in Emergency 8:00 AM to 12:00 AM (Midnight), 7 days a week.</t>
  </si>
  <si>
    <t>Foothills Medical Centre
Peter Lougheed Centre
Rockyview General Hospital
South Health Campus</t>
  </si>
  <si>
    <t>Breton Health Centre
Address4919 49 Avenue Breton, AlbertaT0C 0P0
Telephone780-696-3731</t>
  </si>
  <si>
    <t>Bashaw Community Health Centre
Bentley Care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</si>
  <si>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Breton Health Centre</t>
  </si>
  <si>
    <t>Our Lady of the Rosary Hospital 
Address5402 47 Street Castor, AlbertaT0C 0X0
Telephone403-882-3434</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</si>
  <si>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</si>
  <si>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Red Deer Bremner Ave Community Health Centre
Address2845 Bremner Avenue Red Deer, AlbertaT4R 1S2
Telephone403-341-2130
Getting TherePublic transportation available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</si>
  <si>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</si>
  <si>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Red Deer Bremner Ave Community Health Centre</t>
  </si>
  <si>
    <t>Westmount Shopping Centre
Telephone780-342-1600</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</si>
  <si>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t>
  </si>
  <si>
    <t>Two Hills Mennonite School
Address4801 Diefenbaker Avenue Two Hills, AlbertaT0B 4K0
Telephone780-657-2434</t>
  </si>
  <si>
    <t>Ashmont Elementary School
Ashmont Secondary School
Glen Avon School
Racette School
St. Paul Elementary Community School</t>
  </si>
  <si>
    <t>Two Hills Mennonite School</t>
  </si>
  <si>
    <t>Service Providers May Includeaddictions counselors, family therapists, mental health therapists, occupational therapists, psychiatrists, recovery workers, recreation therapists
EligibilityDirected towards youth in grades 7-12 who have been experiencing serious problems related to addiction and/or mental health.
Service Inquiries for more information and to access referral information, call 780-538-5162.
Wait TimesOnce referral is received, staff will triage referral. After triage is complete, an appointment for Intake will be set up to confirm youth is appropriate for the program.</t>
  </si>
  <si>
    <t>Grande Prairie Nordic Court 
Address10014 99 Street Grande Prairie, AlbertaT8V 3N4
Telephone780-538-5162
Fax780-538-6279</t>
  </si>
  <si>
    <t>Days of the Week
Monday8:00 am - 4:30 pm
Tuesday8:00 am - 4:30 pm
Wednesday8:00 am - 4:30 pm
Thursday8:00 am - 4:30 pm
Friday8:00 am - 4:30 pm
Note
Closed on Statutory holidays.
Youth programming hours: Monday to Friday 9:00 AM to 3:30 PM.</t>
  </si>
  <si>
    <t xml:space="preserve">A youth based program that offers professional addiction, mental health, and academic assistance in a supportive environment.This 8-week, voluntary program works with youth and their families in building healthy coping skills, collaborative care plans, and community transition.The Youth Day Program offers various workshops, programs, and therapy sessions geared towards helping youth and families to address their addiction and/or mental health issues.
</t>
  </si>
  <si>
    <t>Swan Hills Healthcare Centre
Address29 Freeman Drive Swan Hills, AlbertaT0G 2C0
Telephone780-333-7009
Fax780-333-7077</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</si>
  <si>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Thorhild Community Health Services
Valleyview Community Health Services
Wabasca / Desmarais Community Health Services
Westlock Community Health Services
Whitecourt Healthcare Centre</t>
  </si>
  <si>
    <t>Shepherd's Care Vanguard 
Address10311 122 Avenue Edmonton, AlbertaT5G 0K8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</si>
  <si>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St. Albert Retirement Residence
Summerwood Village Retirement Residence
Villa Marguerite
Wedman Village Homes
West Country Hearth</t>
  </si>
  <si>
    <t xml:space="preserve">Shepherd's Care Vanguard </t>
  </si>
  <si>
    <t>Clandonald School
Address213 1 Avenue WClandonald, AlbertaT0B 0X0
Telephone780-853-2122</t>
  </si>
  <si>
    <t>J.R. Robson High School
Kitscoty Elementary School
Kitscoty High School
Mannville School
School of Hope
St. Jerome's School
Vermilion Elementary School
Vermilion Outreach School</t>
  </si>
  <si>
    <t>Clandonald School</t>
  </si>
  <si>
    <t>Alberta Hospital Edmonton
Address17480  Fort Road Edmonton, AlbertaT5J 2J7
Telephone780-342-5555 (Switchboard), 780-342-5357 (Adult Psychiatry), 780-342-5486 (Forensic Psychiatry)
Getting ThereParking and public transportation</t>
  </si>
  <si>
    <t>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</si>
  <si>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Peter Lougheed Centre
Address3500 26 Avenue NECalgary, AlbertaT1Y 6J4
Telephone403-943-4673, 403-943-5694
Getting ThereParking available
Parking map</t>
  </si>
  <si>
    <t>Days of the Week
Monday8:00 am - 4:00 pm
Tuesday8:00 am - 4:00 pm
Wednesday8:00 am - 4:00 pm
Thursday8:00 am - 4:00 pm
Friday8:00 am - 4:00 pm
Note
For urgent consultation in alternate hours contact psychiatrist on call.</t>
  </si>
  <si>
    <t>Beaverlodge Community Health Services
Address412 10A Street Beaverlodge, AlbertaT0H 0C0
Telephone780-538-5160 (Addiction and Mental Health Grande Prairie)
Tollfree1-877-303-2642 (24 hr Help Line)
Fax780-538-6279 (Addiction and Mental Health Grande Prairie)</t>
  </si>
  <si>
    <t>Athabasca Community Health Services
Barrhead Healthcare Centre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</si>
  <si>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Onoway Mental Health Services
Address5115 Lac St. Anne Trail Onoway, AlbertaT0E 1V0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</si>
  <si>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</si>
  <si>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George McDougall - Smoky Lake Healthcare Centre
Address4212 55 Avenue Smoky Lake, AlbertaT0A 3C0
Telephone780-656-3595
Tollfree1-877-303-2642 (24 hr Help Line)
Fax780-656-2242
Getting ThereOn the northeast side of town, along Highway 28.</t>
  </si>
  <si>
    <t>Athabasca Community Health Services
Barrhead Healthcare Centre
Beaverlodge Community Health Services
Bonnyville New Park Place
Cold Lake Healthcare Centre
Edson Healthcare Centre
Fairview Health Complex
Fox Creek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</si>
  <si>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Red Deer Provincial Building
Address4920 51  Street Red Deer, AlbertaT4N 6K8</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</si>
  <si>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</si>
  <si>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Red Deer Provincial Building</t>
  </si>
  <si>
    <t>Days of the Week
Monday8:00 am - 4:30 pm
Tuesday8:00 am - 4:30 pm
Wednesday8:00 am - 4:30 pm
Thursday8:00 am - 4:30 pm
Friday8:00 am - 4:30 pm
Note
Closed 12:00 PM (noon)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</si>
  <si>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</si>
  <si>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Provost Provincial Building
Address5419 44 Street Provost, AlbertaT0B 3S0
Telephone780-753-2575
Fax780-753-8096</t>
  </si>
  <si>
    <t>Days of the Week
Monday8:00 am - 4:30 pm
Tuesday8:00 am - 4:30 pm
Wednesday8:00 am - 4:30 pm
Note
ClosedÂ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</si>
  <si>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</si>
  <si>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South Calgary Health Centre
Address31 Sunpark  Plaza SECalgary, AlbertaT2X 3W5
Telephone403-943-9510, 403-955-3368 (HIV PrEP only appointments)
Fax403-943-9519</t>
  </si>
  <si>
    <t>Days of the Week
Monday1:00 pm - 5:15 pm
Tuesday4:00 pm - 7:30 pm
Friday12:00 pm - 3:30 pm</t>
  </si>
  <si>
    <t>East Calgary Health Centre
Okotoks Health and Wellness Centre
Sheldon M. Chumir Health Centre
Sunridge Professional Building</t>
  </si>
  <si>
    <t>Chateau Vitaline
Address5018 52 Avenue Beaumont, AlbertaT4X 1P3
Telephone780-496-1300 (Community Care Access)</t>
  </si>
  <si>
    <t>Balwin Villa
CapitalCare McConnell Place North
CapitalCare McConnell Place West
Chartwell Aspen House
Chartwell Griesbach
Chartwell Heritage Valley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</si>
  <si>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Chateau Vitaline</t>
  </si>
  <si>
    <t>Valleyview Community Health Services
Address5112 50 Avenue Valleyview, AlbertaT0H 3N0
Telephone780-524-5096 , 780-538-5160 
Tollfree1-877-303-2642 Provincial Mental Health Help Line 
Fax780-524-2107</t>
  </si>
  <si>
    <t>Days of the Week
Tuesday8:00 am - 4:30 pm
Wednesday8:00 am - 4:30 pm
Friday8:00 am - 4:30 pm</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</si>
  <si>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Westlock Provincial Building
Whitecourt Community Health Services</t>
  </si>
  <si>
    <t>Okotoks Health and Wellness Centre
Address11 Cimarron Common Okotoks, AlbertaT1S 2E9
Telephone403-995-2600</t>
  </si>
  <si>
    <t>Days of the Week
Monday10:45 am - 7:00 pm
Tuesday10:45 am - 7:00 pm
Wednesday10:45 am - 7:00 pm
Thursday10:45 am - 7:00 pm
Friday10:45 am - 7:00 pm
Saturday10:45 am - 7:00 pm
Sunday10:45 am - 7:00 pm
Note
Patients have to register through Urgent Care Triage.</t>
  </si>
  <si>
    <t>Airdrie Community Health Centre
Canmore General Hospital
Cochrane Community Health Centre
Mineral Springs Hospital
Sheldon M. Chumir Health Centre
South Calgary Health Centre</t>
  </si>
  <si>
    <t>Service Providers May Includeaddiction counselors
EligibilityYouth 12-18; for some sites eligibility depends on the nature of agency (ie. justice sites).
Wait TimesAn estimated wait time will be provided at the time of appointment booking.
Service LanguagesInterpreter/Translation services</t>
  </si>
  <si>
    <t>Edmonton Zone - Information / Registration / Appointments
Telephone780-422-7383</t>
  </si>
  <si>
    <t>Days of the Week
Monday8:00 am - 11:45 pm
Tuesday8:00 am - 11:45 pm
Wednesday8:00 am - 11:45 pm
Thursday8:00 am - 11:45 pm
Friday8:00 am - 11:45 pm
Saturday10:00 am - 11:45 pm
Sunday10:00 am - 11:45 pm</t>
  </si>
  <si>
    <t>/affiliations
Youth Addiction Services Edmonton</t>
  </si>
  <si>
    <t>Edmonton 12325 140 Street</t>
  </si>
  <si>
    <t xml:space="preserve">Provide intake, assessment, referral, counseling and prevention services for youth with addiction problems at designated community sitesIncludes mobile service to youth and families, as well as consultation and training of stakeholders.
This service is not connected to the Mobile Response Team.
</t>
  </si>
  <si>
    <t>Redwater Health Centre 
Address4812 58 Street Redwater, AlbertaT0A 2W0
Telephone780-942-3932 (Switchboard)</t>
  </si>
  <si>
    <t>Note
Pastoral servicesÂ with community clergy / volunteers are provided upon request.</t>
  </si>
  <si>
    <t>Alberta Hospital Edmonton
Cross Cancer Institute
Devon General Hospital
Glenrose Rehabilitation Hospital 
Grey Nuns Community Hospital
Lois Hole Hospital for Women
Mazankowski Alberta Heart Institute
Misericordia Community Hospital 
Royal Alexandra Hospital
St. Joseph's Auxiliary Hospital
Stollery Children's Hospital
Sturgeon Community Hospital
University of Alberta Hospital
WestView Health Centre - Stony Plain
Youville Home</t>
  </si>
  <si>
    <t xml:space="preserve">Redwater Health Centre </t>
  </si>
  <si>
    <t>Bonnyville Community Health Services
Address4904 50 Avenue Bonnyville, AlbertaT9N 2G4
Telephone780-826-3381
Fax780-826-6470
Getting ThereLocated in the Bonnyville Provincial Building.</t>
  </si>
  <si>
    <t>Athabasca Community Health Services
Barrhead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</si>
  <si>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Bonnyville Community Health Services</t>
  </si>
  <si>
    <t>Alberta Hospital Edmonton
Address17480  Fort Road Edmonton, AlbertaT5J 2J7
Telephone780-342-5400
Getting ThereParking and public transportation</t>
  </si>
  <si>
    <t>Grey Nuns Community Hospital
Misericordia Community Hospital 
Royal Alexandra Hospital
University of Alberta Hospital</t>
  </si>
  <si>
    <t>Good Samaritan Pembina Village
Address5225 50 Street Evansburg, AlbertaT0E 0T0
Telephone 780-727-2288 (Switchboard)</t>
  </si>
  <si>
    <t>Beaumont Public Health Centre
Centre Hope Building 
Devon General Hospital
Fort Saskatchewan Community Hospital
Gibbons Health Unit
Morinville Provincial Building
Redwater Health Centre 
St. Albert Provincial Building
Stan Woloshyn Building
Strathcona Community Hospital
Thorsby Public Health Centre
WestView Health Centre - Stony Plain</t>
  </si>
  <si>
    <t>Good Samaritan Pembina Village</t>
  </si>
  <si>
    <t>Lac La Biche Provincial Building
Address9503 Beaverhill Road Lac La Biche, AlbertaT0A 2C0
Telephone780-623-4471
Fax 780-623-2615</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</si>
  <si>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</si>
  <si>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Islay Assisted Living
Address5016 53 Street Islay, AlbertaT0B 2J0
Telephone780-744-3795</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</si>
  <si>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</si>
  <si>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Islay Assisted Living</t>
  </si>
  <si>
    <t>EligibilityService targeted to:
14 to 17 years
Referral NeededFax a letter with present concerns to 780-735-2794 Attention: Dr. Wikman.
Service To access service:
a referral is required from the client's physician
a pre - entry screening interview is required to determine suitability
Wait TimesThere may be a wait list.</t>
  </si>
  <si>
    <t>Misericordia Community Hospital 
Address16940 87 Avenue Edmonton, AlbertaT5R 4H5
Telephone780-735-2981
Fax780-735-2794
Getting ThereParking available
Public transportation is available on 87 Ave.</t>
  </si>
  <si>
    <t>Note
Operates September to June.</t>
  </si>
  <si>
    <t xml:space="preserve">Provides a client - driven group program for adolescents on various issues.Service offers:
an adolescent group program on a broad range of topics with content driven by group members
</t>
  </si>
  <si>
    <t>Referral NeededCan be referred by Black Gold, STAR Catholic or Evergreen Catholic school counselor.
Contact the project for referrals.
Service Please contact Stephanie Vantanajal at Black Gold Regional Schools for more information.
Service LanguagesInterpreter/Translation services</t>
  </si>
  <si>
    <t>Black Gold Regional Schools
Address1105 5 Street Nisku, AlbertaT9E 7N3
Telephone780-955-6112
Emailstephanie.vantanajal@blackgold.ca
Websitehttp://engagingstudents.blackgold.ca/index.php/cap/</t>
  </si>
  <si>
    <t>Black Gold Regional Schools</t>
  </si>
  <si>
    <t xml:space="preserve">This prevention and promotion initiative works to increase a communityÂ¿s capacity to promote the development of positive mental health and wellness in its children, youth and families using schools as hubs.Using prevention and promotion activities CAP (Community Attachment Purpose) works to increase access to evidence information universal mental health promotion and prevention programming, establish effective mentorship opportunities for adults who interact with children and youth and advance an integrated approach to promoting mental health and preventing mental health problems among community partners government, schools and industry.
</t>
  </si>
  <si>
    <t>Wainwright 905A 3 Avenue
Address905A 3 Avenue Wainwright, AlbertaT9W 1C5
Telephone780-842-7522 
Fax780-842-7520</t>
  </si>
  <si>
    <t>Days of the Week
Monday8:00 am - 4:30 pm
Tuesday8:00 am - 4:30 pm
Wednesday8:00 am - 4:30 pm
Thursday8:00 am - 4:30 pm
Friday8:00 am - 4:30 pm
Note
ClosedÂ from 12:00-1:00 PM. Closed Statutory holidays.</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</si>
  <si>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Wetaskiwin Provincial Building</t>
  </si>
  <si>
    <t>Wainwright 905A 3 Avenue</t>
  </si>
  <si>
    <t>Rockyview General Hospital
Address7007 14 Street SWCalgary, AlbertaT2V 1P9
Telephone403-943-3575
Getting ThereParking available
Parking map</t>
  </si>
  <si>
    <t>Days of the Week
Monday8:00 am - 4:00 pm
Tuesday8:00 am - 4:00 pm
Wednesday8:00 am - 4:00 pm
Thursday8:00 am - 4:00 pm
Friday8:00 am - 4:00 pm
Note
Service is available to hospital inpatients and their families in emergency situations 24/7.</t>
  </si>
  <si>
    <t>Alberta Children's Hospital
Canmore General Hospital
Claresholm General Hospital
Foothills Medical Centre
High River General Hospital
Mineral Springs Hospital
Oilfields General Hospital
Peter Lougheed Centre
South Health Campus
Tom Baker Cancer Centre
Vulcan Community Health Centre</t>
  </si>
  <si>
    <t>Innisfail Health Centre
Address5023 42 Street Innisfail, AlbertaT4G 1A9
Telephone403-227-4601
Tollfree24 Hour Mental Health Help Line 1 877-303-2642, 24 Hour Addiction Help Line 1 877-332-2322
Fax403 227-4601
Getting TherePublic transportation available</t>
  </si>
  <si>
    <t>Days of the Week
Monday8:15 am - 4:30 pm
Tuesday8:15 am - 4:30 pm
Wednesday8:15 am - 4:30 pm
Thursday8:15 am - 4:30 pm
Note
ClosedÂ 12:00 PM to 1:00 PM for Lunch.</t>
  </si>
  <si>
    <t>Camrose Addiction and Mental Health Clinic
Consort Community Health Centre
Coronation Hospital and Care Centre
Drayton Valley Community Health Centre
Drumheller Health Centre
Hanna Health Centre
Hardisty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</si>
  <si>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Wainwright Elementary School
Address905 10 Street Wainwright, AlbertaT9W 1R2
Telephone780-806-6969
Fax780-842-3859
Emailariel.haubrich@btps.ca 
Websitehttp://www.wainwrightonwellness.com</t>
  </si>
  <si>
    <t>Irma School
Wainwright High School</t>
  </si>
  <si>
    <t>Wainwright Elementary School</t>
  </si>
  <si>
    <t>Hinton and Area - Information / Registration / Appointments
Tollfree1-844-817-5009</t>
  </si>
  <si>
    <t>Edson and Area - Information / Registration / Appointments
Fox Creek Healthcare Centre
Jasper - Information / Registration / Appointments
Mayerthorpe Healthcare Centre
Whitecourt and Area - Information / Registration / Appointments</t>
  </si>
  <si>
    <t>Hinton and Area - Information / Registration / Appointments</t>
  </si>
  <si>
    <t>Westlock Community Health Services
Address10024 107 Avenue Westlock, AlbertaT7P 2E3
Telephone780-349-3316</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</si>
  <si>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Whitecourt Healthcare Centre</t>
  </si>
  <si>
    <t>Westlock Community Health Services</t>
  </si>
  <si>
    <t>Service Providers May Includeclinical supervisors, dietitians, occupational therapists, pharmacists, psychiatrists, psychologists, recreation therapists, registered nurses (RNs), social workers
EligibilityAdults 18 years and older with moderate to severe mental illness.
Service Healthcare providers should consult the Alberta Referral Directory for service referral information.
Wait TimesAn estimated wait time will be provided at the time of appointment booking.
Service LanguagesInterpreter/Translation services</t>
  </si>
  <si>
    <t>Sheldon M. Chumir Health Centre
Address1213 4 Street SWCalgary, AlbertaT2R 0X7
Telephone403-943-1500 Access Mental Health
Tollfree1-866-943-1500 Access Mental Health
Getting ThereParking available
Parking map</t>
  </si>
  <si>
    <t>Days of the Week
Monday8:00 am - 4:15 pm
Tuesday8:00 am - 4:15 pm
Wednesday8:00 am - 4:15 pm
Thursday8:00 am - 4:15 pm
Friday8:00 am - 4:15 pm
Note
Closed on weekends and statutory holidays.</t>
  </si>
  <si>
    <t>Foothills Professional Building 
South Health Campus
Sunridge Medical Gallery</t>
  </si>
  <si>
    <t xml:space="preserve">Provides community-based treatment for people with a moderate to severe mental illness.Services may include:
intake assessment
psychiatric consultation
individual and or group therapy
managing medication
transition services (e.g. Independent Living Support)
case management
</t>
  </si>
  <si>
    <t>Service Providers May Includepsychiatrists, registered nurses (RNs), social workers
EligibilityFor adults 18 and older and youth (12 years to 18 years) who have a mental illness and are charged with a less serious criminal offence.
Referral NeededFormal referral must be sanctioned by a Crown Prosecutor.
Service Healthcare providers should consult the Alberta Referral Directory for service referral information.
Call the program to start a referral. All diversions must be approved by the Crown Prosecutorâ€™s office before sentencing or plea.
Service LanguagesInterpreter/Translation services</t>
  </si>
  <si>
    <t>Centre of Hope
Address420 9 Avenue SECalgary, AlbertaT2G 0R9
Telephone403-410-1132
Fax403-410-1093</t>
  </si>
  <si>
    <t>/affiliations
Southern Alberta Forensic Psychiatry Services</t>
  </si>
  <si>
    <t>Centre of Hope</t>
  </si>
  <si>
    <t xml:space="preserve">Diverts offenders who have a mental illness from the Justice System to the Mental Health System.Offers offenders who have a mental illness diversion from the Justice System to the Mental Health System. Assesses people and offers help to identify goals and needs, links to agencies or services, and recommends charges are withdrawn if goals are met.
</t>
  </si>
  <si>
    <t>South Calgary Health Centre
Address31 Sunpark  Plaza SECalgary, AlbertaT2X 3W5
Telephone403-943-1500  (Access Mental Health - Intake)</t>
  </si>
  <si>
    <t>Bridgeland Seniors Health Centre
Sheldon M. Chumir Health Centre
Sunridge Mall</t>
  </si>
  <si>
    <t>Acadia Community Health Centre
Address151 86 Avenue SECalgary, AlbertaT2H 3A5
Telephone403-944-7200
Fax403-253-5129
Getting ThereNorth of Macleod Trail. Access from 86 Avenue on North side of building.
Public transportation available</t>
  </si>
  <si>
    <t>Days of the Week
Monday8:00 am - 4:30 pm
Tuesday8:00 am - 4:30 pm
Wednesday8:00 am - 9:00 pm
Thursday8:00 am - 9:00 pm
Friday8:00 am - 4:00 pm</t>
  </si>
  <si>
    <t>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</si>
  <si>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Acadia Community Health Centre</t>
  </si>
  <si>
    <t>Airdrie Community Health Centre
Address604 Main Street SAirdrie, AlbertaT4B 3K7
Telephone403-912-8400
Fax403-912-8410</t>
  </si>
  <si>
    <t>Acadia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</si>
  <si>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Whitecourt Healthcare Centre
Address20 Sunset Boulevard Whitecourt, AlbertaT7S 1M8
Telephone780-342-2383
Fax780-342-3348
Getting ThereSouth of Highway 43</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</si>
  <si>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t>
  </si>
  <si>
    <t>Service Providers May Includefamily counsellors, psychiatrists, psychologists, registered nurses (RNs), social workers
EligibilityChildren and Adolescents 5 to 18 years.
Service Healthcare providers should consult the Alberta Referral Directory for service referral information.
Wait TimesAn estimated wait time will be provided at the time of appointment booking.
Service LanguagesInterpreter/Translation services</t>
  </si>
  <si>
    <t>Foothills Professional Building 
Address1620 29 Street NWCalgary, AlbertaT2N 4L7
Telephone403-943-1500 Ext 1 (Child and Adolescent Services)
AccessibilityMain entranceWashrooms</t>
  </si>
  <si>
    <t>Days of the Week
Monday8:00 am - 4:15 pm
Tuesday8:00 am - 4:15 pm
Wednesday8:00 am - 4:15 pm
Thursday8:00 am - 4:15 pm
Friday8:00 am - 4:15 pm
Note
Evening appointments may be available on request.</t>
  </si>
  <si>
    <t>East Calgary Health Centre
South Calgary Health Centre</t>
  </si>
  <si>
    <t xml:space="preserve">This service provides psychosocial assessment and treatment to children.The serviceÂ offers a wide range of psychosocial assessment and treatment services to children 5 to 18 years with moderate to severe mental health issues, and their families.
Â 
Services include individual, family, and group therapy in a community clinic setting.
</t>
  </si>
  <si>
    <t>Edson Provincial Building
Address111 54 Street Edson, AlbertaT7E 1T2
Tollfree780-310-0000  780-723-8294
Fax780-723-8297</t>
  </si>
  <si>
    <t>Athabasca Community Health Services
Barrhead Healthcare Centre
Beaverlodge Community Health Services
Bonnyville New Park Place
Central Peace Health Complex
Cold Lake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</si>
  <si>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Edson Provincial Building</t>
  </si>
  <si>
    <t>Airdrie Provincial Building
Address104 1 Avenue NWAirdrie, AlbertaT4B 0R2
Tollfree1-877-652-4700 (Intake Line) 
Fax403-948-7926</t>
  </si>
  <si>
    <t>Days of the Week
Monday8:00 am - 4:15 pm
Tuesday8:00 am - 8:15 pm
Wednesday8:00 am - 8:15 pm
Thursday8:00 am - 8:15 pm
Friday8:00 am - 4:15 pm</t>
  </si>
  <si>
    <t>Addiction and Mental Health Clinic - Strathmore
Banff Community Health Centre
Canmore Boardwalk Building
Chestermere Community Health Centre
Claresholm Addiction and Mental Health Clinic
Cochrane Addiction and Mental Health Clinic 
Didsbury District Health Services
High River Addiction and Mental Health Clinic 
Nanton Community Health Centre
Oilfields General Hospital
Okotoks Mental Health Centre</t>
  </si>
  <si>
    <t>Airdrie Provincial Building</t>
  </si>
  <si>
    <t>Service Providers May Includemental health counselors, support workers
EligibilityHomeless
Service LanguagesInterpreter/Translation services</t>
  </si>
  <si>
    <t>Bissell Centre East
Address10527 96 Street NWEdmonton, AlbertaT5H 2H6
Telephone780-423-2285
Fax780-429-7908
Emailreception@bissell.org
Websitehttp://www.bissellcentre.org</t>
  </si>
  <si>
    <t>/affiliations
Multiple agencies throughout the inner city, Bissell Centre, Boyle Street Community Services</t>
  </si>
  <si>
    <t>Boyle Street Community Services
Edmonton 108 Street Building</t>
  </si>
  <si>
    <t>Bissell Centre East</t>
  </si>
  <si>
    <t xml:space="preserve">Provides specialized addiction and mental health consultation and treatment to clients who are homeless and experience addiction / mental illness.The team provides crisis intervention, outreach stabilization and referrals to local resources, as needed.
This service is provided by AHS and AHS contracted service providers.
</t>
  </si>
  <si>
    <t>Barrhead Healthcare Centre
Address4815 51 Avenue Barrhead, AlbertaT7N 1M1
Telephone780-674-8243
Tollfree1-877-303-2642 (24 hr Help Line)
Fax780-674-8352
Getting ThereLocated on the east side of Highway 33</t>
  </si>
  <si>
    <t>Days of the Week
Monday8:15 am - 4:30 pm
Tuesday8:15 am - 4:30 pm
Wednesday8:15 am - 4:30 pm
Thursday8:15 am - 4:30 pm
Friday8:15 am - 4:30 pm
Note
Closed 12:00 PM (noon) to 1:00 PM, and statutory_x000D_
holidays.</t>
  </si>
  <si>
    <t>Athabasca Community Health Services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</si>
  <si>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Extendicare Fairmont Park
Address115 Fairmont Boulevard SLethbridge, AlbertaT1K 5V2
Tollfree1-866-388-6380 (Home Care Assessment)</t>
  </si>
  <si>
    <t>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</si>
  <si>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Extendicare Fairmont Park</t>
  </si>
  <si>
    <t>St. Theresa General Hospital 
Address4506 46 Avenue Fort Vermilion, AlbertaT0H 1N0
Telephone780-841-3229
Tollfree1-877-823-6433
Fax780-926-3738, 1-877-853-5380</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</si>
  <si>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Therese - St. Paul Healthcare Centre
Swan Hills Healthcare Centre
Valleyview Community Health Services
Westlock Provincial Building
Whitecourt Community Health Services</t>
  </si>
  <si>
    <t>Edmonton Mennonite Centre for Newcomers
Address11713 82 Street Edmonton, AlbertaT5B 2V9
Telephone780-424-7709
Fax780-424-7736
EmailÂ info@emcn.ab.ca   
Websitehttp://www.emcn.ab.ca</t>
  </si>
  <si>
    <t>Days of the Week
Monday8:30 am - 5:00 pm
Tuesday8:30 am - 5:00 pm
Wednesday8:30 am - 5:00 pm
Thursday8:30 am - 5:00 pm
Friday8:30 am - 4:30 pm</t>
  </si>
  <si>
    <t>Alex Taylor School
Baker Centre, The
Bonnie Doon Shopping Centre
Community Centre
Edmonton 10608 105 Avenue
Edmonton 108 Street Building 
Edmonton 5215 87 Street
First Edmonton Place
GB Building
Harcourt House
Ledgeview Business Centre
McDougall House
Northgate Centre
Our House Addiction Recovery Centre
Royal Alex Place
Transition Place
WSP Place</t>
  </si>
  <si>
    <t>Edmonton Mennonite Centre for Newcomers</t>
  </si>
  <si>
    <t>Edson Healthcare Centre
Address3837 6 Avenue Edson, AlbertaT7E 0C5
Telephone780-725-6110 
Fax780-725-6382</t>
  </si>
  <si>
    <t>Days of the Week
Monday8:15 am - 4:30 pm
Tuesday8:15 am - 4:30 pm
Wednesday8:15 am - 4:30 pm
Thursday8:15 am - 4:30 pm
Friday8:15 am - 4:30 pm
Note
Closed 12:00 PM (noon) to 1:00 PM, and statutory holidays.</t>
  </si>
  <si>
    <t>Athabasca Community Health Services
Barrhead Healthcare Centre
Beaverlodge Community Health Services
Bonnyville New Park Place
Cold Lake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</si>
  <si>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Sunrise Gardens
Address1235 3 Street WBrooks, AlbertaT1R 0P7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</si>
  <si>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t>
  </si>
  <si>
    <t>Sunrise Gardens</t>
  </si>
  <si>
    <t>High Prairie Health Complex
Address5101 38 Street High Prairie, AlbertaT0G 1E0
Telephone780-523-6490
Tollfree1-877-303-2642 (24 hr Help Line)
Fax780-523-6491</t>
  </si>
  <si>
    <t>Athabasca Community Health Services
Barrhead Healthcare Centre
Beaverlodge Community Health Services
Bonnyville New Park Place
Cold Lake Healthcare Centre
Edson Healthcare Centre
Fairview Health Complex
Grande Prairie Nordic Court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</si>
  <si>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Includeart therapists, psychologists, social workers, spiritual care providers
Service This service is available to inpatients, outpatients and families impacted by cancer.Â  Services are accessed by calling to make an appointment or by referral from a healthcare provider.
Wait TimesWait times vary.
Service LanguagesInterpreter/Translation services</t>
  </si>
  <si>
    <t>Cross Cancer Institute
Address11560  University  Avenue Edmonton, AlbertaT6G 1Z2
Telephone780-643-4303, 780-643-4304
Getting ThereParking and Public transportation available
Parking map</t>
  </si>
  <si>
    <t>Cross Cancer Institute</t>
  </si>
  <si>
    <t xml:space="preserve">This program provides psychological, social and spiritual support to cancer patients and their families.Provides psychological, social, and spiritual support to cancer patients and their families, including:
Individual Counselling
Support Groups
Social Work Services
Spiritual Care Services
</t>
  </si>
  <si>
    <t>Vegreville Community Health Centre
Address5318 50 Street Vegreville, AlbertaT9C 1R1
Telephone780-632-3331
Fax780-632-4334</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</si>
  <si>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Vermilion Provincial Building
Viking Community Health Centre
Wainwright Health Centre
Wetaskiwin Hospital and Care Centre
Winfield Community Health Centre</t>
  </si>
  <si>
    <t>Vegreville Community Health Centre</t>
  </si>
  <si>
    <t>Service Providers May Includemental health counselors
Wait TimesAn estimated wait time will be provided at the time of appointment booking.
Service LanguagesInterpreter/Translation services</t>
  </si>
  <si>
    <t>Northgate Centre
Address9499 137 Avenue Edmonton, AlbertaT5E 5R8
Telephone780-342-2701
Getting ThereParking and Public transportation available</t>
  </si>
  <si>
    <t xml:space="preserve">Provides a single intake service for child &amp; adolescent community mental health clinics across the Edmonton Zone.Offers screening and triaging of referrals, parent orientation, redirects some referrals to appropriate services, and arranges time for formal assessments.
</t>
  </si>
  <si>
    <t>Jasper - Information / Registration / Appointments
Tollfree1-844-817-5009</t>
  </si>
  <si>
    <t>Edson and Area - Information / Registration / Appointments
Fox Creek Healthcare Centre
Hinton and Area - Information / Registration / Appointments
Mayerthorpe Healthcare Centre
Whitecourt and Area - Information / Registration / Appointments</t>
  </si>
  <si>
    <t>Jasper - Information / Registration / Appointments</t>
  </si>
  <si>
    <t>Alpine Summit Seniors Lodge
Address509 Turret Street Jasper, AlbertaT0E 1E0
Telephone780-852-4881
Fax780-852-4883</t>
  </si>
  <si>
    <t>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</si>
  <si>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Alpine Summit Seniors Lodge</t>
  </si>
  <si>
    <t>Edmonton 108 Street Building 
Address9942 108 Street NWEdmonton, AlbertaT5K 2J5
Telephone780-342-7754
Emailcara.weir@ahs.ca
Getting ThereOn major bus route Metered parking or Impark lot across the street on corner</t>
  </si>
  <si>
    <t>Alex Taylor School
Baker Centre, The
Bonnie Doon Shopping Centre
Community Centre
Edmonton 10608 105 Avenue
Edmonton 5215 87 Street
Edmonton Mennonite Centre for Newcomers
First Edmonton Place
GB Building
Harcourt House
Ledgeview Business Centre
McDougall House
Northgate Centre
Our House Addiction Recovery Centre
Royal Alex Place
Transition Place
WSP Place</t>
  </si>
  <si>
    <t>Cascade Plaza 
Address317  Banff  Avenue Banff, AlbertaT1L 1B4
Telephone 403-678-3133
Fax403-678-3138
AccessibilityMain entranceElevators</t>
  </si>
  <si>
    <t>Note
Hours vary.Â  Please call to arrange your appointment.</t>
  </si>
  <si>
    <t>Canmore Boardwalk Building
Cochrane Community Health Centre
High River Addiction and Mental Health Clinic 
Hilton Plaza
Lake Louise 200 Hector Street
Youth Substance Use and Mental Health Services</t>
  </si>
  <si>
    <t xml:space="preserve">Cascade Plaza </t>
  </si>
  <si>
    <t>YW Sheriff King Home
Address2003 16 Street SECalgary, AlbertaT2G 5B7
Telephone403-266-4111
AccessibilityAccessible parking stalls on the Northeast side of the building</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</si>
  <si>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t>
  </si>
  <si>
    <t>YW Sheriff King Home</t>
  </si>
  <si>
    <t>Points West Living Wainwright
Address2710 11 Avenue Wainwright, AlbertaT9W 0B1
Tollfree1-855-371-4122 (Home Care Assessment)</t>
  </si>
  <si>
    <t>Bashaw Meadows
Century Park
Clearwater Centre 
Good Samaritan Good Shepherd Lutheran Home
Hamlets at Red Deer, The
Park Avenue at Creekside
Pioneer House
Points West Living Lloydminster
Points West Living Red Deer
Points West Living Stettler
Rosehaven Care Centre
Royal Oak Manor
Sundre Seniors Supportive Living 
Sunrise Village Camrose
Sunset Manor
Timberstone Mews
Villa Marie
West Park Lodge</t>
  </si>
  <si>
    <t>Points West Living Wainwright</t>
  </si>
  <si>
    <t>Service Providers May Includepolice officers, psychiatric nurses, registered nurses (RNs), social workers
Service For referrals call and leave a message. Messages will be returned within 90 minutes.
Service LanguagesInterpreter/Translation services</t>
  </si>
  <si>
    <t>Calgary Zone - Information / Registration / Appointments
Telephone403-955-6380 
Fax403-668-2167
EmailPACT.Calgary@ahs.ca
Getting ThereMap does not signify location of any organization or service.</t>
  </si>
  <si>
    <t>/affiliations
Calgary Police Service</t>
  </si>
  <si>
    <t xml:space="preserve">PACT (Police and Crisis Team) is a partnership between Alberta Health Services(AHS) and Calgary Police Service(CPS that responds to situations involving individuals experiencing a mental health, addictions, or psycho-social crisis.PACT (Police and Crisis Team) offers mental health assessment, support, and / or consultation in crisis situations from AHS and CPS.Â Is able to arrange urgent psychiatry assessments and referrals as needed. The main goals are:
divert individuals who are in crisis with mental illness and addiction issues, from the justice system and hospital emergency departments
assess and stabilze individuals in crisis within the community
connect individuals with resources and supports
Â 
PACT (Police and Crisis Team) provides:
a response to incidents in Calgaryâ€™s communities involving individuals and families experiencing mental health concerns, addiction or psychosocial crisis when there is a danger to themselves and / or public
assertive outreach out to individuals who are in frequent contact with numerous services and agencies including AHS (Alberta Health Services)Â  and CPS (Calgary Police Services)
consultation and support to various professionals or responding officers regarding the Mental Health Act of Alberta
Mobile outreach response in situations where there may be a mental health crisis and one of the following:
history of aggression/violence / harm to others
client intoxication
suicidal and / or homicidal ideation present
suspected weapons on premises, either with client or someone currently in the home
a threat to public safety
Â 
</t>
  </si>
  <si>
    <t>High Level and Area - Information / Registration / Appointments
Telephone780-841-2531 (Coordinator)</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</si>
  <si>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</si>
  <si>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High Level and Area - Information / Registration / Appointments</t>
  </si>
  <si>
    <t>Service Providers May Includelicensed practical nurses (LPNs), psychiatrists
Service Healthcare providers should consult the Alberta Referral Directory for service referral information.
Fax a referral request to 780-670-3619. Please include the patient's contact details and healthcare number, name of referring clinician, reason for the referral, and any relevant clinical records.
Service LanguagesInterpreter/Translation services</t>
  </si>
  <si>
    <t>South Health Campus
Address4448 Front Street SECalgary, AlbertaT3M 1M4
Telephone403-956-2655
Fax403-956-2696
Getting ThereParking available
Parking map</t>
  </si>
  <si>
    <t>Days of the Week
Wednesday9:30 am - 1:30 pm
Note
Appointments are conducted on Wednesday from 0930-1330. The phone line associated with this clinic will be answered from Monday - Friday from 0800-1600. The clinic is closed on statutory holidays.</t>
  </si>
  <si>
    <t xml:space="preserve">Services offered to patients with heart disease who have mental health conditions. It provides psychiatric consultation, treatment recommendations and access to ongoing mental health care as needed.This is a service for patients with heart disease needing assessment and/or term treatment for mental health conditions. Patients are referred by their cardiac treatment team. The service is led by a psychiatrist who will make treatment recommendations. This can include continuing to see the patient, asking the patient's family physician to start treatment, and/or referring to other specialized mental health services such as psychotherapy.
</t>
  </si>
  <si>
    <t>Westlock Community Health Services
Address10024 107 Avenue Westlock, AlbertaT7P 2E3
Telephone780-349-5725
Fax780-349-3316</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</si>
  <si>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Whitecourt Healthcare Centre</t>
  </si>
  <si>
    <t>Service Providers May Includesocial workers
EligibilityOnly inpatients eligible.</t>
  </si>
  <si>
    <t xml:space="preserve">Maternal child counselling services, inpatient support and community referrals provided to inpatients of maternity families, pediatrics, Neonatal Intensive Care, and newborn families.Inpatient counselling support, information and referral services for patients and the families on the Maternity, Neonatal Intensive Care Unit, and Pediatric Units at the Red Deer Regional Hospital.
Â 
Perinatal Bereavement Program is offered within the Red Deer Regional Hospital, providing assistance with healthy outcome for infants, children, youth and their families. With services such as:
short term counselling
inpatient support
community referrals
patient support
</t>
  </si>
  <si>
    <t>Lethbridge Professional Building
Address740 4 Avenue SLethbridge, AlbertaT1J 0N9
Telephone403-320-0110
Fax403-320-0118
AccessibilityOn major bus route</t>
  </si>
  <si>
    <t>Days of the Week
Monday8:00 am - 4:30 pm
Tuesday9:30 am - 6:00 pm
Wednesday8:00 am - 4:30 pm
Thursday9:30 am - 6:00 pm
Friday8:00 am - 4:30 pm
Note
Office closed Monday, Wednesday, Friday: 12:00 PM - 1:00 PM</t>
  </si>
  <si>
    <t>Brooks Health Centre
Medicine Hat Community Health Services</t>
  </si>
  <si>
    <t>Service Providers May Includeaddictions counselors, mental health therapists, nurses, physicians
EligibilityAvailable for perons 18 years of age or older with mental health, addictions and / or concurrent disorder issues that impact daily functioning and ability to access community services.
to the inmates on remanded or sentenced status at Peace River Correctional Centre.
currently incarcerated in an Alberta Provincial Remand / Correctional Centre (unlikely to get Federal time)
at risk for recidivism
voluntary participation
willingness to address mental health and /or addictions
safety and risk concerns are also evaluated
Referral NeededCorrections Transition Team referral form (already provided to staff) needs to be completed and faxed to the local Corrections Transition Team Mental Health/Addictions office. Referrals are faxed from the Peace River Correctional Centre Health Unit.
Referral forms are provided to the Correctional Centre Health Unit Staff and Caseworkers.
Service Referrals are completed by the mental health nurse, health care staff or by tin inmate's caseworker. Detained persons can request service, but a referral from health care staff or the caseworker is required.
Service LanguagesInterpreter/Translation services</t>
  </si>
  <si>
    <t>Peace River Provincial Building  
Address9621 96 Avenue Peace River, AlbertaT8S 1T4
Telephone780-624-6191
TollfreeRite Line: Dial 780-310-0000 then 780-624-6193
Fax780-624-6579
TTY780-451-9999; After hours 1-866-266-0293</t>
  </si>
  <si>
    <t>/affiliations
Alberta Solicitor General; Health Care Units in the Correctional Centre; local physicians; psychiatrists</t>
  </si>
  <si>
    <t>Powell Building</t>
  </si>
  <si>
    <t xml:space="preserve">Assists inmates / offenders that have addiction and mental health concerns.The Corrections Transition Team meets with clients in the correctional facility as well as assists with the client's transition into the community. Referrals are completed by in-center staff. The Corrections Transition Team workers also provide assistance to clients upon release with their community reintegration and stability through assistance with the linkages and resources that are in place.
</t>
  </si>
  <si>
    <t>Fort McMurray Queen Street Building 
Address10217  Queen  Street Fort McMurray, AlbertaT9H 5S5
Telephone780-793-8360</t>
  </si>
  <si>
    <t>Days of the Week
Monday8:15 am - 4:30 pm
Tuesday8:15 am - 4:30 pm
Wednesday8:15 am - 4:30 pm
Thursday8:15 am - 4:30 pm
Friday8:15 am - 4:30 pm
Note
Closed for lunch between 12:00 - 1:00 pm.</t>
  </si>
  <si>
    <t>Athabasca Community Health Services
Barrhead Administration Building
Bonnyville Provincial Building
Cold Lake 5013 51 Street
Edson Healthcare Centre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</si>
  <si>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 xml:space="preserve">Fort McMurray Queen Street Building </t>
  </si>
  <si>
    <t>Service Providers May Includeaddiction counsellors, client care providers
EligibilityPlease call for more information.
Referral NeededPlease contact the program for more information, length of stay, program options, and admission requirements. Call 403-329-6603 Monday to Friday (8 am to 3pm) or email us at admission@southcountrytreatment.com
Service Application can be done online through our website, or by contacting us by telephone.
Wait TimesWait time varies
FeesSome fees may apply. Please call for more information. 
Service LanguagesInterpreter/Translation services</t>
  </si>
  <si>
    <t>South Country Treatment Centre
Telephone403-329-6603
Fax403-328-5756
Emailinfo@southcountrytreatment.com
Websitehttp://www.southcountrytreatment.com
Getting ThereLocated on the east side of Lethbridge, just off Hwy #3, near the Agricultural Research Station. Refer to website, where a map is available.</t>
  </si>
  <si>
    <t>South Country Treatment Centre</t>
  </si>
  <si>
    <t xml:space="preserve">A 28 days , co-ed residential program for adults 18 and older who have issues with alcohol, drugs, or gamblingTo increase understanding of how alcohol, drug, or gambling issues are affecting your life, this service offers:
education and discussion groups
group and individual counselling
presentations and speakers
self-help meetings and assignments
Addictional information can be found at our website.
Â 
</t>
  </si>
  <si>
    <t>Service Providers May Includepsychologists, registered nurses (RNs), social workers
Service LanguagesInterpreter/Translation services</t>
  </si>
  <si>
    <t>Calgary Zone - Information / Registration / Appointments
Telephone403-943-1500
Tollfree1-844-943-1500
Fax403-943-9044
Emailmental.health@albertahealthservices.ca
Websitehttp://www.albertahealthservices.ca
Getting ThereMap does not signify location of any organization or service.</t>
  </si>
  <si>
    <t>Days of the Week
Monday8:00 am - 5:00 pm
Tuesday8:00 am - 5:00 pm
Wednesday8:00 am - 5:00 pm
Thursday8:00 am - 5:00 pm
Friday8:00 am - 5:00 pm
Note
Non urgent voice mail messages can be left after hours and will be returned the next business day.</t>
  </si>
  <si>
    <t xml:space="preserve">Provides information, consultation and referral to individuals residing in Calgary who have addiction and/or mental health concerns.Clinicians work over the telephone toÂ help people navigate the addiction and mental health system. They are familiar withÂ both Alberta Health Services and community based programs and will explore options and direct/refer clients to the most appropriateÂ resource to meet their needs.Â Access Mental Health is a non-urgent service.Â 
For more information visit our website.
</t>
  </si>
  <si>
    <t>Foothills Medical Centre
Address1403 29 Street NWCalgary, AlbertaT2N 2T9
Websitehttp://www.albertahealthservices.ca
Getting ThereParking available
Parking map</t>
  </si>
  <si>
    <t>Service Providers May Includeaddiction counsellors, dietitians, licensed practical nurses (LPNs), mental health therapists, occupational therapists (OTs), pharmacists, psychiatrists, psychologists, registered nurses (RNs), registered psychiatric nurses (RPNs), social workers
EligibilityAdults 18 years and older
Service LanguagesInterpreter/Translation services</t>
  </si>
  <si>
    <t>St. Therese - St. Paul Healthcare Centre
Address4713 48  Avenue St. Paul, AlbertaT0A 3A3
Telephone780-645-4323
Fax780-645-2788</t>
  </si>
  <si>
    <t>Northern Lights Regional Health Centre
Queen Elizabeth II Hospital</t>
  </si>
  <si>
    <t xml:space="preserve">Provides inpatient assessment, stabilization and treatment for adults with acute mental illnessIn the north zone, there are three designated units:
Queen Elizabeth II, Grande Prairie
Northern Lights Regional Healthcare Centre, Fort McMurray
St. Therese Health Care centre, St. Paul
These units provide care for formal and voluntary patients who are admitted with acute psychiatric illnesses that require hospitalization.
</t>
  </si>
  <si>
    <t>Cochrane Community Health Centre
Address60 Grande Boulevard Cochrane, AlbertaT4C 0S4
Telephone403-851-2250</t>
  </si>
  <si>
    <t>Airdrie 125 Main Street NW
Airdrie 209 Centre Avenue West
Associates Counselling Services Office
Brooks Community Cultural Centre
Calgary 707 10 Avenue SW
Calgary Zone - Information / Registration / Appointments
Cantara House  (Brooks Shelter)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</si>
  <si>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Edson and Area - Information / Registration / Appointments
Tollfree1-844-817-5009</t>
  </si>
  <si>
    <t>Fox Creek Healthcare Centre
Hinton and Area - Information / Registration / Appointments
Jasper - Information / Registration / Appointments
Mayerthorpe Healthcare Centre
Whitecourt and Area - Information / Registration / Appointments</t>
  </si>
  <si>
    <t>Edson and Area - Information / Registration / Appointments</t>
  </si>
  <si>
    <t>Centre of Hope
Edmonton 108 Street Building 
Fort McMurray Queen Street Building 
Grande Prairie Aberdeen Centre
Lethbridge Provincial Building
Peace River Community Mental Health Services
Regional Resource Centre - Medicine Hat Regional Hospital
St. Therese - St. Paul Healthcare Centre</t>
  </si>
  <si>
    <t>Olds Provincial Building (North)
Address5030 50 Street Olds, AlbertaT4H 1S1
Telephone403-556-8441
Fax403-556-6842</t>
  </si>
  <si>
    <t>Days of the Week
Monday8:30 am - 4:30 pm
Tuesday8:30 am - 4:30 pm
Wednesday8:30 am - 4:30 pm
Thursday8:30 am - 4:30 pm
Friday8:30 am - 4:30 pm
Note
Closed from 12:00 PM - 1:00 PM</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</si>
  <si>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</si>
  <si>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Olds Provincial Building (North)</t>
  </si>
  <si>
    <t>Olds Hospital and Care Centre
Address3901 57 Avenue Olds, AlbertaT4H 1T4
Telephone403-556-3381
Getting ThereParking available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</si>
  <si>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</si>
  <si>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Olds Hospital and Care Centre</t>
  </si>
  <si>
    <t>Service Providers May Includeoccupational therapists (OTs), pediatricians, physical therapists (PTs), psychologists, social workers, speech language pathologists (SLPs)
EligibilityChildren 3 to 17 years.
Referral NeededPrimary assessments must be finished before the clinic date. Fax the referral form to 780-608-8648. Clinic Coordinator Lorraine McPhee.
Wait TimesAn estimated wait time will be provided at the time of appointment booking.
Service LanguagesInterpreter/Translation services</t>
  </si>
  <si>
    <t>Camrose Professional Centre
Address5015 50  Avenue Camrose, AlbertaT4V 3P7
Telephone780-608-8611
Fax780-608-8648 (referral form)</t>
  </si>
  <si>
    <t>Days of the Week
Monday8:00 am - 4:15 pm
Tuesday8:00 am - 4:15 pm
Wednesday8:00 am - 4:15 pm
Thursday8:00 am - 4:15 pm
Friday8:00 am - 4:15 pm
Note
Closed 12:00 to 1:00 pm for lunch. Closed on stat holidays.</t>
  </si>
  <si>
    <t>Camrose Professional Centre</t>
  </si>
  <si>
    <t xml:space="preserve">Provides assessment and diagnosis for children with a combination of developmental, behavioural, sensory, physical, and/or learning problems.The clinic diagnoses, plans, treats, and supports the child and family.
Sees children who have or may have Fetal Alcohol Spectrum Disorder (FASD) or an underlying neurodevelopmental disorder, such as:
Attention Deficit Hyperactivity Disorder (ADHD)
learning disabilities
sensory processing difficulties
Developmental Coordination Disorder (DCD)
autistic disorder
anxiety
attachment concerns
</t>
  </si>
  <si>
    <t>South Health Campus
Address4448 Front Street SECalgary, AlbertaT3M 1M4
Telephone403-956-2910
Fax403-956-2927
Getting ThereParking available
Parking map</t>
  </si>
  <si>
    <t>Days of the Week
Monday10:00 am - 6:15 pm
Tuesday10:00 am - 6:15 pm
Wednesday12:00 pm - 8:15 pm
Thursday10:00 am - 6:15 pm
Friday10:00 am - 6:15 pm
Note
Service is available to hospital inpatients and their families in emergency situations 24/7.</t>
  </si>
  <si>
    <t>Alberta Children's Hospital
Canmore General Hospital
Claresholm General Hospital
Foothills Medical Centre
High River General Hospital
Mineral Springs Hospital
Oilfields General Hospital
Peter Lougheed Centre
Rockyview General Hospital
Tom Baker Cancer Centre
Vulcan Community Health Centre</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</si>
  <si>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Northern Addictions Centre
Northwest Health Centre 
Peace River Provincial Building  
Pine Plaza Building
Seton - Jasper Healthcare Centre
Slave Lake 101 3 Street
St. Paul Provincial Building
Whitecourt Provincial Building</t>
  </si>
  <si>
    <t>Wetaskiwin Provincial Building
Address5201 50 Avenue Wetaskiwin, AlbertaT9A 0S7
Telephone780-361-1358
Tollfree24 hour Help Line 1-866-332-2322
Fax780-361-1379</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</si>
  <si>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t>
  </si>
  <si>
    <t>Wetaskiwin Provincial Building</t>
  </si>
  <si>
    <t>Medicine Hat Provincial Building
Address346 3 Street SEMedicine Hat, AlbertaT1A 0G7
Telephone403-529-3582
Fax403-529-3130</t>
  </si>
  <si>
    <t>Melcor Centre
Regional Resource Centre - Medicine Hat Regional Hospital</t>
  </si>
  <si>
    <t>Medicine Hat Provincial Building
Address346 3 Street SEMedicine Hat, AlbertaT1A 0G7
Telephone403-529-3582
Tollfree 24 hour Help Line 1-866-332-2322
Fax 403-529-3130
EmailMedicineHat@albertahealthservices.ca</t>
  </si>
  <si>
    <t>Days of the Week
Monday8:00 am - 4:30 pm
Tuesday8:00 am - 4:30 pm
Wednesday8:00 am - 4:30 pm
Thursday8:00 am - 9:00 pm
Friday8:00 am - 4:30 pm</t>
  </si>
  <si>
    <t>Brooks 403  2 Avenue W
Crowsnest Pass Provincial Building
Lethbridge Provincial Building
Oyen Community Health Services
Taber Health Centre</t>
  </si>
  <si>
    <t>Lethbridge Professional Building
Address740 4 Avenue SLethbridge, AlbertaT1J 0N9
Telephone403-388-6547
Fax403-394-9421
AccessibilityOn major bus route</t>
  </si>
  <si>
    <t>Days of the Week
Monday8:00 am - 4:15 pm
Tuesday8:00 am - 4:15 pm
Wednesday8:00 am - 4:15 pm
Thursday8:00 am - 4:15 pm
Friday8:00 am - 4:15 pm
Note
Closed between 12:00 PM (noon) to 1:00 PM.</t>
  </si>
  <si>
    <t>Service Providers May Includeoccupational therapists (OTs), recreation therapists, registered nurses (RNs), social workers
Eligibility18 - 65 years old, require 24/7 support for mental health and housing.
Wait TimesAn estimated wait time will be provided at the time of appointment booking.
Service LanguagesInterpreter/Translation services</t>
  </si>
  <si>
    <t>Alberta Hospital Edmonton
Address17480  Fort Road Edmonton, AlbertaT5J 2J7
Telephone780-342-5395
Fax780-342-5291
Emailbeverley.austin@ahs.ca
Getting ThereParking and public transportation</t>
  </si>
  <si>
    <t xml:space="preserve">Assists in the intake and case management process for patients requiring addictions and mental health supervised group home placement.Wellness Integrated Support Homes (WISH) team members provide case management, occupational therapy (OT), recreational therapy, nursing, social work and recovery oriented support. Houses are staffed with 24/7 Health Care Aids (HCAs) who provide support for housekeeping, meals, medication administration, assistance with daily living needs and mental health needs.
</t>
  </si>
  <si>
    <t>Good Samaritan Linden View
Address4700 64 Avenue Taber, AlbertaT1G 0C6
Tollfree1-866-388-6380 (Home Care Assessment)</t>
  </si>
  <si>
    <t>Extendicare Fairmont Park
Good Samaritan Garden Vista
Good Samaritan Lee Crest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</si>
  <si>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Linden View</t>
  </si>
  <si>
    <t>Valleyview Community Health Services
Address5112 50 Avenue Valleyview, AlbertaT0H 3N0
Telephone780-524-5096
Fax780-524-2107</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</si>
  <si>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Westlock Provincial Building
Whitecourt Healthcare Centre</t>
  </si>
  <si>
    <t>Fort Vermilion Community Health Centre
Address4804 50 Street Fort Vermilion, AlbertaT0H 1N0
Telephone780-841-3229
Tollfree1-877-303-2642 (24 hr Help Line)
Fax780-926-7378</t>
  </si>
  <si>
    <t>Days of the Week
Monday8:00 am - 4:30 pm
Tuesday8:00 am - 4:30 pm
Wednesday8:00 am - 4:30 pm
Friday8:00 am - 4:30 pm</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</si>
  <si>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</si>
  <si>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Fort Vermilion Community Health Centre</t>
  </si>
  <si>
    <t>Medicine Hat and Area - Information / Registration / Appointments
Telephone403-504-1811 (Coordinator)
Websitehttp://www.cmha-aser.ca/programs</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</si>
  <si>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Red Deer College
Red Deer and Area - Information / Registration / Appointments
Slave Lake - Information / Registration / Appointments
Southland Park III - Southport Atrium
University of Alberta - Administration Building</t>
  </si>
  <si>
    <t>Medicine Hat and Area - Information / Registration / Appointments</t>
  </si>
  <si>
    <t>Red Deer College
Address100 College  Boulevard Red Deer, AlbertaT4N 5H5
Telephone403-342-3205 (Coordinator)
AccessibilityMost entrancesÂ are wheelchair accessible, but the main entrance is recommended.
Washrooms are wheelchair accessible.
Getting ThereParking meters available in front of college.  _x000D_
Number 3 Bus Route to Red Deer College.</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</si>
  <si>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and Area - Information / Registration / Appointments
Slave Lake - Information / Registration / Appointments
Southland Park III - Southport Atrium
University of Alberta - Administration Building</t>
  </si>
  <si>
    <t>Red Deer College</t>
  </si>
  <si>
    <t>McDougall House
Address11070  108 Street NWEdmonton, AlbertaT5H 3A9
Telephone780-420-0691
Fax780-429-3459
Emailmcdougallhouse@shaw.ca
Websitehttp://www.mcdougallhouse.com</t>
  </si>
  <si>
    <t>Days of the Week
Monday8:00 am - 4:00 pm
Tuesday8:00 am - 4:00 pm
Wednesday8:00 am - 4:00 pm
Thursday8:00 am - 4:00 pm
Friday8:00 am - 4:00 pm
Note
Closed 12:00 PM to 1:00 PM.Closed statutory holidays.</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</si>
  <si>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Northgate Centre
Our House Addiction Recovery Centre
Royal Alex Place
Transition Place
WSP Place</t>
  </si>
  <si>
    <t>McDougall House</t>
  </si>
  <si>
    <t>High River General Hospital
Address560 9 Avenue SWHigh River, AlbertaT1V 1B3
Telephone403-652-2200
Fax403-652-0199</t>
  </si>
  <si>
    <t>Canmore General Hospital
Foothills Medical Centre
Peter Lougheed Centre
Rockyview General Hospital
South Health Campus</t>
  </si>
  <si>
    <t>High River General Hospital</t>
  </si>
  <si>
    <t>Cold Lake 5013 51 Street
Address5013 51 Street Cold Lake, AlbertaT9M 1P3
Telephone780-594-7556
Tollfree24 Hour Help Line 1-866-332-2322
Fax780-594-2144</t>
  </si>
  <si>
    <t>Days of the Week
Monday8:00 am - 4:30 pm
Tuesday8:00 am - 4:30 pm
Wednesday8:00 am - 4:30 pm
Thursday8:00 am - 4:30 pm
Friday8:00 am - 4:30 pm
Note
Closed for lunch from 12:00 pm to 12:30 pm.
Intake/Assessment - Ongoing. Clients call to book an intake or if they walk in the office and we are available, they will be assessed.</t>
  </si>
  <si>
    <t>Athabasca Community Health Services
Barrhead Administration Building
Bonnyville Provincial Building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</si>
  <si>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Cold Lake 5013 51 Street</t>
  </si>
  <si>
    <t>Fox Creek Healthcare Centre
Address600 3 Street Fox Creek, AlbertaT0H 1P0
Telephone780-342-2383
Fax780-342-3348</t>
  </si>
  <si>
    <t>Athabasca Community Health Services
Barrhead Healthcare Centre
Beaverlodge Community Health Services
Bonnyville New Park Place
Central Peace Health Complex
Cold Lake Healthcare Centre
Edson Healthcare Centre
Fairview Health Complex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</si>
  <si>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Spirit River Community Health Services
Address5003 45 Avenue Spirit River, AlbertaT0H 3G0
Telephone780-864-3928, 780-864-3928
Tollfree1-877-823-6433
Fax780-538-6279 Addiction and Mental Health Grande Prairie, 1-877-853-5380</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</si>
  <si>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St. Theresa General Hospital 
St. Therese - St. Paul Healthcare Centre
Swan Hills Healthcare Centre
Valleyview Community Health Services
Westlock Provincial Building
Whitecourt Community Health Services</t>
  </si>
  <si>
    <t>Sedgewick Community Health Centre
Address4822 50  Street Sedgewick, AlbertaT0B 4C0
Telephone780-384-3652
Fax780-384-3699</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</si>
  <si>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</si>
  <si>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Sedgewick Community Health Centre</t>
  </si>
  <si>
    <t>Service Providers May Includewellness facilitators
EligibilityStudents must attend a school that Team For Success provides services to and families must be part of the communities Team For Success provides services to.
Service Contact any Team For Success Facilitator in the school directly, by email, or by phone or contact the program directly.
Service LanguagesInterpreter/Translation services</t>
  </si>
  <si>
    <t>Pat Hardy Primary School
Address35 Feero Drive Whitecourt, AlbertaT7S 1M8
Telephone780-262-0466 (Team For Success), 780-778-6266 (School)</t>
  </si>
  <si>
    <t>Percy Baxter Middle School
Whitecourt Central School</t>
  </si>
  <si>
    <t>Pat Hardy Primary School</t>
  </si>
  <si>
    <t xml:space="preserve">A prevention and promotion initiative that works to increase a community's capacity to promote the development of positive mental health and wellness in its children, youth and families using schools as hubs.Using prevention and promotion activities Team For Success works to:
increase access to evidence information universal mental health promotion and prevention programming.
establish effective mentorship opportunities for adults who interact with children and youth.
advance an integrated approach to promoting mental health.
preventing mental health problems among community partners, government, schools, and industry.
</t>
  </si>
  <si>
    <t>Days of the Week
Monday7:00 am - 2:00 am
Tuesday7:00 am - 2:00 am
Wednesday7:00 am - 2:00 am
Thursday7:00 am - 2:00 am
Friday7:00 am - 2:00 am
Saturday7:00 am - 2:00 am
Sunday7:00 am - 2:00 am</t>
  </si>
  <si>
    <t>Whitecourt Central School
Address4807 53 Avenue Whitecourt, AlbertaT7S 1N2
Telephone780-262-0466 (Team For Success), 780-778-2136 (School)</t>
  </si>
  <si>
    <t>Pat Hardy Primary School
Percy Baxter Middle School</t>
  </si>
  <si>
    <t>Whitecourt Central School</t>
  </si>
  <si>
    <t>Service Providers May Includecounsellors , dietitians, doctors, occupational therapists (OTs), pediatricians, psychiatrists, recreational therapists, registered nurses (RNs)
EligibilityChildren younger than 14 with an eating disorder, and their families.
Service Healthcare providers should consult the Alberta Referral Directory for service referral information.
Wait TimesAn estimated wait time will be provided at the time of appointment booking.
Service LanguagesInterpreter/Translation services</t>
  </si>
  <si>
    <t>Days of the Week
Monday8:30 am - 4:30 pm
Tuesday8:30 am - 4:30 pm
Wednesday8:30 am - 4:30 pm
Thursday8:30 am - 4:30 pm
Friday8:30 am - 4:30 pm
Note
Group programming is available on select evenings. Appointments may be scheduled outside of regular office hours.</t>
  </si>
  <si>
    <t xml:space="preserve">Cares for people who have been diagnosed with an eating disorder (e.g. anorexia nervosa, bulimia nervosa).Provides outpatient treatment for people with eating disorders including:
assessment
one-to-one therapy
family therapy
follow-up
referrals to healthcare providers if needed
Early onset services are provided for children younger than 14 and their families.
</t>
  </si>
  <si>
    <t>Bow Island Provincial Building
Address802 6 Street EBow Island, AlbertaT0K 0G0
Telephone403-529-3500
Fax403-529-3562</t>
  </si>
  <si>
    <t>Days of the Week
Wednesday9:00 am - 2:30 pm</t>
  </si>
  <si>
    <t>Brooks Health Centre
Crowsnest Pass Provincial Building
Fort Macleod Health Centre
Lethbridge Provincial Building
Medicine Hat Provincial Building
Pincher Creek Provincial Building 
Provincial Building
Raymond Health Centre
Taber Health Centre</t>
  </si>
  <si>
    <t>Bow Island Provincial Building</t>
  </si>
  <si>
    <t>High River Addiction and Mental Health Clinic 
Address617 1 Street WHigh River, AlbertaT1V 1M5
Telephone 403-652-8340
Tollfree1-866-332-2322 (24 Hour Help Line)
Fax403-601-8016</t>
  </si>
  <si>
    <t>Canmore Boardwalk Building
Cascade Plaza 
Cochrane Community Health Centre
Hilton Plaza
Lake Louise 200 Hector Street
Youth Substance Use and Mental Health Services</t>
  </si>
  <si>
    <t xml:space="preserve">High River Addiction and Mental Health Clinic </t>
  </si>
  <si>
    <t>Hinton Healthcare Centre
Address1280 Switzer Drive Hinton, AlbertaT7V 1V2
Telephone780-865-3727
Fax780-865-2277</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</si>
  <si>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</si>
  <si>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St. Mary's Health Care Centre
Address451 DeChauney Avenue Trochu, AlbertaT0M 2C0
Telephone403-442-3955
Websitehttp://www.covenanthealth.ca/hospitals-care-centres/st-marys-health-care-centre/</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</si>
  <si>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</si>
  <si>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St. Mary's Health Care Centre</t>
  </si>
  <si>
    <t>Service Providers May Includeregistered nurses (RNs), social workers
EligibilityChildren or adolescents less then 18 years of age:
not currently connected to any other professionals in the community
with an identified service that they will be connected to for long-term support
child and family participate voluntarily
Wait TimesAn estimated wait time will be provided at the time of appointment booking.
Service LanguagesInterpreter/Translation services</t>
  </si>
  <si>
    <t>Days of the Week
Monday8:00 am - 6:15 pm
Tuesday8:00 am - 6:15 pm
Wednesday8:00 am - 6:15 pm
Thursday8:00 am - 6:15 pm
Friday8:00 am - 6:15 pm
Note
Some evening appointments by mutual agreement with clinician.</t>
  </si>
  <si>
    <t xml:space="preserve">Provides short-term follow-up for children, youth and their families who have been discharged from inpatient mental health but still require ongoing transitional support.Service provides:
transitional support while a child or adolescent is waiting for a long-term service to become available
outreach support in homes, schools, or the community, including problem solving, solutions-focused work, goal setting, safety planning, psycho-educational supports, referrals and assistance with transitioning back to home or school
Services are provided for up to one month. Clients will be put in contact with a long term service if they need further mental health support.
</t>
  </si>
  <si>
    <t>St. Paul Provincial Building
Address5025 49 Avenue St. Paul, AlbertaT0A 3A4
Telephone780-645-6346
Tollfree24 hour Help Line 1-866-332-2322
Fax780-645-6249</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</si>
  <si>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Whitecourt Provincial Building</t>
  </si>
  <si>
    <t>St. Paul Provincial Building</t>
  </si>
  <si>
    <t>Whitecourt Community Health Services
Address4707 50 Avenue Whitecourt, AlbertaT7S 1P1
Telephone780-706-3281
Tollfree1-877-303-2642 (24 hr Help Line)
Fax780-706-7154</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</si>
  <si>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t>
  </si>
  <si>
    <t>Whitecourt Community Health Services</t>
  </si>
  <si>
    <t>Foothills Professional Building 
Address1620 29 Street NWCalgary, AlbertaT2N 4L7
Telephone403-943-1500 Access Mental Health
Tollfree1-866-943-1500 Access Mental Health
AccessibilityMain entranceWashrooms</t>
  </si>
  <si>
    <t>Sheldon M. Chumir Health Centre
South Health Campus
Sunridge Medical Gallery</t>
  </si>
  <si>
    <t>Athabasca Community Health Services
Barrhead Healthcare Centre
Beaverlodge Community Health Services
Bonnyville New Park Place
Central Peace Health Complex
Cold Lake Healthcare Centre
Edson Provincial Building
Fairview Health Complex
Grande Prairie Nordic Court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</si>
  <si>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Days of the Week
Monday8:00 am - 4:30 pm
Tuesday8:00 am - 4:30 pm
Wednesday8:00 am - 4:30 pm
Thursday8:00 am - 4:30 pm
Friday8:00 am - 4:30 pm
Note
Closed for lunch 12:00pm â€“ 1:00pm.</t>
  </si>
  <si>
    <t>Athabasca Community Health Services
Barrhead Administration Building
Bonnyville Provincial Building
Cold Lake 5013 51 Street
Edson Healthcare Centre
Fort McMurray Queen Street Building 
Grande Prairie Aberdeen Centre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</si>
  <si>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Red Deer Provincial Building
Address4920 51  Street Red Deer, AlbertaT4N 6K8
Telephone403-340-5274
Tollfree24 hour Help Line 1-866-332-2322
Fax403-340-4804</t>
  </si>
  <si>
    <t>Days of the Week
Monday8:15 am - 4:30 pm
Tuesday8:15 am - 4:30 pm
Wednesday8:15 am - 4:30 pm
Thursday8:15 am - 4:30 pm
Friday8:15 am - 4:30 pm
Note
Please call to arrange a time for your prevention activity.</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</si>
  <si>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</si>
  <si>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Lethbridge Provincial Building
Address200 5 Avenue SLethbridge, AlbertaT1J 4L1
Telephone403-388-6457
Websitehttp://www.lfsfamily.ca</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</si>
  <si>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</si>
  <si>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Edmonton 5215 87 Street
Address5215 87 Street Edmonton, AlbertaT6E 5L5
Telephone780-452-4661
Fax780-482-3027
Emailinfo@schizophrenia.ab.ca 
Websitehttp://www.schizophrenia.ab.ca</t>
  </si>
  <si>
    <t>Note
Contact for program hours</t>
  </si>
  <si>
    <t>Alex Taylor School
Baker Centre, The
Bonnie Doon Shopping Centre
Community Centre
Edmonton 10608 105 Avenue
Edmonton 108 Street Building 
Edmonton Mennonite Centre for Newcomers
First Edmonton Place
GB Building
Harcourt House
Ledgeview Business Centre
McDougall House
Northgate Centre
Our House Addiction Recovery Centre
Royal Alex Place
Transition Place
WSP Place</t>
  </si>
  <si>
    <t>Edmonton 5215 87 Street</t>
  </si>
  <si>
    <t>Service Providers May Includeaddiction counselors, mental health counselors, occupational therapists (OTs), psychiatric aides, psychiatrists, psychologists, recreational therapists, registered nurses (RNs), social workers
Service LanguagesInterpreter/Translation services</t>
  </si>
  <si>
    <t>Alberta Hospital Edmonton
Address17480  Fort Road Edmonton, AlbertaT5J 2J7
Telephone780-342-5555, 780-342-5550 (Program Information)
EmailMaggie.Weber@ahs.ca
Getting ThereParking and public transportation</t>
  </si>
  <si>
    <t xml:space="preserve">Patients receive interim follow up as required after discharge to ensure a smooth transition to the community and to support their recovery.Provides patients currently in an acute care psychiatric hospital bed who no longer require acute care work with inpatient staff and the community transition team while waiting for permanent placement in the community.
</t>
  </si>
  <si>
    <t>High River Public Health Centre
Address310 MacLeod  Trail SWHigh River, AlbertaT1V 1M7
Telephone403-652-5450
Fax403-652-5455
Getting TherePublic transportation available</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</si>
  <si>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</si>
  <si>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High River Public Health Centre</t>
  </si>
  <si>
    <t>Oyen Community Health Services
Address315 3 Avenue EOyen, AlbertaT0J 2J0
Telephone403-529-3500
Fax403-529-3562</t>
  </si>
  <si>
    <t>Days of the Week
Monday8:00 am - 4:30 pm
Tuesday8:00 am - 4:30 pm
Wednesday9:00 am - 3:00 pm
Thursday8:00 am - 4:30 pm
Friday8:00 am - 4:30 pm
Note
Appointments are booked through the Medicine Hat office.</t>
  </si>
  <si>
    <t>Brooks 403  2 Avenue W
Cardston Provincial Building 
Crowsnest Pass Provincial Building
Medicine Hat Provincial Building
Melcor Centre
Taber Health Centre</t>
  </si>
  <si>
    <t>Oyen Community Health Services</t>
  </si>
  <si>
    <t>Strathcona Community Hospital
Address9000 Emerald Drive Sherwood Park, AlbertaT8H 0J3</t>
  </si>
  <si>
    <t>Fort Saskatchewan Community Hospital
Grey Nuns Community Hospital
Leduc Community Hospital
Misericordia Community Hospital 
Northeast Community Health Centre
Royal Alexandra Hospital
Sturgeon Community Hospital
University of Alberta Hospital
WestView Health Centre - Stony Plain</t>
  </si>
  <si>
    <t>Strathcona Community Hospital</t>
  </si>
  <si>
    <t>Days of the Week
Monday8:00 am - 4:00 pm
Tuesday8:00 am - 4:00 pm
Wednesday8:00 am - 4:00 pm
Thursday8:00 am - 4:00 pm
Friday8:00 am - 4:00 pm
Note
For urgent consultation after hours, on weekends or statutory holidays, please contact the psychiatrist on call through the hospital switchboard (403-956-1111).</t>
  </si>
  <si>
    <t>Alberta Children's Hospital
Foothills Medical Centre
Peter Lougheed Centre
Rockyview General Hospital</t>
  </si>
  <si>
    <t>Fishing Lake Metis Settlement Community Health Services
Telephone780-943-3058
Fax780-943-2213</t>
  </si>
  <si>
    <t>Athabasca Community Health Services
Barrhead Community Health Services
Bonnyville Community Health Services
Boyle Healthcare Centre
Cold Lake Community Health Services
Edson Healthcare Centre
Elizabeth Settlement Community Hall
Elk Point Healthcare Centre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</si>
  <si>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Fishing Lake Metis Settlement Community Health Services</t>
  </si>
  <si>
    <t>High Prairie Health Complex
Address5101 38 Street High Prairie, AlbertaT0G 1E0
Telephone780-523-6490 
Tollfree1-877-823-6433
Fax780-523-6491, 1-877-853-5380</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</si>
  <si>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</si>
  <si>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GB Building
Address9562 82 Avenue NWEdmonton, AlbertaT6C 0Z8
Telephone780-757-0900 
Emailinfo@walkinedmonton.org 
Websitehttp://www.walkinedmonton.org
Getting ThereFree parking and Whyte Avenue bus service available.</t>
  </si>
  <si>
    <t>Days of the Week
Monday11:00 am - 7:00 pm
Tuesday11:00 am - 7:00 pm
Wednesday11:00 am - 7:00 pm
Thursday11:00 am - 7:00 pm
Friday10:00 am - 2:00 pm
Saturday10:00 am - 2:00 pm
Note
Closed statutory holidays.</t>
  </si>
  <si>
    <t>Alex Taylor School
Baker Centre, The
Bonnie Doon Shopping Centre
Community Centre
Edmonton 10608 105 Avenue
Edmonton 108 Street Building 
Edmonton 5215 87 Street
Edmonton Mennonite Centre for Newcomers
First Edmonton Place
Harcourt House
Ledgeview Business Centre
McDougall House
Northgate Centre
Our House Addiction Recovery Centre
Royal Alex Place
Transition Place
WSP Place</t>
  </si>
  <si>
    <t>GB Building</t>
  </si>
  <si>
    <t>Points West Living Red Deer
Address6950 Taylor  Drive Red Deer, AlbertaT4P 4C3
Telephone587-457-9245
Tollfree1-855-371-4122 (Home Care Assessment)</t>
  </si>
  <si>
    <t>Bashaw Meadows
Century Park
Clearwater Centre 
Good Samaritan Good Shepherd Lutheran Home
Hamlets at Red Deer, The
Park Avenue at Creekside
Pioneer House
Points West Living Lloydminster
Points West Living Stettler
Points West Living Wainwright
Rosehaven Care Centre
Royal Oak Manor
Sundre Seniors Supportive Living 
Sunrise Village Camrose
Sunset Manor
Timberstone Mews
Villa Marie
West Park Lodge</t>
  </si>
  <si>
    <t>Points West Living Red Deer</t>
  </si>
  <si>
    <t>Fort Vermilion Community Health Centre
Address4804 50 Street Fort Vermilion, AlbertaT0H 1N0
Telephone780-927-3391</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</si>
  <si>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</si>
  <si>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Gibbons Health Unit
Address4720 50 Avenue Gibbons, AlbertaT0A 1N0
Telephone780-342-2660</t>
  </si>
  <si>
    <t>Beaumont Public Health Centre
Bonnie Doon Public Health Centre
Devon General Hospital
East Edmonton Health Centre
Fort Saskatchewan Community Hospital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</si>
  <si>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Gibbons Health Unit</t>
  </si>
  <si>
    <t>Ponoka Community Health Centre
Address5900 2A Highway Ponoka, AlbertaT4J 1P5
Telephone403-783-4604</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</si>
  <si>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</si>
  <si>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Ponoka Community Health Centre</t>
  </si>
  <si>
    <t>Grande Prairie Nordic Court 
Address10014 99 Street Grande Prairie, AlbertaT8V 3N4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</si>
  <si>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</si>
  <si>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Peace River 9613 100 Street
Address9613 100 Street Peace River, AlbertaT8S 1J7
Telephone780-624-8235
Fax780-624-5901
Emailnpspdv@telus.net</t>
  </si>
  <si>
    <t>Days of the Week
Monday9:00 am - 4:30 pm
Tuesday9:00 am - 4:30 pm
Wednesday9:00 am - 4:30 pm
Thursday9:00 am - 4:30 pm
Friday9:00 am - 4:30 pm
Note
We are a small office but strive to keep these hours as well as offer some flexibility around evening and weekend appointments.</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</si>
  <si>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</si>
  <si>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Peace River 9613 100 Street</t>
  </si>
  <si>
    <t>Seton - Jasper Healthcare Centre
Address518 Robson Street Jasper, AlbertaT0E 1E0
Telephone780-852-4752
Fax780-852-4759
Getting ThereLocated behind the Jasper Emergency Services Building.</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</si>
  <si>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</si>
  <si>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Consort Community Health Centre
Address5410 52 Avenue Consort, AlbertaT0C 1B0
Telephone403-743-2000
Tollfree24 Hour Mental Health Help Line 1 877-303-2642, 24 Hour Addiction Help Line 1 877-332-2322
Fax403-740-8880</t>
  </si>
  <si>
    <t>Camrose Addiction and Mental Health Clinic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</si>
  <si>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Consort Community Health Centre</t>
  </si>
  <si>
    <t>Service Providers May Includegynecologists, occupational therapists (OTs), psychologists, registered nurses (RNs), social workers, urologists
EligibilityThis service targets patients who have had their sexual health impacted by injury, illness or disability.
Service Healthcare providers should consult the Alberta Referral Directory for service referral information
Glenrose patients can self-refer or be referred by a member of their treatment team. Patients outside of the Glenrose need a referral from their Healthcare provider. Self-referral form.
Wait TimesAn estimated wait time will be provided at the time of appointment booking.
Service LanguagesInterpreter/Translation services</t>
  </si>
  <si>
    <t>Glenrose Rehabilitation Hospital 
Address10230 111 Avenue NWEdmonton, AlbertaT5G 0B7
Telephone780-735-6290
Fax780-735-7923 (Fax Referral)
AccessibilityParking stalls
Getting ThereParking available
Public transportation available
Parking map</t>
  </si>
  <si>
    <t>Note
Availability of appointments are variable. Messages can be left on our confidential voicemail Monday through Friday and a clinician will return your call.</t>
  </si>
  <si>
    <t>/affiliations
Alberta Council of Professionals for Sexual Health (ACPSH);_x000D_
Alberta Society for the Promotion of Sexual Health (ASPSH)</t>
  </si>
  <si>
    <t xml:space="preserve">The Sexual Health Service is a confidential service that provides education and counseling to people who have had their sexual health impacted by injury, illness or disability.This confidential service provides education and counseling around sexual health that has been impacted by injury, illness or disablity, such as:
stroke
heart condition
diabetes
multiple sclerosis
spinal cord injury
spina bifida
cerebral palsy
traumatic brain injury
amputation
rheumatoid arthritis
hip replacement
osteotomy or prostate surgery
Sexual Health Service provides:
Education and information to individuals, families, partners, caregivers and professionals
Assessment and treatment of sexual health concerns
Referral to a wheelchair accessible clinic:_x000D_
Gynecological health.
Complex erectile dysfunction management.
Services are available to people of any age, sexual orientation or relationship status, as well as family members and caregivers. For more information visit our web page.
</t>
  </si>
  <si>
    <t>Good Samaritan Good Shepherd Lutheran Home
Address4702 Northmount Drive Wetaskiwin, AlbertaT9A 3T3
Tollfree1-855-371-4122 (Home Care Assessment)</t>
  </si>
  <si>
    <t>Bashaw Meadows
Century Park
Clearwater Centre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</si>
  <si>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Good Samaritan Good Shepherd Lutheran Home</t>
  </si>
  <si>
    <t>Northern Lights Regional Health Centre
Address7 Hospital Street Fort McMurray, AlbertaT9H 1P2
Telephone780-791-6158
Tollfree1-888-432-8865 (Alberta Cancer Telephone Line) 
Fax780-791-6241
Emailjillian.mcintosh@ahs.ca
Getting ThereParking map</t>
  </si>
  <si>
    <t>Note
Individuals from different denominations visit on some Sundays.
Effective May 4: The hours of operation of the Alberta Cancer Telephone Line _x000D_
are 8:15 AM to 4:30 PM. Callers can leave a message after hours and will be _x000D_
contacted the next day.
Individuals from different denominations visit on some _x000D_
Sundays.</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</si>
  <si>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Northwest Health Centre 
Queen Elizabeth II Hospital
Slave Lake Healthcare Centre
St. Theresa General Hospital 
St. Therese - St. Paul Healthcare Centre
Westlock Healthcare Centre
Whitecourt Healthcare Centre
William J. Cadzow - Lac La Biche Healthcare Centre</t>
  </si>
  <si>
    <t>Medicine Hat Community Health Services
Address2948 Dunmore Road SEMedicine Hat, AlbertaT1A 8E3
Telephone403-502-8305
Fax403-528-2250</t>
  </si>
  <si>
    <t>Days of the Week
Monday8:00 am - 4:30 pm
Tuesday8:00 am - 6:00 pm
Wednesday8:00 am - 4:30 pm
Thursday8:00 am - 4:30 pm
Friday8:00 am - 4:30 pm
Note
Office closed 12:00 PM (noon) - 1:00 PM.</t>
  </si>
  <si>
    <t>Brooks Health Centre
Lethbridge Professional Building</t>
  </si>
  <si>
    <t>Medicine Hat Community Health Services</t>
  </si>
  <si>
    <t>Drayton Valley Community Health Centre
Address4110 50 Avenue Drayton Valley, AlbertaT7A 0B3
Telephone780-621-4933</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</si>
  <si>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</si>
  <si>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Thorhild Community Health Services
Address302 2 Avenue Thorhild, AlbertaT0A 3J0
Telephone780-398-2671
Fax780-398-3879</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</si>
  <si>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Valleyview Community Health Services
Wabasca / Desmarais Community Health Services
Westlock Community Health Services
Whitecourt Healthcare Centre</t>
  </si>
  <si>
    <t>Fort McMurray and Area - Information / Registration / Appointments
Telephone780-791-5143</t>
  </si>
  <si>
    <t>Days of the Week
Monday8:00 am - 5:00 pm
Tuesday8:00 am - 5:00 pm
Wednesday8:00 am - 5:00 pm
Thursday8:00 am - 5:00 pm
Friday8:00 am - 5:00 pm</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</si>
  <si>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</si>
  <si>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Rutherford Health Centre
Address11153 Ellerslie Road SWEdmonton, AlbertaT6W 0E9
Tollfree1-888-523-0495
Emailfcprogram@sashbear.org
Websitehttp://sashbear.org/en/family-connections
Getting ThereParking and Public transportation available</t>
  </si>
  <si>
    <t>Days of the Week
Tuesday6:00 pm - 8:00 pm
Note
Evening sessions run for 12 weeks.Intensive weekend sessions - 2 full weekend days (8:30 am to 5:00 pm) one month apart are also offered at this location several times per year.</t>
  </si>
  <si>
    <t>North West 1
Northeast Community Health Centre
Red Deer Regional Hospital Centre</t>
  </si>
  <si>
    <t>Rutherford Health Centre</t>
  </si>
  <si>
    <t>Service Providers May Includenurses, occupational therapists (OTs), recreation therapists, social workers
EligibilityAges 18 to 65, with mental health and addiction concerns.  to certain types of housing is dependent on specific housing availability.
Referral NeededProfessional referral by a psychiatrist, mental health professional, general practitioner is preferred. We accept referrals from non AHS professionals, agencies, and support workers. Self- referral can be done in consultation with HOST (Housing Outreach and Stabilization Services) housing consultant specialist (social Worker) as needed. Form is sent to the referral source to be completed and sent to the Housing Outreach and Stabilization team for review.
Service  to HOST (Housing Outreach and Stabilization Services) members and housing information / consultation is through the department reception at 780-342-7754. They will direct the call to a social worker or HOST member. An in person consultation is provided. Complete referral form and may need to complete Housing Providers application form. Referral and Application reviewed. If appropriate, an interview with the individual is conducted. Decision regarding acceptance housing option and move in provided.
Wait TimesDepends on the type of housing or support requested. Housing Inquiries, referrals, and request for consultation through HOST are responded to in 1-2 days. Wait for actual placement in any particular housing option varies greatly depending on availability and a number of other factors.</t>
  </si>
  <si>
    <t>Edmonton 108 Street Building 
Address9942 108 Street NWEdmonton, AlbertaT5K 2J5
Telephone780-342-7754
Fax780-429-7149
Getting ThereOn major bus route Metered parking or Impark lot across the street on corner</t>
  </si>
  <si>
    <t>Days of the Week
Monday8:00 am - 4:15 pm
Tuesday8:00 am - 4:15 pm
Wednesday8:00 am - 4:15 pm
Thursday8:00 am - 4:15 pm
Friday8:00 am - 4:15 pm
Note
Some evenings as needed.</t>
  </si>
  <si>
    <t>/affiliations
Salvation Army, Greater Edmonton Foundation for Housing, E4C, John Howard Society, Forensic Assessment and Community Services, EPIN, Niginan Housing, Excel Society, Golden Age, George Spady Society, Homeward Trust, DiverseCity Housing, Wellness Integrated Support Home, Edmonton People In Need Shelter Society (EPINSS), Greater Edmonton Foundation, Jellinek Society, Niginan Housing Ventures</t>
  </si>
  <si>
    <t xml:space="preserve">Provides collaborative assessment, consultation and assistance in all aspects of obtaining and maintaining safe, integrated, and affordable housing.The housing support team may also provide ongoing recovery oriented support as needed.
This service is provided by AHS and AHS contracted service providers.
</t>
  </si>
  <si>
    <t>Hinton Community Health Services
Address1280A Switzer Drive Hinton, AlbertaT7V 1T5
Telephone780-342-2383
Fax780-342-3348
Getting ThereLocated adjacent to the Hinton Healthcare Centre</t>
  </si>
  <si>
    <t>Days of the Week
Monday8:15 am - 4:30 pm
Tuesday8:15 am - 4:30 pm
Wednesday8:15 am - 4:30 pm
Thursday8:15 am - 4:30 pm
Friday8:15 am - 4:30 pm
Note
Closed for Stat Holidays.</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</si>
  <si>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</si>
  <si>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EligibilityChildren from birth to 17 years, and as per eligibility criteria on the Alberta Referral Directory.
Service Healthcare providers should consult the Alberta Referral Directory for service referral information.
Service LanguagesInterpreter/Translation services</t>
  </si>
  <si>
    <t>Calgary 3820 24 Avenue NW
Address3820 24 Avenue NWCalgary, AlbertaT3B 2X9
Telephone403-428-5320
Fax403-428-5379</t>
  </si>
  <si>
    <t>Calgary 3820 24 Avenue NW</t>
  </si>
  <si>
    <t xml:space="preserve">A multidisciplinary, specialized service that provides therapeutic and medical services to children who have been abused or neglected.In order to ehance their bio-psycho-social health and well-being. Child Abuse Services (CAS) has two streams:
Medical Stream - referrals to the medical stream, for a child who may have experienced physical or sexual abuse, are triaged to determine if medical assessment of the child is warranted.
Psychosocial Stream - assesses the impact of abuse and neglect on the referred child, and provides therapeutic intervention to address emotional, behavioural and relational challenges associated with the abuse and neglect.
The program does not provide investigations of abuse. If you have a concern about a child who is being abused or is at risk for abuse, call the police and Child &amp; Family Services.
</t>
  </si>
  <si>
    <t>High Prairie Health Complex
Address5101 38 Street High Prairie, AlbertaT0G 1E0
Telephone780-523-6471</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</si>
  <si>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</si>
  <si>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Slave Lake Healthcare Centre
Address309 6 Street NESlave Lake, AlbertaT0G 2A2
Telephone780-805-3502
Tollfree1-877-303-2642 (24 hr Help Line)
Fax780-805-3550</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</si>
  <si>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</si>
  <si>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Includepsychologists, recreation therapists, registered nurses (RNs), registered psychiatric nurses (RPN's), social workers, teachers
EligibilityChildren 17 years and younger with acute mental health problems.
Referral NeededYour family doctor can refer you to a psychiatrist on the unit.
Service Referral from physician to on-call psychiatry.
Wait TimesWait time is dependent on bed availabiity.
Service LanguagesInterpreter/Translation services</t>
  </si>
  <si>
    <t>Red Deer Regional Hospital Centre
Address3942 50A Avenue Red Deer, AlbertaT4N 4E7
Telephone403-343-4639
Fax403-309-5740
Getting ThereParking and Public transportation available
Parking map</t>
  </si>
  <si>
    <t>Available
24 hour service
Note
Assessment and crisis services are available 24/7.</t>
  </si>
  <si>
    <t xml:space="preserve">Provides short-term crisis stabilization and assessment in the hospital to children with acute mental health problems.Inpatient unit providing assessment andÂ short-term stabilization of children with acute mental health problems.
</t>
  </si>
  <si>
    <t>Garneau Hall
Address10923 82 Avenue Edmonton, AlbertaT6G 2N9
Telephone780-496-1300 (Community Care Access)</t>
  </si>
  <si>
    <t>Balwin Villa
CapitalCare McConnell Place North
CapitalCare McConnell Place West
Chartwell Aspen House
Chartwell Griesbach
Chartwell Heritage Valley
Chateau Vitaline
Churchill Retirement Community 
Copper Sky Lodge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</si>
  <si>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Garneau Hall</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</si>
  <si>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</si>
  <si>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Includeoutreach workers, registered nurses (RNs), social workers
EligibilityThe following criteria be must:
18 years or older (17 year olds will be considered on a case by case basis)
mental health, addictions or concurrent disorder impacting daily functioning or ability to connect with services in the community
incarceration at a provincial correctional centre or remand facility (unlikely to get federal time)
willingness to access mental health or addictions treatment
potential safety and risk concerns will also be evaluated
Service Referral is needed from a correctional health care worker or a correctional caseworker.
Service LanguagesInterpreter/Translation services</t>
  </si>
  <si>
    <t>East Calgary Health Centre
Address4715 8 Avenue SECalgary, AlbertaT2A 3N4
Telephone403-955-1101
Fax403-955-1190
Getting TherePublic transportation available</t>
  </si>
  <si>
    <t xml:space="preserve">Provides support to individuals with mental health, addictions or concurrent disorders in provincial correctional facilities. Help with release planning and transition back into the community.Provides short-term case management and outreach support for soon to be or newly released provincial offenders. Services include support for connecting to:
mental Health treatment
addictions treatment
financial support
community engagement
employment supports
affordable housing
</t>
  </si>
  <si>
    <t>St. Theresa General Hospital 
Address4506 46 Avenue Fort Vermilion, AlbertaT0H 1N0
Telephone780-841-3229
Fax780-926-3738</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</si>
  <si>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Therese - St. Paul Healthcare Centre
Swan Hills Healthcare Centre
Valleyview Community Health Services
Westlock Provincial Building
Whitecourt Community Health Services</t>
  </si>
  <si>
    <t>Oyen Community Health Services
Address315 3 Avenue EOyen, AlbertaT0J 2J0
Telephone403-526-7473</t>
  </si>
  <si>
    <t>Days of the Week
Monday8:00 am - 4:15 pm
Tuesday8:00 am - 4:15 pm
Wednesday8:00 am - 4:15 pm
Thursday8:00 am - 4:15 pm
Friday8:00 am - 4:15 pm
Note
Please call for information during the hours listed.</t>
  </si>
  <si>
    <t>Bow Island Health Centre
Brooks Health Centre
Medicine Hat 477 3 Street SE</t>
  </si>
  <si>
    <t>Service Providers May Includedoctors, psychiatrists, psychologists, registered nurses (RNs), social workers
Referral NeededDoctors coordinate appointments with this service.
Service This service is coordinated through the doctor's office.Â 
Wait TimesWait times vary.
Service LanguagesInterpreter/Translation services</t>
  </si>
  <si>
    <t>Calgary Zone - Information / Registration / Appointments
Telephone403-955-6832
Getting ThereMap does not signify location of any organization or service.</t>
  </si>
  <si>
    <t xml:space="preserve">This program helps family physicians to assess, treat, and manage their patients' mental and/or behavioural health concerns through regular consultation provided at the physician's practice.This service provides doctors with access to mental health consultants (psychiatric registered nurses, social workers, psychologists, psychiatrists) who take part in a clientâ€™s regular appointments. Mental health consultants can help doctors with:
assessments
treatments
teaching clients
finding mental health resources and making referrals to other services
Doctors who are part of a primary care network can also refer clients with mental or behavioural health concerns to behavioural health consultants. These consultants work in primary care clinics and can make appointments with patients that donâ€™t include the doctor and are shorter than shared care sessions.
</t>
  </si>
  <si>
    <t>Days of the Week
Monday8:15 am - 4:30 pm
Tuesday8:15 am - 4:30 pm
Wednesday8:15 am - 4:30 pm
Thursday8:15 am - 4:30 pm
Friday8:15 am - 4:30 pm
Note
Closed 12:00 PM (noon)Â  to 1:00 PM, and statutory holidays.</t>
  </si>
  <si>
    <t>Athabasca Community Health Services
Barrhead Healthcare Centre
Beaverlodge Community Health Services
Bonnyville New Park Place
Cold Lake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</si>
  <si>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Northern Addictions Centre
Address11333 106 Street Grande Prairie, AlbertaT8V 6T7
Telephone780-538-5210  (Main Reception)
Fax780-538-6359</t>
  </si>
  <si>
    <t>Note
Main Reception Monday â€“ Friday 8:00 AM - 10:00 PMOffice Hours Monday â€“ Friday 8:00 AM - 4:30 PM
Closed on Statutory Holidays</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</si>
  <si>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Northwest Health Centre 
Peace River Provincial Building  
Pine Plaza Building
Seton - Jasper Healthcare Centre
Slave Lake 101 3 Street
St. Paul Provincial Building
Whitecourt Provincial Building</t>
  </si>
  <si>
    <t>Aspen Ridge Lodge
Address1100 20 Avenue Didsbury, AlbertaT0M 0W0
Telephone403-943-1920 (Home Care Assessment)</t>
  </si>
  <si>
    <t>AgeCare Seton
AgeCare SkyPointe
AgeCare Walden Heights
Agecare Sagewood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</si>
  <si>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Aspen Ridge Lodge</t>
  </si>
  <si>
    <t>EligibilityHas a diagnosis that includes at least one complex mental health concern (the secondary diagnosis can include, but is not limited to: a second mental health concern, addictions, developmental delay, FASD, or ASD), and is facing significant challenges in two or more systems, including human services, health or education.
Referral NeededAll referrals to our team are triaged through the Tri-Regional Complex Needs process.</t>
  </si>
  <si>
    <t>Calgary Zone - Information / Registration / Appointments
Telephone403-297-5325
Getting ThereMap does not signify location of any organization or service.</t>
  </si>
  <si>
    <t>/affiliations
Bow River RCSD, Calgary and Area RCSD, Central East Collaborative RCSD</t>
  </si>
  <si>
    <t xml:space="preserve">Mental health navigation and support for children, youth, and their families.Support of children and youth aged 6-20 with dual diagnoses including at least one complex mental health concern. Through a family-centred approach, CONeX works alongside families and caregivers to connect to the best supports for their child / youth across home, school and community settings. Families involved with our team are provided comprehensive, integrated, time limited case management and collaborative support across systems.
</t>
  </si>
  <si>
    <t>Morinville Provincial Building
Address10008 107 Street Morinville, AlbertaT8R 1L3
Telephone780-342-2620
Fax780-939-1216
Getting ThereParking available</t>
  </si>
  <si>
    <t>Beaumont Public Health Centre
Centre Hope Building 
Devon General Hospital
Fort Saskatchewan Community Hospital
Gibbons Health Unit
Good Samaritan Pembina Village
Redwater Health Centre 
St. Albert Provincial Building
Stan Woloshyn Building
Strathcona Community Hospital
Thorsby Public Health Centre
WestView Health Centre - Stony Plain</t>
  </si>
  <si>
    <t>Regional Resource Centre - Medicine Hat Regional Hospital
Address631 Prospect Drive SWMedicine Hat, AlbertaT1A 4C2
Telephone403-502-8648 Ext 1265
Fax403-528-8131
Getting TherePublic transportation available</t>
  </si>
  <si>
    <t>Wetaskiwin Hospital and Care Centre
Address6910 47 Street Wetaskiwin, AlbertaT9A 3N3
Telephone780-312-3657</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</si>
  <si>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Winfield Community Health Centre</t>
  </si>
  <si>
    <t>Wetaskiwin Hospital and Care Centre</t>
  </si>
  <si>
    <t>Service Providers May Includefamily counsellors
EligibilityChildren in kindergarten to grade 12 demonstrating a mental health concern.
Referral NeededReferral to be phoned or faxed in through the child's school.
Wait TimesAn estimated wait time will be provided at the time of appointment booking.</t>
  </si>
  <si>
    <t>Cambrian Heights School
Address640 Northmount  Drive NWCalgary, AlbertaT2K 3J5
Telephone403-943-1500 (Access Mental Health)
Tollfree1-844-943-1500</t>
  </si>
  <si>
    <t>Days of the Week
Monday8:00 am - 4:15 pm
Tuesday8:00 am - 4:15 pm
Wednesday8:00 am - 4:15 pm
Thursday8:00 am - 4:15 pm
Friday8:00 am - 4:15 pm
Note
This program follows the school year calendar.</t>
  </si>
  <si>
    <t>/affiliations
Calgary Board of Education (CBE), Calgary Catholic School Division (CSSD), Rockyview and Palliser School Divisions</t>
  </si>
  <si>
    <t>Cambrian Heights School</t>
  </si>
  <si>
    <t xml:space="preserve">Provides consultation, assessment, treatment and / or referral for services to any child in kindergarten to grade 12 with concerns related to mental health.This service provides children with mental health concerns in grades K-12 and their families with:
consultation
individual assessment
treatment
referrals to community supports
It also offers a variety of clinical consultations to schools as needed.
</t>
  </si>
  <si>
    <t>Westlock Continuing Care Centre
Address10203 96 Street Westlock, AlbertaT7P 2R3
Telephone780-349-3306
Fax780-349-5647</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</si>
  <si>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William J. Cadzow - Lac La Biche Healthcare Centre</t>
  </si>
  <si>
    <t>Westlock Continuing Care Centre</t>
  </si>
  <si>
    <t>Swan Hills Healthcare Centre
Address29 Freeman Drive Swan Hills, AlbertaT0G 2C0
Telephone780-342-2383
Fax780-342-3348</t>
  </si>
  <si>
    <t>Days of the Week
Monday8:30 am - 4:30 pm
Tuesday8:30 am - 4:30 pm
Wednesday8:30 am - 4:30 pm
Thursday8:30 am - 4:30 pm
Note
Closed Stat Holidays and lunch hours.</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</si>
  <si>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Valleyview Community Health Services
Westlock Community Health Services
Whitecourt Healthcare Centre</t>
  </si>
  <si>
    <t>Silver Willow Lodge
Address2007 22 Avenue Nanton, AlbertaT0L 1R0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</si>
  <si>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St. Marguerite Manor
Strafford Foundation Tudor Manor
Sunrise Village High River
Swan Evergreen Village
Wentworth Manor / The Residence and The Court
Whitehorn Village Retirement Community
Wing Kei Greenview</t>
  </si>
  <si>
    <t>Silver Willow Lodge</t>
  </si>
  <si>
    <t>Whitecourt and Area - Information / Registration / Appointments
Tollfree1-844-817-5009</t>
  </si>
  <si>
    <t>Edson and Area - Information / Registration / Appointments
Fox Creek Healthcare Centre
Hinton and Area - Information / Registration / Appointments
Jasper - Information / Registration / Appointments
Mayerthorpe Healthcare Centre</t>
  </si>
  <si>
    <t>Whitecourt and Area - Information / Registration / Appointments</t>
  </si>
  <si>
    <t>Edson Healthcare Centre
Hinton Community Health Services
Lac La Biche Provincial Building
Seton - Jasper Healthcare Centre
Whitecourt Healthcare Centre</t>
  </si>
  <si>
    <t>Good Samaritan Dr. Gerald Zetter Care Centre
Address9649 71 Avenue NWEdmonton, AlbertaT6E 5J2
Telephone780-496-1300 (Community Care Access), 780-431-3901 (Facility)
Fax780-431-3949
Websitehttps://gss.org/services/choice-program/</t>
  </si>
  <si>
    <t>CapitalCare CHOICE Mental Health
CapitalCare CHOICE Norwood
CapitalCare Dickinsfield
CapitalCare Norwood
Good Samaritan Place</t>
  </si>
  <si>
    <t>Good Samaritan Dr. Gerald Zetter Care Centre</t>
  </si>
  <si>
    <t>Lewis Estates Retirement Residence
Address9310 211 Street Edmonton, AlbertaT5T 4N8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</si>
  <si>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</si>
  <si>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Lewis Estates Retirement Residence</t>
  </si>
  <si>
    <t>Athabasca Community Health Services
Address3401 48 Avenue Athabasca, AlbertaT9S 1M7
Telephone780-675-3111
Fax780-675-5404
Getting ThereSouth of Highway 55</t>
  </si>
  <si>
    <t>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</si>
  <si>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Grande Prairie Provincial Building
Address10320 99 Street Grande Prairie, AlbertaT8V 6J4
Telephone780-532-1550
Fax780-513-7500</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</si>
  <si>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</si>
  <si>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Grande Prairie Provincial Building</t>
  </si>
  <si>
    <t>Lac La Biche Provincial Building
Address9503 Beaverhill Road Lac La Biche, AlbertaT0A 2C0
Telephone780-342-2383
Fax 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</si>
  <si>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</si>
  <si>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Pincher Creek Provincial Building 
Address782 Main Street Pincher Creek, AlbertaT0K 1W0
Telephone403-627-1121
Fax403-627-1145</t>
  </si>
  <si>
    <t>Days of the Week
Monday8:15 am - 4:30 pm
Tuesday8:15 am - 4:30 pm
Wednesday8:15 am - 4:30 pm
Thursday8:15 am - 4:30 pm
Friday8:15 am - 4:30 pm
Note
Closed 12:00 PM (Noon) to 12:30 PM</t>
  </si>
  <si>
    <t>Bow Island Provincial Building
Brooks Health Centre
Crowsnest Pass Provincial Building
Fort Macleod Health Centre
Lethbridge Provincial Building
Medicine Hat Provincial Building
Provincial Building
Raymond Health Centre
Taber Health Centre</t>
  </si>
  <si>
    <t xml:space="preserve">Pincher Creek Provincial Building </t>
  </si>
  <si>
    <t>Centre Hope Building 
Address4906 49 Avenue Leduc, AlbertaT9E 6W6
Telephone780-342-2701 (Central Intake), 780-986-2660 (Clinic Information)</t>
  </si>
  <si>
    <t>Edmonton Peace Hills Trust Tower
Fort Saskatchewan Community Hospital
Morinville Provincial Building
Northgate Centre
Rutherford Health Centre
St. Albert Provincial Building
Stan Woloshyn Building
Strathcona Community Hospital</t>
  </si>
  <si>
    <t>Slave Lake Lakeland Centre
Address101 Main Street SESlave Lake, AlbertaT0G 2A3
Telephone780-805-3502
Tollfree310-0000 780-805-3502, 1-877-303-2642 (24 hr Help Line)
Fax780-805-3550</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</si>
  <si>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Spirit River Community Health Services
St. Theresa General Hospital 
St. Therese - St. Paul Healthcare Centre
Swan Hills Healthcare Centre
Valleyview Community Health Services
Westlock Provincial Building
Whitecourt Community Health Services</t>
  </si>
  <si>
    <t>Melcor Centre
Address200 4 Avenue SLethbridge, AlbertaT1J 4C9
Telephone403-388-6727
Fax403-388-6718
AccessibilityMelcor Centre has elevators and wheelchair ramps.</t>
  </si>
  <si>
    <t>Bassano Health Centre
Big Country Hospital
Bow Island Health Centre
Brooks Health Centre
Cardston Health Centre
Chinook Regional Hospital
Coaldale Health Centre
Crowsnest Pass Health Centre
Fort Macleod Health Centre
Medicine Hat Regional Hospital
Milk River Health Centre
Pincher Creek Health Centre
Raymond Health Centre
Taber Health Centre</t>
  </si>
  <si>
    <t>Service Providers May Includesocial workers
Service Call the program coordinator for more information.
FeesThere are fees for some education programs. 
Service LanguagesInterpreter/Translation services</t>
  </si>
  <si>
    <t>Bridgeland Seniors Health Centre
Address1070 McDougall Road NECalgary, AlbertaT2E 7Z2
Telephone403-955-1674
Fax403-955-1584
Emailfamily.caregivercentre@albertahealthservices.ca
Websitehttps://www.albertahealthservices.ca/services/Page13155.aspx</t>
  </si>
  <si>
    <t>Days of the Week
Tuesday8:00 am - 4:00 pm
Wednesday8:00 am - 4:00 pm
Thursday8:00 am - 4:00 pm</t>
  </si>
  <si>
    <t xml:space="preserve">Supports people who provide care for others with health conditions and are not paid.Offers support for caregivers who are not paid including:
connections to healthcare and community services
a supportive person to talk to
education programs
a library of books, videos, and articles
</t>
  </si>
  <si>
    <t>Northgate Centre
Address9499 137 Avenue Edmonton, AlbertaT5E 5R8
Telephone780-342-2701 (Central Intake)
Getting ThereParking and Public transportation available</t>
  </si>
  <si>
    <t>Centre Hope Building 
Edmonton Peace Hills Trust Tower
Fort Saskatchewan Community Hospital
Morinville Provincial Building
Rutherford Health Centre
St. Albert Provincial Building
Stan Woloshyn Building
Strathcona Community Hospital</t>
  </si>
  <si>
    <t>WestView Health Centre - Stony Plain
Address4405 South Park Drive Stony Plain, AlbertaT7Z 2M7
Telephone780-963-8098, 780-968-3267
Tollfree1-866-332-2322 (24 hr Help Line)
Fax780-963-7186</t>
  </si>
  <si>
    <t>Days of the Week
Monday8:00 am - 4:30 pm
Tuesday8:00 am - 4:30 pm
Wednesday8:00 am - 4:30 pm
Thursday8:00 am - 4:30 pm
Friday8:00 am - 4:30 pm
Note
Does NOT accept walk-in clients. Call to book an appointment.</t>
  </si>
  <si>
    <t>Addiction Services Edmonton
Centre Hope Building 
St. Albert Provincial Building
Strathcona Community Hospital</t>
  </si>
  <si>
    <t>Villa Marguerite
Address9810 165 Street NWEdmonton, AlbertaT5P 3S7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</si>
  <si>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Wedman Village Homes
West Country Hearth</t>
  </si>
  <si>
    <t>Villa Marguerite</t>
  </si>
  <si>
    <t>Seton - Jasper Healthcare Centre
Address518 Robson Street Jasper, AlbertaT0E 1E0
Telephone780-852-6640
Tollfree1-844-817-5009 (Central Intake), 1-877-303-2642 (24 hr Help Line)
Fax780-852-3413
Getting ThereLocated behind the Jasper Emergency Services Building.</t>
  </si>
  <si>
    <t>Days of the Week
Monday8:15 am - 4:30 pm
Tuesday8:15 am - 4:30 pm
Wednesday8:15 am - 4:30 pm
Thursday8:15 am - 4:30 pm
Friday8:15 am - 4:30 pm
Note
Closed 12:00 PM to 12:30 PM, and statutory holidays.</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</si>
  <si>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</si>
  <si>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Lifestyle Options Leduc
Address108 West Haven Drive Leduc, AlbertaT9E 0R7
Telephone780-496-1300 (Community Care Access)
Getting ThereCommunity Handi-Bus available</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</si>
  <si>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</si>
  <si>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Lifestyle Options Leduc</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</si>
  <si>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Swan Hills Healthcare Centre
Valleyview Community Health Services
Westlock Provincial Building
Whitecourt Community Health Services</t>
  </si>
  <si>
    <t>Service Providers May Includechild life specialists, mental health therapists, outreach workers, psychiatrists
EligibilityTo be admitted to the program, children must:
be 17 years or younger
have an acute psychiatric illness that canâ€™t be managed in the community or a facility
need to be admitted to the hospital to get diagnosed
consent to elective admission for assessment
Children canâ€™t be part of the program if they:
have health problems that arenâ€™t stable
are physically violent right now
have problems with development or substance use and no mental illness
need forensic services
Service Healthcare providers should consult the Alberta Referral Directory for service referral information.</t>
  </si>
  <si>
    <t>Chinook Regional Hospital
Address960 19 Street SLethbridge, AlbertaT1J 1W5
Telephone403-388-6512
Getting ThereParking map</t>
  </si>
  <si>
    <t xml:space="preserve">Provides care to children who have mental health concerns that affect how they function at home, in school, or in the community.Sees children with mental health concerns who canâ€™t be treated in a community or facility-based program. Offers these services:Â 
help during crisis
seeing a psychiatrist
treatment (one-to-one, family, and group therapy)
teaching to children and their families
referrals to community agencies if needed
satellite school program
</t>
  </si>
  <si>
    <t>WestView Health Centre - Stony Plain
Address4405 South Park Drive Stony Plain, AlbertaT7Z 2M7
Telephone780-963-6151
Fax780-963-7186</t>
  </si>
  <si>
    <t>Beaumont Public Health Centre
Centre Hope Building 
Devon General Hospital
Fort Saskatchewan Community Hospital
Gibbons Health Unit
Good Samaritan Pembina Village
Morinville Provincial Building
Redwater Health Centre 
St. Albert Provincial Building
Stan Woloshyn Building
Strathcona Community Hospital
Thorsby Public Health Centre</t>
  </si>
  <si>
    <t>Big Country Hospital
Address312 3 Street EOyen, AlbertaT0J 2J0
Telephone403-664-4318
Fax403-664-4325</t>
  </si>
  <si>
    <t>Bassano Health Centre
Bow Island Health Centre
Brooks Health Centre
Cardston Health Centre
Chinook Regional Hospital
Coaldale Health Centre
Crowsnest Pass Health Centre
Fort Macleod Health Centre
Medicine Hat Regional Hospital
Melcor Centre
Milk River Health Centre
Pincher Creek Health Centre
Raymond Health Centre
Taber Health Centre</t>
  </si>
  <si>
    <t>Big Country Hospital</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</si>
  <si>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Swan Hills Healthcare Centre
Valleyview Community Health Services
Westlock Provincial Building
Whitecourt Healthcare Centre</t>
  </si>
  <si>
    <t>Slave Lake 101 3 Street
Address101 3 Street Slave Lake, AlbertaT0G 2A4
Telephone780-849-7127
Tollfree310-0000 780-849-7127, 1-866-332-2322 (24 hr Help Line)
Fax780-849-7394</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</si>
  <si>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St. Paul Provincial Building
Whitecourt Provincial Building</t>
  </si>
  <si>
    <t>Service Providers May Includemusic therapists
EligibilityCall for more information.
Service LanguagesInterpreter/Translation services</t>
  </si>
  <si>
    <t xml:space="preserve">The Stollery Music Therapy Program decreases the potential negative impact of a hospital stay. Music has nonverbal, creative, and emotional qualities, it is an excellent tool for self expression.Music therapy helps to:
alleviate anxiety
reduce isolation
promote communicaton
promote self expression
distract during difficult or painful procedures
</t>
  </si>
  <si>
    <t>Service Providers May Includeaddiction counsellors, client care assistants (CCAs), recreation therapists, registered nurses (RNs)
EligibilityPeriod of Abstinence required prior to admission.
Service Healthcare providers should consult the Alberta Referral Directory for service referral information.
FeesRoom and Board fees apply. 
Service LanguagesInterpreter/Translation services</t>
  </si>
  <si>
    <t>Lander Treatment Centre
Address221 Fairway Drive Claresholm, AlbertaT0L 0T0
Telephone403-625-1395 (switchboard), 403-625-5600 (admissions)
Fax403-625-1300</t>
  </si>
  <si>
    <t>Available
24 hour service
Note
Administration hours are Monday to Friday, 8:00 am to 4:30 pm.</t>
  </si>
  <si>
    <t>Lander Treatment Centre</t>
  </si>
  <si>
    <t xml:space="preserve">A 48 bed short-term residential treatment program.Offers an 18-24 day intensive residential addiction treatment program for adult men and women who are experiencing problems as a result of their alcohol use, other drug use, tobacco and gambling.
For more information see our Alberta Health Services, web page.
Â 
</t>
  </si>
  <si>
    <t>Mannville School
Address5002 52 Avenue Mannville, AlbertaT0B 2W0
Telephone780-763-3840</t>
  </si>
  <si>
    <t>Clandonald School
J.R. Robson High School
Kitscoty Elementary School
Kitscoty High School
School of Hope
St. Jerome's School
Vermilion Elementary School
Vermilion Outreach School</t>
  </si>
  <si>
    <t>Mannville School</t>
  </si>
  <si>
    <t>Lake Louise 200 Hector Street
Address200 Hector Street Lake Louise, AlbertaT0L 1E0
Telephone 403-678-3133
Fax403-678-3138</t>
  </si>
  <si>
    <t>Note
Days and hours vary.
Please call 403-678-3133 to arrange your appointment.</t>
  </si>
  <si>
    <t>Canmore Boardwalk Building
Cascade Plaza 
Cochrane Community Health Centre
High River Addiction and Mental Health Clinic 
Hilton Plaza
Youth Substance Use and Mental Health Services</t>
  </si>
  <si>
    <t>Lake Louise 200 Hector Street</t>
  </si>
  <si>
    <t>St. Paul and Area - Information / Registration / Appointments</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</si>
  <si>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Stettler 4837 50 Main Street
Stettler and Area - Information / Registration / Appointments
Sunridge Professional Building 
Transition Place
Wetaskiwin 5010 50 Avenue
Wetaskiwin Provincial Building
YW Sheriff King Home</t>
  </si>
  <si>
    <t>Service Providers May Includepolice officers, registered nurses(RNs)
Service One page referral form, or self refer by telephone for clients and family members.
Service LanguagesInterpreter/Translation services</t>
  </si>
  <si>
    <t>RCMP Grande Prairie Detachment
Address10202 99  Street Grande Prairie, AlbertaT8V 2H4
Telephone780-830-5837, 780-814-2186 (cell)
Fax780-830-5703</t>
  </si>
  <si>
    <t>Note
Hours alternate:
Days 9:00 AM - 5:00 PM and
Evenings, 1:00 PM - 9:00 PM</t>
  </si>
  <si>
    <t>/affiliations
RCMP</t>
  </si>
  <si>
    <t>RCMP Grande Prairie Detachment</t>
  </si>
  <si>
    <t xml:space="preserve">Provides a crisis response team that is able to intervene, assess, and support people having a mental health crisis in the community.A crisis response team that is comprised of an RCMP officer and Registered Psychiatric NurseÂ able to intervene, assess, and support people having a mental health crisis in the community, services include:
referrals to other community agencies
short-term follow-up
conveyance to hospital under Mental Health Act when criteria met
</t>
  </si>
  <si>
    <t>St. Theresa General Hospital 
Address4506 46 Avenue Fort Vermilion, AlbertaT0H 1N0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</si>
  <si>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Therese - St. Paul Healthcare Centre
Swan Hills Healthcare Centre
Valleyview Community Health Services
Westlock Community Health Services
Whitecourt Healthcare Centre</t>
  </si>
  <si>
    <t>Baker Centre, The
Address10025 106 Street NWEdmonton, AlbertaT5J 1G4
Telephone780-488-0851
Fax780-488-1495
Emailinfo@wellnessnetworkedmonton.com
Websitehttp://www.wellnessnetworkedmonton.com</t>
  </si>
  <si>
    <t>Days of the Week
Monday12:00 pm - 4:00 pm
Tuesday12:00 pm - 4:00 pm
Wednesday12:00 pm - 4:00 pm
Thursday12:00 pm - 4:00 pm
Friday12:00 pm - 4:00 pm
Note
Closed statutory holidays.</t>
  </si>
  <si>
    <t>Alex Taylor School
Bonnie Doon Shopping Centre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Transition Place
WSP Place</t>
  </si>
  <si>
    <t>Baker Centre, The</t>
  </si>
  <si>
    <t>Athabasca Community Health Services
Barrhead Healthcare Centre
Beaverlodge Community Health Services
Bonnyville New Park Place
Cold Lake Healthcare Centre
Edson Healthcare Centre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</si>
  <si>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Includemental health clinicians, occupational therapists (OTs), psychiatrists, psychologists, registered nurses(RNs), social workers, therapy specialists
Service Healthcare providers should consult the Alberta Referral Directory for service referral information.
Wait TimesAn estimated wait time will be provided at the time of appointment booking.
Service LanguagesInterpreter/Translation services</t>
  </si>
  <si>
    <t>Sheldon M. Chumir Health Centre
Address1213 4 Street SWCalgary, AlbertaT2R 0X7
Telephone403-943-1500 (Access Mental Health)
Getting ThereParking available
Parking map</t>
  </si>
  <si>
    <t xml:space="preserve">Provides treatment to individuals with a diagnosis of borderline personality disorder experiencing high risk behaviours.Provides treatment for people living in the community who have borderline personality disorder.
Services include:
Support around management of high risk behaviors such self harm, suicidal threats, drug use, prostitution etc
therapy to help people developÂ coping skills to build a life worth living Â 
Treatment is offered one-to-one and in a group setting.
</t>
  </si>
  <si>
    <t>Service Walk-in, email, referralsÂ or phone call message
Service LanguagesInterpreter/Translation services</t>
  </si>
  <si>
    <t>Bill Rees YMCA
Address10211 105 Street Edmonton, AlbertaT5J 1E3
Telephone780-415-0048 (Leave Voice Message)
Tollfree1-866-223-4499
Emailyoungadultservices@ahs.ca
Websitehttp://accessopenminds.ca/our-site/edmonton-ab/</t>
  </si>
  <si>
    <t>Days of the Week
Tuesday12:00 pm - 6:00 pm
Wednesday12:00 pm - 6:00 pm
Thursday12:00 pm - 6:00 pm
Friday12:00 pm - 6:00 pm
Saturday12:00 pm - 6:00 pm</t>
  </si>
  <si>
    <t>/affiliations
internalÂ andÂ externalÂ addictionÂ andÂ mentalÂ healthÂ partners</t>
  </si>
  <si>
    <t>Bill Rees YMCA</t>
  </si>
  <si>
    <t xml:space="preserve">ACCESSÂ OpenÂ MindsÂ isÂ anÂ addictionÂ andÂ mentalÂ healthÂ clinicÂ designedÂ toÂ meetÂ theÂ needsÂ ofÂ transitionÂ ageÂ youngÂ adultsÂ (16-25Â yearsÂ old)Â andÂ theirÂ familiesÂ throughÂ anÂ ageÂ specific,Â youthÂ friendly,Â non-stigmatizingÂ clinicÂ environment.Â Â A range of addiction and mental health services are available through the ACCESS Open Minds clinic.Â  The process focuses on engagement of the young person in treatment options and services that may best be matched to their individual goals. Services include an initial conversation, assessment of the current state and what the young person may want assistance with, and then support until they have connected to a treatment option that meets their needs.Â  Services are grouped into 5 transition domains that include:Â 
personal effectiveness and well-being
community life functioning
employment and career
living situation
educational opportunities
Examples of interventions may include:
occupational therapy assistance with finding seeking and maintaining employment
social worker support to access financial benefits and explore appropriate housing options
psychiatry consultation and prescription of medication for symptom management
recreation therapy group options to provide opportunity for leisure skill development and decrease isolation
addiction counselling to assist in learning anxiety management skills without the use of substances
These are examples and are not a comprehensive list of treatment options.
</t>
  </si>
  <si>
    <t>Claresholm Addiction and Mental Health Clinic
Address4901 2 Street WClaresholm, AlbertaT0L 0T0
Telephone403-625-4068
Getting ThereParking available</t>
  </si>
  <si>
    <t>Days of the Week
Monday8:00 am - 4:30 pm
Tuesday8:00 am - 4:30 pm
Wednesday8:00 am - 4:30 pm
Thursday8:00 am - 4:30 pm
Friday8:00 am - 4:30 pm
Note
Closed from 12:00 Noon to 12:45 PM for lunch. This site offers walk-in appointments.</t>
  </si>
  <si>
    <t>Addiction and Mental Health Clinic - Strathmore
Airdrie Provincial Building
Banff Community Health Centre
Canmore Boardwalk Building
Chestermere Community Health Centre
Cochrane Addiction and Mental Health Clinic 
Didsbury District Health Services
High River Addiction and Mental Health Clinic 
Nanton Community Health Centre
Oilfields General Hospital
Okotoks Mental Health Centre</t>
  </si>
  <si>
    <t>Claresholm Addiction and Mental Health Clinic</t>
  </si>
  <si>
    <t>Sunridge Mall
Address2580 32 Street NECalgary, AlbertaT1Y 7M8
Telephone403-943-1500  (Access Mental Health - Intake)
Getting TherePublic transportation, Community Handi-Bus and parking available</t>
  </si>
  <si>
    <t>Bridgeland Seniors Health Centre
Sheldon M. Chumir Health Centre
South Calgary Health Centre</t>
  </si>
  <si>
    <t>Sunridge Mall</t>
  </si>
  <si>
    <t>Okotoks Health and Wellness Centre
Address11 Cimarron Common Okotoks, AlbertaT1S 2E9
Telephone403-995-2600
Fax403-995-5382</t>
  </si>
  <si>
    <t>Days of the Week
Thursday12:00 pm - 6:00 pm
Note
Closed on statutory holidays.</t>
  </si>
  <si>
    <t>East Calgary Health Centre
Sheldon M. Chumir Health Centre
South Calgary Health Centre
Sunridge Professional Building</t>
  </si>
  <si>
    <t>St. Albert Provincial Building
Address30 Sir Winston Churchill Avenue St. Albert, AlbertaT8N 3A3
Telephone780-342-2701 (Central Intake), 780-342-1410 (Clinic Information)
Getting ThereParking available</t>
  </si>
  <si>
    <t>Centre Hope Building 
Edmonton Peace Hills Trust Tower
Fort Saskatchewan Community Hospital
Morinville Provincial Building
Northgate Centre
Rutherford Health Centre
Stan Woloshyn Building
Strathcona Community Hospital</t>
  </si>
  <si>
    <t>Ponoka Hospital and Care Centre
Address5800 57 Avenue Ponoka, AlbertaT4J 1P1
Telephone403-783-3341</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</si>
  <si>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</si>
  <si>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Ponoka Hospital and Care Centre</t>
  </si>
  <si>
    <t>Canmore General Hospital
Address1100 Hospital Place Canmore, AlbertaT1W 1N2
Telephone403-678-5536 (switchboard)</t>
  </si>
  <si>
    <t>Airdrie Community Health Centre
Cochrane Community Health Centre
Mineral Springs Hospital
Okotoks Health and Wellness Centre
Sheldon M. Chumir Health Centre
South Calgary Health Centre</t>
  </si>
  <si>
    <t>Hanna Health Centre
Address904 Centre Street NHanna, AlbertaT0J 1P0
Telephone403 854-5276
Tollfree24 Hour Mental Health Help Line 1 877-303-2642, 24 Hour Addiction Help Line 1 866-332-2322
Fax403-854-5280</t>
  </si>
  <si>
    <t>Camrose Addiction and Mental Health Clinic
Consort Community Health Centre
Coronation Hospital and Care Centre
Drayton Valley Community Health Centre
Drumheller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</si>
  <si>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Hanna Health Centre</t>
  </si>
  <si>
    <t>Sunset Manor
Address3312 52 Avenue Innisfail, AlbertaT4G 0C3
Tollfree1-855-371-4122 (Home Care Assessment)</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</si>
  <si>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Timberstone Mews
Villa Marie
West Park Lodge</t>
  </si>
  <si>
    <t>Sunset Manor</t>
  </si>
  <si>
    <t>Slave Lake Healthcare Centre
Address309 6 Street NESlave Lake, AlbertaT0G 2A2
Telephone780-805-3502
Fax780-805-3550</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</si>
  <si>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</si>
  <si>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Includepsychiatrists, psychodynamic therapists, psychologists, psychotherapists, registered nurse (RNs), relationship therapists, social workers
EligibilityAdults age 18 and over who are:
motivated to attend the program
open to working with the program
Service Healthcare providers should consult the Alberta Referral Directory for service referral information.
Wait TimesAn estimated wait time will be provided at the time of appointment booking.
Service LanguagesInterpreter/Translation services</t>
  </si>
  <si>
    <t>Grey Nuns Community Hospital
Address1100  Youville  Drive NWEdmonton, AlbertaT6L 5X8
Telephone780-735-7513
Fax780-735-7298
Getting TherePublic transportation available</t>
  </si>
  <si>
    <t>Days of the Week
Tuesday9:30 am - 3:00 pm
Wednesday9:30 am - 3:00 pm
Thursday9:30 am - 3:00 pm
Friday9:30 am - 3:00 pm</t>
  </si>
  <si>
    <t xml:space="preserve">Provides a group program for adults with personal issues and offers referrals to support services.This program offers daytime groups, which have a focus on understanding life long patterns, learning new information and skills, developing insights and dealing with concerns.
Services offered may include:
Group day program
Emotional Regulation Group
For more information see our website
</t>
  </si>
  <si>
    <t>Peter Lougheed Centre
Address3500 26 Avenue NECalgary, AlbertaT1Y 6J4
Telephone403-943-5725 (Unit 25), 403-943-5727 (Unit 27)
Websitehttp://www.albertahealthservices.ca
Getting ThereParking available
Parking map</t>
  </si>
  <si>
    <t>Sage Hill Retirement Residence
Address6 Sage Hills  Gardens NWCalgary, AlbertaT3R 1J1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</si>
  <si>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Scenic Acres Retirement Residence
Silver Willow Lodge
St. Marguerite Manor
Strafford Foundation Tudor Manor
Sunrise Village High River
Swan Evergreen Village
Wentworth Manor / The Residence and The Court
Whitehorn Village Retirement Community
Wing Kei Greenview</t>
  </si>
  <si>
    <t>Sage Hill Retirement Residence</t>
  </si>
  <si>
    <t>St. Theresa General Hospital 
Address4506 46 Avenue Fort Vermilion, AlbertaT0H 1N0
Telephone780-927-3761</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</si>
  <si>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Therese - St. Paul Healthcare Centre
Westlock Healthcare Centre
Whitecourt Healthcare Centre
William J. Cadzow - Lac La Biche Healthcare Centre</t>
  </si>
  <si>
    <t>Wainwright High School
Address800 6 Street Wainwright, AlbertaT9W 2R5
Telephone780-806-6969
Fax780-842-3859
Emailariel.haubrich@btps.ca
Websitehttp://www.wainwrightonwellness.com</t>
  </si>
  <si>
    <t>Irma School
Wainwright Elementary School</t>
  </si>
  <si>
    <t>Wainwright High School</t>
  </si>
  <si>
    <t>School of Hope
Address5212 Railway Avenue Vermilion, AlbertaT9X 1C2
Telephone780-853-2188</t>
  </si>
  <si>
    <t>Clandonald School
J.R. Robson High School
Kitscoty Elementary School
Kitscoty High School
Mannville School
St. Jerome's School
Vermilion Elementary School
Vermilion Outreach School</t>
  </si>
  <si>
    <t>School of Hope</t>
  </si>
  <si>
    <t>Brooks Health Centre
Address440 3 Street EBrooks, AlbertaT1R 0G5
Telephone403-501-3862
Getting ThereCity provided special transit</t>
  </si>
  <si>
    <t>Bow Island Health Centre
Medicine Hat 477 3 Street SE
Oyen Community Health Services</t>
  </si>
  <si>
    <t>Powell Building
Address10015 98 Street Peace River, AlbertaT8S 1K5
Telephone780-624-6151
Fax780-624-6565
TTY780-451-9999; After hours 1-866-266-0293</t>
  </si>
  <si>
    <t>Peace River Provincial Building</t>
  </si>
  <si>
    <t>Oilfields General Hospital
Address717 Government  Road Black Diamond, AlbertaT0L 0H0
Telephone403-933-6505
Fax403-933-2031
Getting ThereParking available</t>
  </si>
  <si>
    <t>Days of the Week
Monday8:00 am - 4:30 pm
Tuesday8:00 am - 4:30 pm
Wednesday8:00 am - 4:30 pm
Thursday8:00 am - 4:30 pm
Friday8:00 am - 4:30 pm
Note
24 hour service. Please call office number.</t>
  </si>
  <si>
    <t>Alberta Children's Hospital
Canmore General Hospital
Claresholm General Hospital
Foothills Medical Centre
High River General Hospital
Mineral Springs Hospital
Peter Lougheed Centre
Rockyview General Hospital
South Health Campus
Tom Baker Cancer Centre
Vulcan Community Health Centre</t>
  </si>
  <si>
    <t>Alberta Children's Hospital
Address28 Oki Drive NWCalgary, AlbertaT3B 6A8
Telephone403-955-7610
AccessibilityMain entranceLifts
Getting ThereParking map</t>
  </si>
  <si>
    <t>Days of the Week
Monday8:00 am - 11:00 pm
Tuesday8:00 am - 11:00 pm
Wednesday8:00 am - 11:00 pm
Thursday8:00 am - 11:00 pm
Friday8:00 am - 11:00 pm
Saturday8:00 am - 11:00 pm
Sunday8:00 am - 11:00 pm</t>
  </si>
  <si>
    <t>Whitecourt Provincial Building
Address5020 52 Avenue Whitecourt, AlbertaT7S 1N2
Telephone780-778-7123
Tollfree310-0000 780-778-7123, 1-866-332-2322 (24 hour Help Line) 
Fax780-778-7220</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</si>
  <si>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t>
  </si>
  <si>
    <t>Whitecourt Provincial Building</t>
  </si>
  <si>
    <t>Edmonton 12325 140 Street
Address12325 140 Street NWEdmonton, AlbertaT5L 2C9
Getting ThereParking available</t>
  </si>
  <si>
    <t>Devon General Hospital
Address101 Erie Street SDevon, AlbertaT9G 1A6
Telephone780-342-7000 (Switchboard)
AccessibilityEntrance</t>
  </si>
  <si>
    <t>Note
Local Community clergy or spiritual care volunteers for inpatients. Daytime only.</t>
  </si>
  <si>
    <t>Alberta Hospital Edmonton
Cross Cancer Institute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</si>
  <si>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Service Providers May Includegeriatricians, occupational therapists (OTs), physical therapists (PTs), registered nurses (RNs), therapy assistants
EligibilityAge 65 and over and living in Alberta, orÂ  younger than age 65 who suffer with a geriatric syndrome i.e. early onset dementia.
Referral NeededReferrals are received from family doctors, Home Care Nurses, family members.
Service Healthcare providers should consult the Alberta Referral Directory for service referral information.</t>
  </si>
  <si>
    <t>University of Alberta Hospital
Address8440 112 Street NWEdmonton, AlbertaT6G 2B7
Telephone780-407-6947
Fax780-407-3976
Getting ThereParking and Public transportation available
Parking map</t>
  </si>
  <si>
    <t>/affiliations
University of Alberta Seniors' Clinic</t>
  </si>
  <si>
    <t xml:space="preserve">Provides assessments for older people in the hospital with complex medical needs.Offers assessments for older people in the hospital with complex medical needs, including:
dementia
delerium
polypharmacy (taking many different kinds of medicine)
incontinence
functional decline
falls
depression
Provides treatment suggestions, assessments, and referrals for further rehabilitation with the Glenrose Specialized Geriatric Rehabilitation program.
</t>
  </si>
  <si>
    <t>Service Providers May Includelicensed practical nurses (LPNs), occupational therapists (OTs), outreach workers, psychiatrists, psychologists, registered nurses (RNs), psychiatric nurses
Service Healthcare providers should consult the Alberta Referral Directory for service referral information.
Wait TimesAn estimated wait time will be provided at the time of appointment booking.
Service LanguagesInterpreter/Translation services</t>
  </si>
  <si>
    <t>Calgary Zone - Information / Registration / Appointments
Telephone403-943-1500 (Access Mental Health)
Getting ThereMap does not signify location of any organization or service.</t>
  </si>
  <si>
    <t>Days of the Week
Monday9:00 am - 5:00 pm
Tuesday9:00 am - 5:00 pm
Wednesday9:00 am - 5:00 pm
Thursday9:00 am - 5:00 pm
Friday9:00 am - 5:00 pm</t>
  </si>
  <si>
    <t xml:space="preserve">Short term intensive mental health outreach services for adults with a psychiatric diagnosis who are at risk for deteriorating during critical treatment transition points.Our services provides outreach and group support in these areas:
promoting overall health and wellness
monitoring mental status and working with client's mental health treatment team
maintaining access and adherence to medication
advocating for needed services
developing life skills
accessing social and recreational supports
transportation training
ensuring a smooth transition to long-term mental health follow-up
</t>
  </si>
  <si>
    <t>Points West Living Slave Lake
Address105 6 Avenue NESlave Lake, AlbertaT0G 2A2
Telephone780-843-2383
Tollfree1-855-371-4122 (Continuing Care Access)
Fax1-855-776-3805 (Continuing Care Access)</t>
  </si>
  <si>
    <t>Bar-V-Nook Manor
Edson Healthcare Centre
Grande Prairie Care Centre
Heimstaed Lodge
Hinton Continuing Care Centre
J. B. Wood Continuing Care Centre
Manoir du Lac 
Points West Living Cold Lake
Points West Living Grande Prairie
Points West Living Lac La Biche
Points West Living Peace River
Stone Brook
Wild Rose Assisted Living</t>
  </si>
  <si>
    <t>Points West Living Slave Lake</t>
  </si>
  <si>
    <t>Vulcan Community Health Centre
Address610 Elizabeth Street SVulcan, AlbertaT0L 2B0
Telephone403-485-3356</t>
  </si>
  <si>
    <t>Days of the Week
Monday8:00 am - 4:30 pm
Tuesday8:00 am - 4:30 pm
Wednesday8:00 am - 4:30 pm
Thursday8:00 am - 4:30 pm
Note
Closed between 12:00 PM to 12:45 PM for lunch.</t>
  </si>
  <si>
    <t>Banff Community Health Centre
Canmore Boardwalk Building
Claresholm Addiction and Mental Health Clinic
Cochrane Community Health Centre</t>
  </si>
  <si>
    <t>Vulcan Community Health Centre</t>
  </si>
  <si>
    <t>Service Providers May Includepsychiatrists
EligibilityAdults with:
Medical status: patients must be medically stable
Psychiatric Status: no acting out or physical aggression
Service Physician referral is required and applications must be completed with supporting documents and include when the patient was assessed by Transition Services, who the Transition Services Worker is and where they are waitlisted for (Transition).
Service LanguagesInterpreter/Translation services</t>
  </si>
  <si>
    <t>Claresholm Centre for Mental Health &amp; Addictions 
Address139 43 Avenue WClaresholm, AlbertaT0L 0T0
Telephone403-682-3527
Fax403-625-3051
Websitehttp://www.ahs.ca/claresholmcentre
Getting ThereParking available</t>
  </si>
  <si>
    <t xml:space="preserve">Claresholm Centre for Mental Health &amp; Addictions </t>
  </si>
  <si>
    <t xml:space="preserve">Psychiatric consultation is provided to family physicians who have patients awaiting placement in a supported living / long term facility.The Transitions Program works within a shared care model whereby patients are managed by the local family physicians with psychiatric consultation, as required.Â  It serves patients with mental health diagnoses who have been assessed and approved by Transitions Services and are awaiting placement in a supported living/long term facility. The unit utilizes a patient tracking security system which can accommodate certain types of patient who have a tendency to wander or elope. Due to environmental and staffing constraints however, the unit cannot accommodate patients who have unprovoked or unanticipated aggressive behavior towards self or others.Â 
</t>
  </si>
  <si>
    <t>Foothills Medical Centre
Address1403 29 Street NWCalgary, AlbertaT2N 2T9
Telephone403-944-1321  Unit 21, 403-944-1322   Unit 22, 403-944-8298   Unit 23
Websitewww.albertahealthservices.ca
Getting ThereParking available
Parking map</t>
  </si>
  <si>
    <t>Days of the Week
Monday8:30 am - 4:30 pm
Tuesday8:30 am - 4:30 pm
Wednesday8:30 am - 4:30 pm
Thursday8:30 am - 4:30 pm
Note
Closed_x000D_
12:00 PM to 1:00 PM, Fridays and statutory holidays.</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</si>
  <si>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Valleyview Community Health Services
Westlock Provincial Building
Whitecourt Community Health Services</t>
  </si>
  <si>
    <t>Wainwright Health Centre
Address530 6 Avenue Wainwright, AlbertaT9W 1R6
Telephone780-842-4077
Fax780-842-3151</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</si>
  <si>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Wetaskiwin Hospital and Care Centre
Winfield Community Health Centre</t>
  </si>
  <si>
    <t>Fairview Health Complex
Grande Prairie Nordic Court 
High Prairie Health Complex
Northern Lights Regional Health Centre
Northwest Health Centre 
Pine Plaza Building
St. Therese - St. Paul Healthcare Centre</t>
  </si>
  <si>
    <t>Service Providers May Includeaddiction counsellors, pharmacists, psychiatrists, recreation therapists (RTs), registered nurses (RNs), social workers
Referral NeededMay be admitted through the Emergency Department following consultation with a psychiatrist. Direct admissions may also be made through a psychiatrists office.
Wait TimesWait times varies.
Service LanguagesInterpreter/Translation services</t>
  </si>
  <si>
    <t>Chinook Regional Hospital
Address960 19 Street SLethbridge, AlbertaT1J 1W5
Telephone403-388-6111
Getting ThereParking map</t>
  </si>
  <si>
    <t xml:space="preserve">Offers inpatient assessment and treatment for individuals who have acute and/or ongoing mental health concerns.Provides a safe environment and care to adults with a range of mental illnesses and with concurrent substance abuse challenges whose mental illnesses need immediate stabilization. Following stabilization, patients are prepared for discharge and transition to the community with referrals for follow-up with appropriate community addiction and mental health medical and social services, as required.
</t>
  </si>
  <si>
    <t>Service Providers May Includebehavioural therapists, occupational therapists (OTs), psychologists, registered nurses (RNs), social workers
EligibilityDevelopmental disability
Wait TimesAn estimated wait time will be provided at the time of appointment booking.
Service LanguagesInterpreter/Translation services</t>
  </si>
  <si>
    <t>Edmonton Park Plaza
Address10611 98 Avenue NWEdmonton, AlbertaT5K 2P7
Telephone780-342-5500 (Coast Intake Line)</t>
  </si>
  <si>
    <t>Days of the Week
Monday8:30 am - 4:15 pm
Tuesday8:30 am - 4:15 pm
Wednesday8:30 am - 4:15 pm
Thursday8:30 am - 4:15 pm
Friday8:30 am - 4:15 pm</t>
  </si>
  <si>
    <t>/affiliations
Alberta Disability Services</t>
  </si>
  <si>
    <t>Edmonton Park Plaza</t>
  </si>
  <si>
    <t xml:space="preserve">Aims to meet the needs of people with developmental disabilities who have complex service needs.OffersÂ a multidisciplinary care team that is enabling and enhancing the communityâ€™s capacity to provide effective and enriched supports to individuals with developmental disabilities. Areas that are targeted include:
providing increased supports to service providers during times of crisis
developing preventative strategies to avoid the need for service providers to initiate a critical response
empowering service providers with the ability to maintain and implement high quality service provision
</t>
  </si>
  <si>
    <t>Brooks 403  2 Avenue W
Address403 2 Avenue Brooks, AlbertaT1R 0S3
Telephone403-362-1265
Tollfree1-866-332-2322 (24 hour Help Line)
Fax403-362-1248</t>
  </si>
  <si>
    <t>Days of the Week
Monday8:00 am - 4:30 pm
Tuesday8:00 am - 4:30 pm
Wednesday8:00 am - 4:30 pm
Thursday8:00 am - 4:30 pm
Friday8:00 am - 4:30 pm
Note
Closed 12:00 PM (Noon) to 12:45 PM.</t>
  </si>
  <si>
    <t>Cardston Provincial Building 
Crowsnest Pass Provincial Building
Medicine Hat Provincial Building
Melcor Centre
Oyen Community Health Services
Taber Health Centre</t>
  </si>
  <si>
    <t>Alberta Children's Hospital
Address28 Oki Drive NWCalgary, AlbertaT3B 6A8
Telephone403-955-7700
AccessibilityMain entranceLifts
Getting ThereParking map</t>
  </si>
  <si>
    <t>Foothills Medical Centre
Richmond Road Diagnostic and Treatment Centre</t>
  </si>
  <si>
    <t>Brooks Health Centre
Address440 3 Street EBrooks, AlbertaT1R 0G5
Telephone403-793-6655
Fax403-793-6656
Getting ThereCity provided special transit</t>
  </si>
  <si>
    <t>Days of the Week
Monday8:00 am - 4:30 pm
Tuesday8:00 am - 4:30 pm
Wednesday8:00 am - 4:30 pm
Thursday8:00 am - 4:30 pm
Friday8:00 am - 4:30 pm
Note
Closed 12:00 PM (Noon) to 12:45 PM</t>
  </si>
  <si>
    <t>Bow Island Provincial Building
Crowsnest Pass Provincial Building
Fort Macleod Health Centre
Lethbridge Provincial Building
Medicine Hat Provincial Building
Pincher Creek Provincial Building 
Provincial Building
Raymond Health Centre
Taber Health Centre</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</si>
  <si>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t>
  </si>
  <si>
    <t>Strathcona Community Hospital
Address9000 Emerald Drive Sherwood Park, AlbertaT8H 0J3
Telephone780-342-3373
Fax780-342-3649</t>
  </si>
  <si>
    <t>Beaumont Public Health Centre
Centre Hope Building 
Devon General Hospital
Fort Saskatchewan Community Hospital
Gibbons Health Unit
Good Samaritan Pembina Village
Morinville Provincial Building
Redwater Health Centre 
St. Albert Provincial Building
Stan Woloshyn Building
Thorsby Public Health Centre
WestView Health Centre - Stony Plain</t>
  </si>
  <si>
    <t>Service Providers May Includedoctors, mental health clinicians, occupational therapists (OTs), pharmacists, physical therapists (PTs), psychologists, registered nurses (RNs), social workers, speech-language pathologists (SLPs)
Service More information available on our website
Service LanguagesInterpreter/Translation services</t>
  </si>
  <si>
    <t>Richmond Road Diagnostic and Treatment Centre
Address1820 Richmond Road SWCalgary, AlbertaT2T 5C7
Telephone403-955-4747
Fax403-955-8184
EmailCES@ahs.ca
Websitehttp://fcrc.albertahealthservices.ca/ces.php 
Getting ThereParking available
Parking map</t>
  </si>
  <si>
    <t>Days of the Week
Monday8:45 am - 5:00 pm
Tuesday8:45 am - 5:00 pm
Wednesday8:45 am - 5:00 pm
Thursday8:45 am - 5:00 pm
Friday8:45 am - 5:00 pm</t>
  </si>
  <si>
    <t xml:space="preserve">Offers free information sessions for the public on child and adolescent health and mental health topics.Offers free information sessions on child and adolescent health and mental health topics for the public. In addition to face-to-face presentations, certain topics are available via Video-Conferencing, Audioline, Online, and/or Webinar.
Additional Information
Sessions List and Registration Form
</t>
  </si>
  <si>
    <t>Service Providers May Includechild life specialists, family therapists, mental health clinicians, mental health therapy assistants, occupational therapists, psychiatrists, psychologists, psychometrists, registered nurses (RNs), speech language pathologists (SLPs), teachers
EligibilityChild must have:
severe emotional, cognitive and/or other mental health symptoms with significant difficulty functioning in regular day to day activities (i.e school, community)
a comprehensive mental health assessment
a history of outpatient mental health services that have had limited success
a parent or legal guardian who consents and is able to be actively involved
transportation to the program
community service involvement must be available after discharge
Service Healthcare providers should consult the Alberta Referral Directory for service referral information.
Intake coordinated through  Mental Health. Call for more information.
Wait TimesAn estimated wait time will be provided at the time of appointment booking.</t>
  </si>
  <si>
    <t>Alberta Children's Hospital
Address28 Oki Drive NWCalgary, AlbertaT3B 6A8
Telephone403-943-1500 Ext 1 (Access Mental Health)
Fax403-943-9044
Emailmental.health@albertahealthservices,ca
AccessibilityMain entranceLifts
Getting ThereParking map</t>
  </si>
  <si>
    <t>Days of the Week
Monday8:00 am - 4:15 pm
Tuesday8:00 am - 4:15 pm
Wednesday8:00 am - 4:15 pm
Thursday8:00 am - 4:15 pm
Friday8:00 am - 4:15 pm
Note
Clients attend program daily from 8:30 AM to 3:15 PM.</t>
  </si>
  <si>
    <t>/affiliations
Calgary Board of Education</t>
  </si>
  <si>
    <t xml:space="preserve">A day treatment program for children in Grades 3 to 7 who have several mental health issues affecting their everyday activities. The Calgary Board of Education (CBE) provides on-site classrooms.The voluntary treatment program includes:
one to one and family therapy
psychiatric consultation
structured groups
psychotherapy groups
mental health assessment
stabilization
Caregivers are expected to attend regular family therapy sessions and case conferences.
</t>
  </si>
  <si>
    <t>Glenrose Rehabilitation Hospital 
Address10230 111 Avenue NWEdmonton, AlbertaT5G 0B7
Telephone780-735-7999 (Switchboard)
AccessibilityParking stalls
Getting ThereParking available
Public transportation available
Parking map</t>
  </si>
  <si>
    <t>Alberta Hospital Edmonton
Cross Cancer Institute
Devon General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</si>
  <si>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Pincher Creek Provincial Building 
Address782 Main Street Pincher Creek, AlbertaT0K 1W0
Telephone403-562-5041 (Book Appointments)</t>
  </si>
  <si>
    <t>Days of the Week
Thursday1:00 pm - 4:30 pm
Friday8:15 am - 4:30 pm
Note
Available MOST but not all Thursday afternoons. Call to book appointment.</t>
  </si>
  <si>
    <t>Brooks 403  2 Avenue W
Cardston Provincial Building 
Crowsnest Pass Provincial Building
Lethbridge Provincial Building
Medicine Hat Provincial Building
Oyen Community Health Services
Taber Health Centre</t>
  </si>
  <si>
    <t>Service Providers May Includedietitians, doctors, licensed practical nurse (LPNs), occupational therapists (OTs), pharmacists, physical therapists (PTs), recreation therapists (RTs), registered nurses (RNs), social workers
Service Healthcare providers should consult the Alberta Referral Directory for service referral information.
Wait TimesBetween 1 to 2 weeks.
Service LanguagesInterpreter/Translation services</t>
  </si>
  <si>
    <t>Glenrose Rehabilitation Hospital 
Address10230 111 Avenue NWEdmonton, AlbertaT5G 0B7
Telephone780-735-8820
Fax780-735-8821
AccessibilityParking stalls
Getting ThereParking available
Public transportation available
Parking map</t>
  </si>
  <si>
    <t>Available
24 hour service
Note
.</t>
  </si>
  <si>
    <t xml:space="preserve">Provides assessment, treatment, and rehabilitation for older adults with symptoms of dementia.This inpatient program offers assessment and treatment of older adults with symptoms of dementia, including:
problems with thinking
problems with behaviour
mental symptoms relating to dementia
The goal of this program is to help a person maintain or regain the ability to do their everyday activities through interdisciplinary assessment and treatment plans.
Clients are usually in the program a minimum of 35-40 days. This program is closely linked with other Glenrose Geriatric Rehabilitation and Psychiatry programs.
</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</si>
  <si>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</si>
  <si>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Central Peace Health Complex
Address5010 45 Avenue Spirit River, AlbertaT0H 3G0
Telephone780-538-5160 Addiction and Mental Health Grande Prairie
Fax780-538-6279 Addiction and Mental Health Grande Prairie</t>
  </si>
  <si>
    <t>Athabasca Community Health Services
Barrhead Healthcare Centre
Beaverlodge Community Health Services
Bonnyville New Park Place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</si>
  <si>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Service Providers May Includepsychiatrists, registered nurses (RNs), registered psychiatric nurses (RPNs)
EligibilityFor people 65 years and older with a psychiatric illness.
Service Healthcare providers should consult the Alberta Referral Directory for service referral information.
A referral from a doctor or psychiatrist is needed.
Wait TimesAn estimated wait time will be provided at the time of appointment booking.
Service LanguagesInterpreter/Translation services</t>
  </si>
  <si>
    <t>Glenrose Rehabilitation Hospital 
Address10230 111 Avenue NWEdmonton, AlbertaT5G 0B7
Telephone780-735-8880
AccessibilityParking stalls
Getting ThereParking available
Public transportation available
Parking map</t>
  </si>
  <si>
    <t>Days of the Week
Monday8:00 am - 4:00 pm
Tuesday8:00 am - 4:00 pm
Wednesday8:00 am - 4:00 pm
Thursday8:00 am - 4:00 pm
Friday8:00 am - 4:00 pm
Note
Closed during STAT holidays.</t>
  </si>
  <si>
    <t xml:space="preserve">Provides assessment and treatment for older adults with mental health concerns who are not in the hospital.Offers services for older adults with mental health concerns including:
assessment
creating and carrying out treatment plans
providing ongoing support and follow up for patients and their families
</t>
  </si>
  <si>
    <t>Jasper - Information / Registration / Appointments
Telephone780-852-6538 (Coordinator)
Websitehttp://www.jaspercommunityteam.ca/outreach.html</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</si>
  <si>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</si>
  <si>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Kitscoty Elementary School
Address4910 51 Street Kitscoty, AlbertaT0B 2P0
Telephone780-846-2822
Fax780-846-2215</t>
  </si>
  <si>
    <t>Clandonald School
J.R. Robson High School
Kitscoty High School
Mannville School
School of Hope
St. Jerome's School
Vermilion Elementary School
Vermilion Outreach School</t>
  </si>
  <si>
    <t>Kitscoty Elementary School</t>
  </si>
  <si>
    <t>Northgate Centre
Address9499 137 Avenue Edmonton, AlbertaT5E 5R8
Telephone780-342-2800
Getting ThereParking and Public transportation available</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</si>
  <si>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Rutherford Health Centre
Spruce Grove Health Unit
St. Albert Public Health Centre
Strathcona County Health Centre
Thorsby Public Health Centre
West Jasper Place Public Health Centre
WestView Health Centre - Stony Plain
Westmount Shopping Centre</t>
  </si>
  <si>
    <t>Service Providers May Includecrisis counsellors, doctors, police officers, registered nurses (RNs)
EligibilityAvailable to males and females aged 14 and older who have been sexually assaulted.
Patients aged 13 and younger will be referred to the Sexual Assualt ResponseTeam Pediatrician available through the Red Deer Regional Hospital Centre's Emergency Department.
Service Go to the Red Deer Regional Hospital Centre's Emergency Department and tell the triage nurse you would like to see the Sexual Assault Response Team.</t>
  </si>
  <si>
    <t>Red Deer Regional Hospital Centre
Address3942 50A Avenue Red Deer, AlbertaT4N 4E7
Telephone403-343-4444
Getting ThereParking and Public transportation available
Parking map</t>
  </si>
  <si>
    <t>/affiliations
Central Alberta Sexual Assault Support Centre</t>
  </si>
  <si>
    <t xml:space="preserve">Offering victims of sexual assault (14 years &amp; older) compassionate, confidential and non-judgmental care by nurses with specialized education in sexual assault care.Providing forensic examinations within 7 days of the assault. The examiner will:
coordinate medical treatment
forensic examinations
police involvment as per the patient's wishes
counselling and follow up
</t>
  </si>
  <si>
    <t>Service Providers May Includelicensed practical nurses (LPNs), mental health promotion facilitators, mental health therapy assistants, psychologists, psychology assistants, recreational therapists, recreational therapy assistants, registered nurses (RNs), registered psychiatric nurses, social workers
EligibilityIndividuals (adults) requiring community support to maintain wellness, that have do not have current access to supports or resources in the community.
Service Healthcare providers should consult the Alberta Referral Directory for service referral information.
Physician, agency or self referrals are accepted. Call or walk in to book an appointment.
Service LanguagesInterpreter/Translation services</t>
  </si>
  <si>
    <t>Medicine Hat Regional Hospital
Address666 5 Street SWMedicine Hat, AlbertaT1A 4H6
Telephone403-529-8030
AccessibilityMain entranceParking stalls and washrooms
Getting ThereParking available
Parking map</t>
  </si>
  <si>
    <t xml:space="preserve">Community based programs for clients with addiction, mental health issues, or both.There are several programs offered at Addiction and Mental Health Outreach Services:
Community Support Program
Seniors Program
Recreation Program
Depot Clinic
Community Treatment Orders
Psychology Services
Groupworks
Drop-in Services
Empower You Group
</t>
  </si>
  <si>
    <t>Athabasca Community Health Services
Address3401 48 Avenue Athabasca, AlbertaT9S 1M7
Telephone780-675-5841
Tollfree310-0000 780-675-5841, 1-866-332-2322 (24 hr Help Line)
Fax780-675-3111
Getting ThereSouth of Highway 55</t>
  </si>
  <si>
    <t>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</si>
  <si>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Lethbridge Provincial Building
Address200 5 Avenue SLethbridge, AlbertaT1J 4L1
Telephone403-388-6547
Fax403-528-8131</t>
  </si>
  <si>
    <t>Centre of Hope
Edmonton 108 Street Building 
Fort McMurray Queen Street Building 
Grande Prairie Aberdeen Centre
Peace River Community Mental Health Services
Red Deer 49 Street Community Health Centre - Addiction and Mental Health Services
Regional Resource Centre - Medicine Hat Regional Hospital
St. Therese - St. Paul Healthcare Centre</t>
  </si>
  <si>
    <t>Our Parents' Home
Address10112 119 Street Edmonton, AlbertaT5K 1Y9
Telephone780-732-0412 (Reception 9:00 am - 9:00 pm), 780-782-7368 (24 hr LPN), 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</si>
  <si>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</si>
  <si>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Our Parents' Home</t>
  </si>
  <si>
    <t>Rainbow Lake Community Health Services
Address6A Commercial Road Rainbow Lake, AlbertaT0H 2Y0
Telephone780-841-3229 (Booking from High Level office)</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</si>
  <si>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</si>
  <si>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Rocky Mountain House Health Centre
Address5016 52 Avenue Rocky Mountain House, AlbertaT4T 1T2
Telephone403-844-5235
Fax403-845-5236</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</si>
  <si>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</si>
  <si>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Banff Community Health Centre
Address303 Lynx Street Banff, AlbertaT1L 1B3
Telephone403-762-2990
Fax403-762-5570</t>
  </si>
  <si>
    <t>Acadia Community Health Centre
Airdrie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</si>
  <si>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Camrose Home Care 
Address4615 56 Street Camrose, AlbertaT4V 4M5
Telephone780-679-2900
Fax780-679-2929</t>
  </si>
  <si>
    <t>Bashaw Community Health Centre
Bentley Care Centre
Breton Health Centre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</si>
  <si>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 xml:space="preserve">Camrose Home Care </t>
  </si>
  <si>
    <t>Service Providers May Includepsychiatrists, registered nurses (RNs)
EligibilityEligibility requirements include:
16 years of age or older
mustÂ be connected with a family doctor
if addictions are the primary identified concern,  Mental Health will refer you to Adult Addiction Services first. Substance use is NOT an exclusionary criteria, however a 5 day abstinence is required prior to a consult at the UPCC
Service Healthcare providers should consult the Alberta Referral Directory for service referral guidelines and referral forms.
Referrals areÂ through  Mental Health for screening. No direct referrals are accepted.
Wait TimesAn estimated wait time will be provided at the time of appointment booking.
Service LanguagesInterpreter/Translation services</t>
  </si>
  <si>
    <t>Rockyview General Hospital
Address7007 14 Street SWCalgary, AlbertaT2V 1P9
Telephone403-943-3230
Getting ThereParking available
Parking map</t>
  </si>
  <si>
    <t xml:space="preserve">Provides support to family physicians to assist with specific clinical questions and treatment recommendations pertaining to addiction and mental health diagnoses.Urgent Psychiatric Consultation Clinic (UPCC) is a single session consultationÂ which forwardsÂ recommendations to the family physician for implementation. Prescriptions will not be provided by the consulting psychiatrist.Â 
Assessments are done for clinical purposes only and are not for forensic, legal, union, insurance or WCB purposes. Reports are for the clinical use of the referring physician and are not to be released to third parties.
No capacity assessments are done in this clinic.
</t>
  </si>
  <si>
    <t>Cochrane Community Health Centre
Address60 Grande Boulevard Cochrane, AlbertaT4C 0S4
Telephone403-851-6100
Fax403-851-6101</t>
  </si>
  <si>
    <t>Banff Community Health Centre
Canmore Boardwalk Building
Claresholm Addiction and Mental Health Clinic
Vulcan Community Health Centre</t>
  </si>
  <si>
    <t>South Health Campus
Address4448 Front Street SECalgary, AlbertaT3M 1M4
Websitehttp://www.albertahealthservices.ca
Getting ThereParking available
Parking map</t>
  </si>
  <si>
    <t>Days of the Week
Monday9:30 am - 9:30 pm
Tuesday9:30 am - 9:30 pm
Wednesday9:30 am - 9:30 pm
Thursday9:30 am - 9:30 pm
Friday9:30 am - 9:30 pm
Saturday9:30 am - 9:30 pm
Sunday9:30 am - 9:30 pm
Note
Hours listed are for referrals.
24/7 service for emergency department.</t>
  </si>
  <si>
    <t>Service Providers May Includedietitians, geriatricians, neuropsychologists, nurse practitioners(NPs), occupational therapists (OTs), pharmacists, physical therapist (PTs), registered nurses (RNs), social workers
EligibilityAges 65 and older..
Service Healthcare providers should consult the Alberta Referral Directory for service referral information.
Wait TimesAn estimated wait time will be provided at the time of appointment booking.
Service LanguagesInterpreter/Translation services</t>
  </si>
  <si>
    <t>Bridgeland Seniors Health Centre
Address1070 McDougall Road NECalgary, AlbertaT2E 7Z2
Telephone403-955-1500, 403-955-1525 (Seniors Health One Line Referral)
Fax403-955-1514 (Referral Fax)</t>
  </si>
  <si>
    <t>Rockyview General Hospital
South Health Campus</t>
  </si>
  <si>
    <t xml:space="preserve">Offers assessment, diagnoses and development of treatment plans for older adults with complex health issues.This service provides a team based approach for multidisciplinary, consultative advice on the diagnosis and management of adults age 65 or older with issues relating to medical complexity, frailty and chronic disease, functional decline, cognitive impairment, dementia or falls.
</t>
  </si>
  <si>
    <t>Service Providers May Includeneuropsychologists
EligibilityAdults, age 18 and over
with suspected dementia.
who are being considered for brain surgery (e.g., deep brain stimulator implant, focal resection).
who have been exposed to toxic agents.
Pre or post-neurosurgical patients (e.g., aneurysms, brain tumors, seizure disorders).
Pre or post-transplant patients from the heart, liver and kidney transplant programs.
Children with learning difficulties due to a medical problem.
Service Referrals only accepted from specialists located at the University of Alberta Hospital Site.
Wait TimesAn estimated wait time will be provided at the time of appointment booking.</t>
  </si>
  <si>
    <t>Kaye Edmonton Clinic
Address11400 University Avenue Edmonton, AlbertaT6G 1Z1
Telephone780-407-2750
Fax780-407-6529
AccessibilityBarrier-free parking available in parkade located on west side of Kaye Edmonton Clinic. Click here for more parking information.Parking stalls
Getting ThereParking and Public transportation available
Parking map</t>
  </si>
  <si>
    <t>Kaye Edmonton Clinic</t>
  </si>
  <si>
    <t xml:space="preserve">Provides assessments for people with neurological symptoms or a non-traumatic brain injury who are having cognitive problems.Services may include:
assessment of thinking skills and emotional functioning
help finding the right diagnosis
information about expected outcomes
help with treatment and education planning based on the clientâ€™s cognitive abilities
assessing if a client is suitable for brain surgery and what the risks are
</t>
  </si>
  <si>
    <t>Northern Lights Regional Health Centre
Address7 Hospital Street Fort McMurray, AlbertaT9H 1P2
Telephone780-791-6194
Fax780-791-6219
Getting ThereParking map</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</si>
  <si>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</si>
  <si>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Beaumont Public Health Centre
Address4918 50 Avenue Beaumont, AlbertaT4X 1J9
Telephone780-929-4822</t>
  </si>
  <si>
    <t>Days of the Week
Monday8:30 am - 5:00 pm
Tuesday8:30 am - 5:00 pm
Wednesday8:30 am - 5:00 pm
Thursday8:30 am - 5:00 pm
Friday8:30 am - 5:00 pm
Note
Closed 12:00 PMÂ  to 1:00 PM.</t>
  </si>
  <si>
    <t>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</si>
  <si>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Beaumont Public Health Centre</t>
  </si>
  <si>
    <t>Cold Lake Healthcare Centre
Address314 25 Street Cold Lake, AlbertaT9M 1G6
Telephone780-639-3322
Fax780-639-2255</t>
  </si>
  <si>
    <t>Athabasca Healthcare Centre
Barrhead Healthcare Centre
Bonnyville Healthcare Centre 
Central Peace Health Complex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</si>
  <si>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Taber Health Centre
Address4326 50 Avenue Taber, AlbertaT1G 1N9
Telephone403-223-7244
Fax403-223-7236
Getting ThereCommunity Handi-Bus available</t>
  </si>
  <si>
    <t>Days of the Week
Monday8:00 am - 4:30 pm
Tuesday8:00 am - 4:30 pm
Wednesday8:00 am - 4:30 pm
Thursday8:00 am - 4:30 pm
Friday8:00 am - 4:30 pm
Note
Closed 12:00 PM (noon) to 1:00 PM</t>
  </si>
  <si>
    <t>Brooks 403  2 Avenue W
Cardston Provincial Building 
Crowsnest Pass Provincial Building
Lethbridge Provincial Building
Medicine Hat Provincial Building
Oyen Community Health Services
Pincher Creek Provincial Building</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</si>
  <si>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t>
  </si>
  <si>
    <t>Fairview Health Complex
Address10628 110 Street Fairview, AlbertaT0H 1L0
Telephone780-342-2383
Fax780-342-3348</t>
  </si>
  <si>
    <t>Athabasca Community Health Services
Barrhead Healthcare Centre
Beaverlodge Community Health Services
Bonnyville New Park Place
Central Peace Health Complex
Cold Lake Healthcare Centre
Edson Healthcare Centre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</si>
  <si>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Hinton Community Health Services
Address1280A Switzer Drive Hinton, AlbertaT7V 1T5
Telephone780-865-8247
Tollfree1-877-303-2642 Provincial Mental Health Help Line
Fax780-865-8327
Getting ThereLocated adjacent to the Hinton Healthcare Centre</t>
  </si>
  <si>
    <t>Days of the Week
Monday8:15 am - 4:30 pm
Tuesday8:15 am - 4:30 pm
Wednesday8:15 am - 4:30 pm
Thursday8:15 am - 4:30 pm
Friday8:15 am - 4:30 pm
Note
ClosedÂ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</si>
  <si>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</si>
  <si>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Mayerthorpe Healthcare Centre
Address4417 45 Street Mayerthorpe, AlbertaT0E 1N0
Telephone780-786-2279
Tollfree310-0000 780-786-2279, 1-877-303-2642 (24 hr Help Line)
Fax780-786-2023
Getting ThereSouth of 46 Avenue</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</si>
  <si>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</si>
  <si>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Calgary 811 14 Street NW 
Address811 14 Street NWCalgary, AlbertaT2N 2A4
Emailcomplexkids@ahs.ca
Accessibility</t>
  </si>
  <si>
    <t xml:space="preserve">Calgary 811 14 Street NW </t>
  </si>
  <si>
    <t>Service Providers May Includesocial workers, success coaches, wellness facilitators
Referral NeededCan self refer or be referred by family or friend.
Service Contact the project for referrals.
Wait TimesDepending on service.</t>
  </si>
  <si>
    <t>Gift Lake School
Address50 Main Street Gift Lake, AlbertaT0G 1B0
Telephone780-767-3935 ext 1421
Tollfree1-800-362-1360 ext 1421
Fax780-767-3792</t>
  </si>
  <si>
    <t>Grouard Northland School</t>
  </si>
  <si>
    <t>Gift Lake School</t>
  </si>
  <si>
    <t>Big Country Hospital
Address312 3 Street EOyen, AlbertaT0J 2J0
Telephone403-664-4300</t>
  </si>
  <si>
    <t>Bassano Health Centre
Bow Island Health Centre
Brooks Health Centre
Chinook Regional Hospital
Coaldale Health Centre
Medicine Hat Regional Hospital
Pincher Creek Health Centre
Taber Health Centre</t>
  </si>
  <si>
    <t>Service Providers May Includeaddiction counsellors, doctors, pharmacists, psychiatric aides, psychiatrists, psychologists, psychometrists, recreation therapists, registered nurses (RNs), registered psychiatric nurses (RPNs), social workers, therapy assistants
EligibilityFor adults 18 to 64 years old who:
have severe mental health and addiction issues
are able to do their everyday activities
are able to participate in activities and learn new skills
Adults 18 to 24 years old and pregnant women will be accepted into the program first.
Service Healthcare providers should consult the Alberta Referral Directory for service referral information.
Wait TimesAn estimated wait time will be provided at the time of appointment booking.
Service LanguagesInterpreter/Translation services</t>
  </si>
  <si>
    <t>Centennial Centre for Mental Health and Brain Injury
AddressBox 1000 46  Street SPonoka, AlbertaT4J 1R8
Telephone403-783-7754
Fax403-783-7896
AccessibilityMain entrance</t>
  </si>
  <si>
    <t xml:space="preserve">This is voluntary service that provides people with assessment and treatment of serious mental health and addiction problems, including follow up and help accessing long-term treatment, if required.A voluntary, specialized inpatient program offering assessment and treatment for people with co-occurring severe mental illness and severe addiction issues. Patients participate in supportive concurrent recovery, and development of functional and coping skills necessary to live in their home community environments. These include:
individual and group therapy (skill building)
specialized concurrent disorder focused programming to support recovery
This 22 day program give priority to adults between the ages of 18-64 years and pregnant women.
</t>
  </si>
  <si>
    <t>Provincial Building
Address576 Main Street Cardston, AlbertaT0K 0K0
Telephone403-653-5240
Fax403-653-2926</t>
  </si>
  <si>
    <t>Days of the Week
Monday8:30 am - 5:00 pm
Tuesday8:30 am - 5:00 pm
Wednesday8:30 am - 5:00 pm
Thursday8:30 am - 5:00 pm
Friday8:30 am - 5:00 pm
Note
Closed 12:00 PM (Noon) to 1:00 PM</t>
  </si>
  <si>
    <t>Bow Island Provincial Building
Brooks Health Centre
Crowsnest Pass Provincial Building
Fort Macleod Health Centre
Lethbridge Provincial Building
Medicine Hat Provincial Building
Pincher Creek Provincial Building 
Raymond Health Centre
Taber Health Centre</t>
  </si>
  <si>
    <t>Provincial Building</t>
  </si>
  <si>
    <t>Note
Main Reception Monday â€“ Friday 8:00 AM - 10:00 PMOffice Hours Monday â€“ Friday 8:00 AM - 4:30 PM
Closed on Statutory Holidays.</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</si>
  <si>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Northwest Health Centre 
Peace River Provincial Building  
Pine Plaza Building
Rainbow Lake Community Health Services
Seton - Jasper Healthcare Centre
Slave Lake 101 3 Street
St. Paul Provincial Building
Whitecourt Provincial Building</t>
  </si>
  <si>
    <t>Wabasca / Desmarais Community Health Services
Address867 Stoney Point Road Wabasca, AlbertaT0G 2K0
Telephone780-893-3931
Fax780-891-3011</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</si>
  <si>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Westlock Community Health Services
Whitecourt Healthcare Centre</t>
  </si>
  <si>
    <t>Cold Lake Community Health Services
Address4720 55 Street Cold Lake, AlbertaT9M 1V8
Telephone780-594-4404
Fax780-594-2404
Getting ThereLocated behind the Court House and City Hall</t>
  </si>
  <si>
    <t>Athabasca Community Health Services
Barrhead Community Health Services
Bonnyville Community Health Services
Boyle Healthcare Centre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</si>
  <si>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Cold Lake Community Health Services</t>
  </si>
  <si>
    <t>Whitecourt Provincial Building
Address5020 52 Avenue Whitecourt, AlbertaT7S 1N2
Telephone780-778-7123
Tollfree310-0000 780-778-7123, 1-877-303-2642 (24 hr Help Line)
Fax780-778-7220</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</si>
  <si>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t>
  </si>
  <si>
    <t>Service Providers May Includecommunity workers, doctors, occupational therapists (OTs), psychiatrists, recreational therapists, registered nurses (RNs), social workers
Service Healthcare providers should consult the Alberta Referral Directory for service referral information.
Wait TimesAn estimated wait time will be provided at the time of appointment booking.
Service LanguagesInterpreter/Translation services</t>
  </si>
  <si>
    <t>Sheldon M. Chumir Health Centre
Address1213 4 Street SWCalgary, AlbertaT2R 0X7
Telephone403-943-1500 (Intake / Referral Access Mental Health), 403-955-6986 (Reception) 
Fax403-955-6377
Websitehttp://albertahealthservices.ca
Getting ThereParking available
Parking map</t>
  </si>
  <si>
    <t>Days of the Week
Monday8:00 am - 8:00 pm
Tuesday8:00 am - 8:00 pm
Wednesday8:00 am - 8:00 pm
Thursday8:00 am - 8:00 pm
Friday8:00 am - 8:00 pm</t>
  </si>
  <si>
    <t xml:space="preserve">Provides intensive outreach services to adults with severe or persistent mental illness who are ordinarily unable to engage in traditional mental health or community services.Offers care to people with severe problems with schizophrenia, sichzoaffecitve disorder or bipolarÂ disorded with psychotic featureÂ that arenâ€™t getting better who have trouble caring for themselves, accessing medical care, or getting help with legal, housing, or money concerns.
Services are offered in a personâ€™s home and may include:
managing care
giving and monitoring medicines
helping access help with medical, dental, legal, financial or housing concerns
involving family and community
help with substance use problems
teaching
recreation groups
</t>
  </si>
  <si>
    <t>Alberta Children's Hospital
Address28 Oki Drive NWCalgary, AlbertaT3B 6A8
Telephone403-955-7868
AccessibilityMain entranceLifts
Getting ThereParking map</t>
  </si>
  <si>
    <t>Days of the Week
Monday8:30 am - 4:30 pm
Tuesday8:30 am - 4:30 pm
Wednesday8:30 am - 4:30 pm
Thursday8:30 am - 4:30 pm
Friday8:30 am - 4:30 pm
Note
The Sacred Space is available to patients and their families for meditation and prayer while the patient is in hospital. A weekly interfaith prayer time is held on Wednesdays from 12 to 12:30 p.m.
Service is available to hospital inpatients and their families in emergency situations 24/7.</t>
  </si>
  <si>
    <t>Canmore General Hospital
Claresholm General Hospital
Foothills Medical Centre
High River General Hospital
Mineral Springs Hospital
Oilfields General Hospital
Peter Lougheed Centre
Rockyview General Hospital
South Health Campus
Tom Baker Cancer Centre
Vulcan Community Health Centre</t>
  </si>
  <si>
    <t>Pine Plaza Building
Address702 Pine Plaza  NWGrande Cache, AlbertaT0E 0Y0
Telephone780-827-4998
Tollfree1-844-817-5009 (Central Intake), 1-877-303-2642 (24 hr Help Line)
Fax780-827-7207</t>
  </si>
  <si>
    <t>Days of the Week
Monday8:15 am - 4:30 pm
Tuesday8:15 am - 4:30 pm
Wednesday8:15 am - 4:30 pm
Thursday8:15 am - 4:30 pm
Friday8:15 am - 4:30 pm
Note
Closed 12:00 PM to 12:45 PM, and statutory holidays.</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</si>
  <si>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</si>
  <si>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Whitecourt Community Health Services</t>
  </si>
  <si>
    <t>Chinook Regional Hospital
Address960 19 Street SLethbridge, AlbertaT1J 1W5
Telephone403-388-6245
Fax403-388-4928
Getting ThereParking map</t>
  </si>
  <si>
    <t>Days of the Week
Monday8:15 am - 4:15 pm
Tuesday8:15 am - 4:15 pm
Wednesday8:15 am - 4:15 pm
Thursday8:15 am - 4:15 pm
Friday8:15 am - 4:15 pm
Note
Closed 12:00 PM (noon) to 1:00 PM.</t>
  </si>
  <si>
    <t>Wetaskiwin Provincial Building
Address5201 50 Avenue Wetaskiwin, AlbertaT9A 0S7
Telephone780-361-1245
Fax780-361-1387</t>
  </si>
  <si>
    <t>Days of the Week
Monday8:00 am - 4:30 pm
Tuesday8:00 am - 4:30 pm
Wednesday8:00 am - 4:30 pm
Thursday8:00 am - 4:30 pm
Friday8:00 am - 4:30 pm
Note
Closed from 12:00 PMÂ to 1:00 PM for Lunch.</t>
  </si>
  <si>
    <t>Drayton Valley Community Health Centre
Drumheller Health Centre
Lacombe Mental Health Centre
Olds Hospital and Care Centre
Ponoka Provincial Building
Red Deer 49 Street Community Health Centre - Addiction and Mental Health Services
Rocky Mountain House Health Centre
Stettler Hospital and Care Centre
Sylvan Lake Community Health Centre</t>
  </si>
  <si>
    <t>Alberta Children's Hospital
Address28 Oki Drive NWCalgary, AlbertaT3B 6A8
Telephone403-955-7289
AccessibilityMain entranceLifts
Getting ThereParking map</t>
  </si>
  <si>
    <t>Foothills Medical Centre
South Health Campus</t>
  </si>
  <si>
    <t>Service Providers May Includeoccupational therapists (OT), psychiatrists, psychologists, registered nurse (RN), social workers (SW), speech-language pathologists (SLPs)
EligibilityFor children and adolescents 0 to 18 years (school aged) who:
have a doctor's diagnosis of ADHD that has not responded well to other treatment
must require the services of two or more disciplines
must not have a diagnosis of Autism Spectrum Disorder or Fetal Alcohol Syndrome Disorder
Service Healthcare providers should consult the Alberta Referral Directory for service referral information.
Wait TimesAn estimated wait time will be provided at the time of appointment booking.
Service LanguagesInterpreter/Translation services</t>
  </si>
  <si>
    <t>Richmond Road Diagnostic and Treatment Centre
Address1820 Richmond Road SWCalgary, AlbertaT2T 5C7
Telephone403-943-1500 (Access Mental Health)
Fax403-943-9044 (Access Mental Health)
Getting ThereParking available
Parking map</t>
  </si>
  <si>
    <t>Days of the Week
Monday8:00 am - 4:15 pm
Tuesday8:00 am - 4:15 pm
Wednesday8:00 am - 4:15 pm
Thursday8:00 am - 4:15 pm
Friday8:00 am - 4:15 pm
Note
Some weekday evening appointments.</t>
  </si>
  <si>
    <t xml:space="preserve">Offers services to assess and treat children and adolescents with an attention deficit hyperactivity disorder (ADHD) of moderate to severe intensity, which cause a significant impact on functioning and who have not responded optimally to treatment.Services include the following:
multi-disciplinary team assessment
psychology, OT, and/or SLP assessment as required
medication management
individual, family and/or group therapy
parent coaching
consultation with school
</t>
  </si>
  <si>
    <t>Peter Lougheed Centre
Address3500 26 Avenue NECalgary, AlbertaT1Y 6J4
Telephone403-943-5735
Fax403-943-4562
Getting ThereParking available
Parking map</t>
  </si>
  <si>
    <t>Canmore General Hospital
Foothills Medical Centre
High River General Hospital
Rockyview General Hospital
South Health Campus</t>
  </si>
  <si>
    <t>St. Therese - St. Paul Healthcare Centre
Address4713 48  Avenue St. Paul, AlbertaT0A 3A3
Telephone780-645-1850
Tollfree1-877-303-2642 (24 hr Help Line)
Fax780-645-2788</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</si>
  <si>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Swan Hills Healthcare Centre
Valleyview Community Health Services
Westlock Provincial Building
Whitecourt Community Health Services</t>
  </si>
  <si>
    <t>Northwest Health Centre 
Address11202 100 Avenue High Level, AlbertaT0H 1Z0
Telephone780-841-3229
Fax780-926-7378</t>
  </si>
  <si>
    <t>Days of the Week
Monday8:00 am - 4:30 pm
Tuesday8:00 am - 4:30 pm
Wednesday8:00 am - 4:30 pm
Thursday8:00 am - 4:30 pm
Friday8:00 am - 4:30 pm
Note
Closed for lunch from 12:00 pm to 1:00 pm.
Hours may vary over holidays.
Please call to confirm availability.</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</si>
  <si>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Peace River Provincial Building  
Pine Plaza Building
Seton - Jasper Healthcare Centre
Slave Lake 101 3 Street
St. Paul Provincial Building
Whitecourt Provincial Building</t>
  </si>
  <si>
    <t>Days of the Week
Monday8:15 am - 4:30 pm
Tuesday8:15 am - 4:30 pm
Wednesday8:15 am - 4:30 pm
Thursday8:15 am - 4:30 pm
Friday8:15 am - 4:30 pm
Note
Closed_x000D_
12:00 PM to 1:00 PM, and statutory holidays.</t>
  </si>
  <si>
    <t>Athabasca Community Health Services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</si>
  <si>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Bassano Health Centre
Address608 5 Avenue Bassano, AlbertaT0J 0B0
Telephone403-641-6100</t>
  </si>
  <si>
    <t>Big Country Hospital
Bow Island Health Centre
Brooks Health Centre
Chinook Regional Hospital
Coaldale Health Centre
Medicine Hat Regional Hospital
Pincher Creek Health Centre
Taber Health Centre</t>
  </si>
  <si>
    <t>Saint Thomas Health Centre
Address8411 91 Street Edmonton, AlbertaT6C 1Z9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</si>
  <si>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Shepherd's Care Greenfield
Shepherd's Care Kensington
Shepherd's Care Vanguard 
St. Albert Retirement Residence
Summerwood Village Retirement Residence
Villa Marguerite
Wedman Village Homes
West Country Hearth</t>
  </si>
  <si>
    <t>Saint Thomas Health Centre</t>
  </si>
  <si>
    <t>Days of the Week
Monday8:15 am - 4:30 pm
Tuesday8:15 am - 4:30 pm
Wednesday8:15 am - 4:30 pm
Thursday8:15 am - 4:30 pm
Friday8:15 am - 4:30 pm
Note
Closed 12:00 PM (Noon) to 1:00 PM.</t>
  </si>
  <si>
    <t>Brooks 403  2 Avenue W
Cardston Provincial Building 
Crowsnest Pass Provincial Building
Medicine Hat Provincial Building
Melcor Centre
Oyen Community Health Services</t>
  </si>
  <si>
    <t>Millrise Place
Address14911 5 Street SWCalgary, AlbertaT2Y 5B9
Telephone403-943-1920 (Home Care Assessment)</t>
  </si>
  <si>
    <t>AgeCare Seton
AgeCare SkyPointe
AgeCare Walden Heights
Agecare Sagewood
Aspen Ridge Lodge
Bethany Didsbury
Eau Claire Retirement Residence
Evanston Grand Village
Holy Cross Manor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</si>
  <si>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Millrise Place</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</si>
  <si>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</si>
  <si>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Lac La Biche and Area - Information / Registration / Appointments
Telephone780-639-0039 (Coordinator)</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</si>
  <si>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</si>
  <si>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Lac La Biche and Area - Information / Registration / Appointments</t>
  </si>
  <si>
    <t>Hanna Provincial Building
Address401 Centre Street Hanna, AlbertaT0J 1P0
Telephone403-854-5276
Tollfree24 Hour Mental Health Help Line 1 877-303-2642, 24 Hour Addiction Help Line 1 877-332-2322
Fax403-854-5280</t>
  </si>
  <si>
    <t>Days of the Week
Monday8:00 am - 4:30 pm
Tuesday8:00 am - 4:30 pm
Wednesday8:00 am - 4:30 pm
Thursday8:00 am - 4:30 pm
Friday8:00 am - 4:30 pm
Note
Closed for lunch from 12-1 PM</t>
  </si>
  <si>
    <t>Consort Hospital and Care Centre
Coronation Hospital and Care Centre
Drayton Valley Community Health Centre
Drumheller Health Centre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</si>
  <si>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Hanna Provincial Building</t>
  </si>
  <si>
    <t>Centre of Hope
Edmonton 108 Street Building 
Grande Prairie Aberdeen Centre
Lethbridge Provincial Building
Peace River Community Mental Health Services
Red Deer 49 Street Community Health Centre - Addiction and Mental Health Services
Regional Resource Centre - Medicine Hat Regional Hospital
St. Therese - St. Paul Healthcare Centre</t>
  </si>
  <si>
    <t>Drumheller Health Centre
Address351 9 Street NWDrumheller, AlbertaT0J 0Y1
Telephone403-820-7863
Fax403-820-7865</t>
  </si>
  <si>
    <t>Camrose Addiction and Mental Health Clinic
Consort Community Health Centre
Coronation Hospital and Care Centre
Drayton Valley Community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</si>
  <si>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St. Marguerite Manor
Address110 Evanspark Manor NWCalgary, AlbertaT3P 0N4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</si>
  <si>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Strafford Foundation Tudor Manor
Sunrise Village High River
Swan Evergreen Village
Wentworth Manor / The Residence and The Court
Whitehorn Village Retirement Community
Wing Kei Greenview</t>
  </si>
  <si>
    <t>St. Marguerite Manor</t>
  </si>
  <si>
    <t>Service Providers May Includepsychiatrists, social workers
EligibilityPatient of the Short Stay Unit.
Wait TimesAn estimated wait time will be provided at the time of appointment booking.
Service LanguagesInterpreter/Translation services</t>
  </si>
  <si>
    <t>Peter Lougheed Centre
Address3500 26 Avenue NECalgary, AlbertaT1Y 6J4
Telephone403-943-5737
Getting ThereParking available
Parking map</t>
  </si>
  <si>
    <t>Days of the Week
Tuesday2:00 pm - 6:00 pm
Thursday1:30 pm - 4:00 pm</t>
  </si>
  <si>
    <t xml:space="preserve">Offers short-term support for people with mental health concerns as they prepare to leave the hospital and access community programs and services.Provides short-term support for people as they prepare to leave the hospital and access community programs and services.
Services include:
starting or checking medicines
reviewing progress towards goals
checking with on ATAC work sheets, if needed
providing short-term therapy
suggesting other resources, if needed
following up with doctors and community supports
</t>
  </si>
  <si>
    <t>Medicine Hat Regional Hospital
Address666 5 Street SWMedicine Hat, AlbertaT1A 4H6
Telephone403-529-8974
AccessibilityMain entranceParking stalls and washrooms
Getting ThereParking available
Parking map</t>
  </si>
  <si>
    <t>Peace River Community Mental Health Services
Address10015 98  Street Peace River, AlbertaT8S 1T4
Telephone780-624-6151
Tollfree1-877-303-2642 (24 hr Help Line)
Fax780-624-6565
Getting ThereNo public transportation to services in any of our communities.</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</si>
  <si>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</si>
  <si>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Edmonton 108 Street Building 
Fort McMurray Queen Street Building 
Grande Prairie Aberdeen Centre
Lethbridge Provincial Building
Peace River Community Mental Health Services
Red Deer 49 Street Community Health Centre - Addiction and Mental Health Services
Regional Resource Centre - Medicine Hat Regional Hospital
St. Therese - St. Paul Healthcare Centre</t>
  </si>
  <si>
    <t>Bonnie Doon Shopping Centre
Address8330 82 Avenue Edmonton, AlbertaT6C 4E3
Telephone780-428-5487
Fax780-428-1930
Emailinfo@ecvo.ca 
Websitehttp://www.ecvo.ca</t>
  </si>
  <si>
    <t>Days of the Week
Monday9:00 am - 4:00 pm
Tuesday9:00 am - 4:00 pm
Wednesday9:00 am - 4:00 pm
Thursday9:00 am - 4:00 pm
Friday9:00 am - 4:00 pm</t>
  </si>
  <si>
    <t>Alex Taylor School
Baker Centre, The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Transition Place
WSP Place</t>
  </si>
  <si>
    <t>Bonnie Doon Shopping Centre</t>
  </si>
  <si>
    <t>Athabasca Community Health Services
Barrhead Healthcare Centre
Beaverlodge Community Health Services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</si>
  <si>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Mayerthorpe Healthcare Centre
Address4417 45 Street Mayerthorpe, AlbertaT0E 1N0
Telephone780-342-2383
Fax780-342-3348
Getting ThereSouth of 46 Avenue</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</si>
  <si>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</si>
  <si>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Three Hills Provincial Building
Address128 3 Avenue SEThree Hills, AlbertaT0M 2A0
Telephone403-443-8532
Tollfree24 Hour Mental Health Help Line 1 877-303-2642, 24 Hour Addiction Help Line 1 877-332-2322
Fax403 443-8541</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</si>
  <si>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Tofield Health Centre
Vegreville Community Health Centre
Vermilion Provincial Building
Wainwright 905A 3 Avenue
Wetaskiwin Provincial Building</t>
  </si>
  <si>
    <t>Three Hills Provincial Building</t>
  </si>
  <si>
    <t>Service Providers May Includedietitians, occupational therapist (OTs), pharmacists, physical therapists (PTs), psychiatrists, recreation therapists, registered nurses (RNs), social workers
EligibilityPatients must meet the following criteria: â€¢The client must be 65 years and older with a mental health issue.â€¢Client must be willing to attend and participate in treatment.
Service Healthcare providers should consult the Alberta Referral Directory for service referral information.
Wait TimesAn estimated wait time will be provided at the time of appointment booking.
FeesThere is a daily fee of $25 to cover the cost of transportation and meals. Fee reduction is considered on an individual basis according to established criteria.
Service LanguagesInterpreter/Translation services</t>
  </si>
  <si>
    <t>Days of the Week
Monday8:00 am - 4:00 pm
Tuesday8:00 am - 4:00 pm
Wednesday8:00 am - 4:00 pm
Thursday8:00 am - 4:00 pm
Friday8:00 am - 4:00 pm
Note
Please note following time schedules: 
Monday, Assessment day
TuesdayÂ and Thursday - Stream 9:30 AM to 2:30 PMÂ (patients attend) 
Wednesday and Friday - Stream 9:30 AM to 2:30Â PM (patients attend)
Staff available from 8:00 AM to 4:00 PM</t>
  </si>
  <si>
    <t xml:space="preserve">Offers individualized assessments, group therapies and help asssitance with recovery for older adults with mental health concerns.This service offers holistic, individualized psychosocial and cognitive assessment, individualized pharmacotherapy and group therapies for mental health issues. Following assessment, people attend this program 2 days a week for up to 20 weeks.
</t>
  </si>
  <si>
    <t>Grey Nuns Community Hospital
Address1100  Youville  Drive NWEdmonton, AlbertaT6L 5X8
Telephone780-735-7595 (Unit 91), 780-735-7611 (Unit 92), 780-735-7609 (Unit 93) 
Getting TherePublic transportation available</t>
  </si>
  <si>
    <t>Alberta Hospital Edmonton
Misericordia Community Hospital 
Royal Alexandra Hospital
University of Alberta Hospital</t>
  </si>
  <si>
    <t>Ashmont Secondary School
Telephone780-726-3793</t>
  </si>
  <si>
    <t>Ashmont Elementary School
Glen Avon School
Racette School
St. Paul Elementary Community School
Two Hills Mennonite School</t>
  </si>
  <si>
    <t>Ashmont Secondary School</t>
  </si>
  <si>
    <t>Days of the Week
Monday8:00 am - 4:30 pm
Tuesday8:00 am - 4:30 pm
Wednesday8:00 am - 4:30 pm
Thursday8:00 am - 4:30 pm
Friday8:00 am - 4:30 pm
Note
Intake â€“ ICAT â€“ Integrated Crisis and Access TeamMonday - Friday (Walk in Clinic)Â 9:00 AM-4:00 PM
Closed on Statutory Holidays.</t>
  </si>
  <si>
    <t>Cold Lake Healthcare Centre
Peace River Community Mental Health Services
St. Therese - St. Paul Healthcare Centre</t>
  </si>
  <si>
    <t>Alberta Hospital Edmonton
Address17480  Fort Road Edmonton, AlbertaT5J 2J7
Telephone780-342-5523
Fax780-342-5398
Emailbrett.granger@albertahealthservices.ca
Getting ThereParking and public transportation</t>
  </si>
  <si>
    <t>Days of the Week
Monday8:30 am - 5:00 pm
Tuesday8:30 am - 5:00 pm
Wednesday8:30 am - 5:00 pm
Thursday8:30 am - 5:00 pm
Friday8:30 am - 5:00 pm
Saturday8:30 am - 5:00 pm
Sunday8:30 am - 5:00 pm</t>
  </si>
  <si>
    <t>Edmonton 108 Street Building</t>
  </si>
  <si>
    <t>Evanston Grand Village
Address40 Evanston Way NWCalgary, AlbertaT3P 0N6
Telephone403-943-1920 (Home Care Assessment)</t>
  </si>
  <si>
    <t>AgeCare Seton
AgeCare SkyPointe
AgeCare Walden Heights
Agecare Sagewood
Aspen Ridge Lodge
Bethany Didsbury
Eau Claire Retirement Residence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</si>
  <si>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Evanston Grand Village</t>
  </si>
  <si>
    <t>Service Providers May Includeaddiction counselors, mental health counselors, occupational therapists (OTs), psychiatric aides, psychiatrists, psychologists, recreational therapists, registered nurses (RNs), social workers
EligibilityBoth inclusion as well as exclusion criteria established. Information for same connected to the referral form.
Wait TimesAn estimated wait time will be provided at the time of appointment booking.
Service LanguagesInterpreter/Translation services</t>
  </si>
  <si>
    <t>Alberta Hospital Edmonton
Address17480  Fort Road Edmonton, AlbertaT5J 2J7
Telephone780-342-5085 (Unit Manager)
Fax780-342-5042
EmailDaniel.Richer@ahs.ca
Getting ThereParking and public transportation</t>
  </si>
  <si>
    <t xml:space="preserve">An acute inpatient unit for young adults who are experiencing either their first psychotic break, mental health admission or are transitioning to adult services from child and adolescent services.The goal of this program is to engage patients and their families in treatment and transition patients to the community. Post discharge, patients can be followed in the Young Addiction and Mental Health - Inpatient Treatment and Reintegration Services (YAETRS) Transition Clinic for 90 days to ensure successful community re-integration.
YAETRS has a robust program that is individualized and patient led. The programming is geared towards a 21 day length of stay (LOS) with the primary component being Cognitive Behavioral Therapy.
</t>
  </si>
  <si>
    <t>Thorsby Public Health Centre
Address4825 Hankin Street Thorsby, AlbertaT0C 2P0
Telephone780-789-4800 
Getting ThereMain St on south end of town.
Public transportation available.</t>
  </si>
  <si>
    <t>Beaumont Public Health Centre
Centre Hope Building 
Devon General Hospital
Fort Saskatchewan Community Hospital
Gibbons Health Unit
Good Samaritan Pembina Village
Morinville Provincial Building
Redwater Health Centre 
St. Albert Provincial Building
Stan Woloshyn Building
Strathcona Community Hospital
WestView Health Centre - Stony Plain</t>
  </si>
  <si>
    <t>Thorsby Public Health Centre</t>
  </si>
  <si>
    <t>Banff Community Health Centre
Address303 Lynx Street Banff, AlbertaT1L 1B3
Telephone403-678-4696
Fax403-762-5570</t>
  </si>
  <si>
    <t>Days of the Week
Monday8:00 am - 4:30 pm
Tuesday8:00 am - 4:30 pm
Wednesday8:00 am - 4:30 pm
Thursday8:00 am - 4:30 pm
Friday8:00 am - 4:30 pm
Note
Urgent Mental Health Walk-In Service at Banff Mineral Springs Hospital accessible daily between the hours of 2:00 and 9:00pm.</t>
  </si>
  <si>
    <t>Addiction and Mental Health Clinic - Strathmore
Airdrie Provincial Building
Canmore Boardwalk Building
Chestermere Community Health Centre
Claresholm Addiction and Mental Health Clinic
Cochrane Addiction and Mental Health Clinic 
Didsbury District Health Services
High River Addiction and Mental Health Clinic 
Nanton Community Health Centre
Oilfields General Hospital
Okotoks Mental Health Centre</t>
  </si>
  <si>
    <t>Manning Community Health Centre
Address600 2 Street NEManning, AlbertaT0H 2M0
Telephone780-836-3391 
Tollfree1-877-823-6433
Fax1-877-853-5380</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</si>
  <si>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</si>
  <si>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Alberta Hospital Edmonton
Address17480  Fort Road Edmonton, AlbertaT5J 2J7
Telephone780-342-5555
Getting ThereParking and public transportation</t>
  </si>
  <si>
    <t xml:space="preserve">Offers services related to challenging and / or complex behaviors.An inpatient unit for individuals who are developmentally delayed with co-occurring mental health concerns.
</t>
  </si>
  <si>
    <t>Drumheller Health Centre
Address351 9 Street NWDrumheller, AlbertaT0J 0Y1
Telephone403-823-6500 (Switchboard)</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</si>
  <si>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</si>
  <si>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Service Call for information
Service LanguagesInterpreter/Translation services</t>
  </si>
  <si>
    <t>Edmonton Zone - Information / Registration / Appointments
Telephone780-496-1300 (Community Care Access)</t>
  </si>
  <si>
    <t>Note
Phone answered 24/7</t>
  </si>
  <si>
    <t xml:space="preserve">Provides an integrated system of health and personal support services to clients based on their assessed needs.Community Care Access is the single point of entry to Continuing Care programs and services offered by the Edmonton Zone, Continuing Care portfolio.
Continuing Care provides an integrated system of health and personal support services to clients based on assessed need. Services may be provided in a clientâ€™s home by Home Care or within Supportive Living and Facility Living sites.
Services include:
Home Care
Designated Supportive Living
Facility Living
Palliative and End of Life Care
Sub-acute and Restorative Care
</t>
  </si>
  <si>
    <t>South Health Campus
Address4448 Front Street SECalgary, AlbertaT3M 1M4
Telephone403-956-3469
Fax403-956-3490
Getting ThereParking available
Parking map</t>
  </si>
  <si>
    <t>Days of the Week
Monday8:00 am - 4:00 pm
Tuesday8:00 am - 4:00 pm
Wednesday8:00 am - 4:00 pm
Thursday8:00 am - 4:00 pm
Friday8:00 am - 4:00 pm
Note
Closed on all statutory holidays.</t>
  </si>
  <si>
    <t>Innisfail Health Centre
Address5023 42 Street Innisfail, AlbertaT4G 1A9
Telephone403-227-4601
Tollfree24 Hour Mental Health Help Line 1 877-303-2642, 24 Hour Addiction Help Line 1 877-332-2322
Fax403-227-5683
Getting TherePublic transportation available</t>
  </si>
  <si>
    <t>Days of the Week
Monday8:15 am - 4:00 pm
Tuesday8:15 am - 4:00 pm
Wednesday8:15 am - 4:00 pm
Thursday8:15 am - 4:00 pm
Friday8:15 am - 4:00 pm
Note
Closed 12:00 PM to 1:00 PM for lunch.</t>
  </si>
  <si>
    <t>Consort Hospital and Care Centre
Coronation Hospital and Care Centre
Drayton Valley Community Health Centre
Drumheller Health Centre
Hanna Provincial Building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</si>
  <si>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Service Providers May Includepsychiatrists
EligibilityStroke in past 1 year with subsequent neuropsychiatric symptoms (including mood, anxiety, irritability, apathy or lability).
Service Healthcare providers should consult the Alberta Referral Directory for service referral information.
North &amp; Central Zone referrals are accepted from G.P.'s and Nurse Practitioners.Edmonton Zone referrals are accepted from Stroke Prevention Clinics, GRH, inpatient stroke units (at discharge), or the SESD Team. Assessments for patients within North &amp; Central Zones can be arranged via telepsychiatry (videoconference).
Fax completed referral form to 780-613-6156 https://www.albertahealthservices.ca/frm-20341.pdf
Wait TimesAn estimated wait time will be provided at the time of appointment booking.
Service LanguagesInterpreter/Translation services</t>
  </si>
  <si>
    <t>Royal Alexandra Hospital
Address10240 Kingsway  Avenue NWEdmonton, AlbertaT5H 3V9
Telephone780-613-6155
Fax780-613-6156
AccessibilityEntrance.Elevators
Getting ThereParking and Public transportation available</t>
  </si>
  <si>
    <t>Note
Clinic is offered on Wednesday mornings.</t>
  </si>
  <si>
    <t xml:space="preserve">The Post Stroke Mood and Anxiety Disorder Clinic was established to meet the unique needs of post-stroke patients, within 1 year of stroke, who have developed subsequent neuropsychiatric symptoms (including mood, anxiety, irritability, apathy or lability).Depression and anxiety are common after a stroke and can have negative impacts on recovery and quality of life. This clinic offers a single psychiatric consultation / assessment with recommendations provided to the General Practitioner (G.P.), for patients within 1 year of stroke who have developed subsequent mood, anxiety, irritability, apathy or lability.
Requests for third party assessments (AISH, WCB, etc.) are not accepted.
</t>
  </si>
  <si>
    <t>Red Deer 4101 54 Avenue
Address4101 54 Avenue Red Deer, AlbertaT4N 7G3
Telephone403-347-2480</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</si>
  <si>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</si>
  <si>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Red Deer 4101 54 Avenue</t>
  </si>
  <si>
    <t>Wainwright 905A 3 Avenue
Address905A 3 Avenue Wainwright, AlbertaT9W 1C5
Telephone780-842-7522 
Tollfree24 Hour Helpline 1-866-332-2322
Fax780-842-7520</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</si>
  <si>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Wetaskiwin Provincial Building</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</si>
  <si>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</si>
  <si>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Cold Lake and Area - Information / Registration / Appointments
Telephone780-639-0039 (Coordinator)</t>
  </si>
  <si>
    <t>Banff and Area - Information / Registration / Appointments
Calgary 1406 Centre Street NE
Calgary Zone - Information / Registration / Appointments
Cochrane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</si>
  <si>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Cold Lake and Area - Information / Registration / Appointments</t>
  </si>
  <si>
    <t>Edmonton Zone - Information / Registration / Appointments
EmailMelinda.mcnie@epsd.ca (Coordinator)</t>
  </si>
  <si>
    <t>Banff and Area - Information / Registration / Appointments
Calgary 1406 Centre Street NE
Calgary Zone - Information / Registration / Appointments
Cochrane - Information / Registration / Appointments
Cold Lake and Area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</si>
  <si>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Service Providers May Includemental health clinicians, psychiatrists, psychologists
EligibilityClients 65 years and older living in Long Term Care or Supportive Living (SL4) facilities, or those under age 65 with a progressive dementia or a mental health concern related to age.
Service Healthcare providers should consult the Alberta Referral Directory for service referral information.
Service LanguagesInterpreter/Translation services</t>
  </si>
  <si>
    <t>Sheldon M. Chumir Health Centre
Address1213 4 Street SWCalgary, AlbertaT2R 0X7
Telephone403-955-6155
Fax403-955-6169
Getting ThereParking available
Parking map</t>
  </si>
  <si>
    <t xml:space="preserve">Provides support for the treatment of older adults with mental health conditions or progressive dementia who live in Long Term Care or Supportive Living (SL4) facilities.This service offers support for the treatment of older adults with mental health conditions or progressive dementia who live in Long Term Care or Supportive Living (SL4) facilities.
The team provides:
assessment and treatment recommendations for clients
consultation and education for staff
</t>
  </si>
  <si>
    <t>Rockyview General Hospital
Address7007 14 Street SWCalgary, AlbertaT2V 1P9
Telephone403-943-3453, 403-955-1525 (Seniors Health One Line Referral)
Fax403-955-1514 (Referral Fax)
Getting ThereParking available
Parking map</t>
  </si>
  <si>
    <t>Bridgeland Seniors Health Centre
South Health Campus</t>
  </si>
  <si>
    <t>Hanna Health Centre
Address904 Centre Street NHanna, AlbertaT0J 1P0
Telephone403-854-3331</t>
  </si>
  <si>
    <t>Days of the Week
Monday9:00 am - 4:00 pm
Tuesday9:00 am - 4:00 pm
Wednesday9:00 am - 4:00 pm
Thursday9:00 am - 4:00 pm
Friday9:00 am - 4:00 pm
Note
Please phone for more information and Chaplain availablility.</t>
  </si>
  <si>
    <t>Centennial Centre for Mental Health and Brain Injury
Red Deer Regional Hospital Centre
Wainwright Health Centre</t>
  </si>
  <si>
    <t>Lethbridge Provincial Building
Address200 5 Avenue SLethbridge, AlbertaT1J 4L1
Telephone 403-381-5183
Tollfree1-866-332-2322 (24 Hour Help Line)
Fax403-382-4541</t>
  </si>
  <si>
    <t>Brooks 403  2 Avenue W
Crowsnest Pass Provincial Building
Medicine Hat Provincial Building
Oyen Community Health Services
Taber Health Centre</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</si>
  <si>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St. Theresa General Hospital 
St. Therese - St. Paul Healthcare Centre
Swan Hills Healthcare Centre
Valleyview Community Health Services
Westlock Provincial Building
Whitecourt Community Health Services</t>
  </si>
  <si>
    <t>Peace River Community Health Centre
Address10101 68 Street Peace River, AlbertaT8S 1T6
Telephone780-618-3405
Fax780-624-7260
Getting ThereLocated west of 74 Street</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</si>
  <si>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</si>
  <si>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Hardisty Health Centre
Address4531 47 Avenue Hardisty, AlbertaT0B 1V0
Telephone780-888-8317
AccessibilityParking
Getting ThereParking available</t>
  </si>
  <si>
    <t>Camrose Addiction and Mental Health Clinic
Consort Community Health Centre
Coronation Hospital and Care Centre
Drayton Valley Community Health Centre
Drumheller Health Centre
Hanna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</si>
  <si>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Hardisty Health Centre</t>
  </si>
  <si>
    <t>Gateway Centre
Address4825 51 Street Camrose, AlbertaT4V 1R9
Telephone780-679-6803 (ext. 109) (Coordinator)</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</si>
  <si>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</si>
  <si>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Gateway Centre</t>
  </si>
  <si>
    <t>Piyami Place
Address301 Cowan Avenue Picture Butte, AlbertaT0K 1V0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</si>
  <si>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River Ridge Seniors Village
St. Michael's Health Centre
St. Therese Villa
Sunny South Lodge
Sunrise Gardens</t>
  </si>
  <si>
    <t>Piyami Place</t>
  </si>
  <si>
    <t>Athabasca Community Health Services
Address3401 48 Avenue Athabasca, AlbertaT9S 1M7
Telephone780-675-5841
Tollfree310-0000 780-675-5841, 1-866-332-2322 (24 hr Help Line)
Fax780-675-3848
Getting ThereSouth of Highway 55</t>
  </si>
  <si>
    <t>Days of the Week
Monday8:00 am - 4:30 pm
Tuesday8:00 am - 4:30 pm
Wednesday8:00 am - 4:30 pm
Thursday8:00 am - 4:30 pm
Friday8:00 am - 4:30 pm
Note
Closed 12:00 PM (noon) to 1:00 PM, and statutory holidaays.</t>
  </si>
  <si>
    <t>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St. Paul Provincial Building
Whitecourt Provincial Building</t>
  </si>
  <si>
    <t>George McDougall - Smoky Lake Healthcare Centre
Address4212 55 Avenue Smoky Lake, AlbertaT0A 3C0
Telephone780-342-2383
Fax780-342-3348
Getting ThereOn the northeast side of town, along Highway 28.</t>
  </si>
  <si>
    <t>Athabasca Community Health Services
Barrhead Healthcare Centre
Beaverlodge Community Health Services
Bonnyville New Park Place
Central Peace Health Complex
Cold Lake Healthcare Centre
Edson Healthcare Centre
Fairview Health Complex
Fox Creek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</si>
  <si>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Northern Lights Regional Health Centre
Address7 Hospital Street Fort McMurray, AlbertaT9H 1P2
Telephone780-791-6194 
Fax780-791-6219, 1-877-853-5380 
Getting ThereParking map</t>
  </si>
  <si>
    <t>Days of the Week
Monday8:00 am - 4:15 pm
Tuesday8:00 am - 4:15 pm
Wednesday8:00 am - 4:15 pm
Thursday8:00 am - 4:15 pm
Friday8:00 am - 4:15 pm
Note
ClosedÂ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</si>
  <si>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</si>
  <si>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Points West Living Grande Prairie
Address11460 104 Avenue Grande Prairie, AlbertaT8V 3G9
Telephone780-357-5700
Tollfree1-855-371-4122 (Continuing Care Access)
Fax1-855-776-3805 (Continuing Care Access)</t>
  </si>
  <si>
    <t>Bar-V-Nook Manor
Edson Healthcare Centre
Grande Prairie Care Centre
Heimstaed Lodge
Hinton Continuing Care Centre
J. B. Wood Continuing Care Centre
Manoir du Lac 
Points West Living Cold Lake
Points West Living Lac La Biche
Points West Living Peace River
Points West Living Slave Lake
Stone Brook
Wild Rose Assisted Living</t>
  </si>
  <si>
    <t>Points West Living Grande Prairie</t>
  </si>
  <si>
    <t>Good Samaritan Garden Vista
Address37 East 2 Avenue NMagrath, AlbertaT0K 1J0
Tollfree1-866-388-6380 (Home Care Assessment)</t>
  </si>
  <si>
    <t>Extendicare Fairmont Park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</si>
  <si>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Garden Vista</t>
  </si>
  <si>
    <t>Cross Cancer Institute
Address11560  University  Avenue Edmonton, AlbertaT6G 1Z2
Telephone780-432-8260, 780-432-8771 (Switchboard)
Getting ThereParking and Public transportation available
Parking map</t>
  </si>
  <si>
    <t>Tom Baker Cancer Centre
Westmount Shopping Centre</t>
  </si>
  <si>
    <t>Barrhead Healthcare Centre
Address4815 51 Avenue Barrhead, AlbertaT7N 1M1
Telephone780-674-2221
Fax780-674-3541
Getting ThereLocated on the east side of Highway 33</t>
  </si>
  <si>
    <t>Athabasca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</si>
  <si>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Cardston Provincial Building 
Address576 Main Street Cardston, AlbertaT0K 0K0
Telephone403-653-5240
Fax403-653-2926</t>
  </si>
  <si>
    <t>Days of the Week
Monday8:30 am - 5:00 pm
Tuesday8:30 am - 5:00 pm
Wednesday8:30 am - 5:00 pm
Thursday8:30 am - 5:00 pm
Friday8:30 am - 5:00 pm
Note
By appointment only. 
Closed 12:00 PM (Noon) to 1:00 PM.</t>
  </si>
  <si>
    <t>Brooks 403  2 Avenue W
Crowsnest Pass Provincial Building
Medicine Hat Provincial Building
Melcor Centre
Oyen Community Health Services
Taber Health Centre</t>
  </si>
  <si>
    <t xml:space="preserve">Cardston Provincial Building </t>
  </si>
  <si>
    <t>Service Providers May Includepsychiatrists, psychologists, social workers
Service LanguagesInterpreter/Translation services</t>
  </si>
  <si>
    <t>East Calgary Health Centre
Address4715 8 Avenue SECalgary, AlbertaT2A 3N4
Telephone403-955-1010
Getting TherePublic transportation available</t>
  </si>
  <si>
    <t xml:space="preserve">Helps family doctors identify, assess and treat children and adolescents with mental health concerns.Connects family doctors with mental health consultants (psychologists, social workers, registered nurses, psychiatrists). Services include:
identifying and assessing children and their families
consultation and / or short-term treatment
providing referrals to other mental health resources
offering educational activities for doctors
</t>
  </si>
  <si>
    <t>Fort McMurray Recovery Centre
Address451 Sakitawaw Trail Fort McMurray, T9H 4P3
Getting ThereParking is available</t>
  </si>
  <si>
    <t>Bonnyville Indian Metis Rehabilitation Centre
Northern Addictions Centre</t>
  </si>
  <si>
    <t>Fort McMurray Recovery Centre</t>
  </si>
  <si>
    <t>Service Providers May Includepsychologists, registered nurses (RNs),registered psychiatric nurses, registered social workers
EligibilityAdults 18 years and older who:
have a diagnosis or symptoms of a mental health problem
are not actively psychotic
have no significant cognitive deficits.
Â 
We do not provide couples counselling or bereavment services
Service Clients can self-referÂ to the Integrated Crisis and  TeamÂ or obtain a referral from doctor or psychiatrist.
Appointment is required.
Service LanguagesInterpreter/Translation services</t>
  </si>
  <si>
    <t xml:space="preserve">Program provides individual and group therapyTalk therapyÂ for individuals who have a mental health diagnosis / issue.
For more information see Group Service Options
</t>
  </si>
  <si>
    <t>Service Providers May Includeaddiction counselors, mental health counselors, occupational therapists (OTs), psychiatrists, psychologists, registered nurses (RNs), social workers
EligibilityAdults (young adults under 18 may be considered).
Wait TimesAn estimated wait time will be provided at the time of appointment booking.
Service LanguagesInterpreter/Translation services</t>
  </si>
  <si>
    <t>Edmonton 108 Street Building 
Address9942 108 Street NWEdmonton, AlbertaT5K 2J5
Telephone780-342-7700
Fax780-425-9317 , 780-422-0832
Getting ThereOn major bus route Metered parking or Impark lot across the street on corner</t>
  </si>
  <si>
    <t xml:space="preserve">Goal-directed, recovery-based care is tailored to the needs of individual clients who are dealing with acute or severe and persistent mental illness.Services include a variety of strategies to help individuals and their families address their addiction and mental health concerns, and treatment may be provided in an individual or group setting. Therapy is recovery focused and clients may be connected to other programs as appropriate.
Mental health therapists work collaboratively with primary care providers (family physicians and PCNâ€™s) so that the clientsâ€™ ongoing care may be followed through at the primary care level.
Consulting psychiatrists are available and can be used as part of a comprehensive treatment plan. The psychiatrist then may or may not follow the client on an ongoing basis. Clients may be referred to a clinic nurse to have medications administered. A clinical pharmacist is also available for medication consultation.
The Independent Living Support Team provides enhanced daily living supports with a focus on building skills that will enable community living. Access to this care team is limited to clients who are actively in treatment with a mental health therapist. A Family Matters support group is run one evening a week to assist families and friends of those experience addiction and mental health concerns.
</t>
  </si>
  <si>
    <t>Barrhead Healthcare Centre
Address4815 51 Avenue Barrhead, AlbertaT7N 1M1
Telephone780-674-8243
Fax780-674-8352
Getting ThereLocated on the east side of Highway 33</t>
  </si>
  <si>
    <t>Athabasca Community Health Services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</si>
  <si>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Balwin Villa
Address6920 128 Avenue Edmonton, AlbertaT5C 1S7
Telephone780-496-1300 (Community Care Access)</t>
  </si>
  <si>
    <t>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</si>
  <si>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Balwin Villa</t>
  </si>
  <si>
    <t>Cold Lake Community Health Services
Address4720 55 Street Cold Lake, AlbertaT9M 1V8
Telephone780-594-2404
Fax780-594-4404
Getting ThereLocated behind the Court House and City Hall</t>
  </si>
  <si>
    <t>Athabasca Community Health Services
Barrhead Community Health Services
Beaverlodge Community Health Services
Bonnyville Healthcare Centre 
Boyle Healthcare Centre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</si>
  <si>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Boyle Healthcare Centre
Address5004 Lakeview  Road Boyle, AlbertaT0A 0M0
Telephone780-689-2835
Fax780-689-2677</t>
  </si>
  <si>
    <t>Athabasca Community Health Services
Barrhead Community Health Services
Beaverlodge Community Health Services
Bonnyville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</si>
  <si>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Boyle Healthcare Centre</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</si>
  <si>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</si>
  <si>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Cardston Provincial Building 
Address576 Main Street Cardston, AlbertaT0K 0K0
Telephone403-381-5183, 403-381-5183  (Booking Office - Lethbridge)
Tollfree1-866-332-2322  (24 Hour Help Line)
Fax403-382-4541</t>
  </si>
  <si>
    <t>Days of the Week
Monday8:15 am - 4:30 pm
Tuesday8:15 am - 4:30 pm
Wednesday8:15 am - 4:30 pm
Thursday8:15 am - 4:30 pm
Friday8:15 am - 4:30 pm
Note
Call booking office for information.</t>
  </si>
  <si>
    <t>Brooks 403  2 Avenue W
Crowsnest Pass Provincial Building
Lethbridge Provincial Building
Medicine Hat Provincial Building
Oyen Community Health Services
Pincher Creek Provincial Building 
Taber Health Centre</t>
  </si>
  <si>
    <t>Westlock Community Health Services
Address10024 107 Avenue Westlock, AlbertaT7P 2E3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</si>
  <si>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Whitecourt Healthcare Centre</t>
  </si>
  <si>
    <t>Lifestyle Options Whitemud
Address4069 106 Street Edmonton, AlbertaT6J 4N5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</si>
  <si>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</si>
  <si>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Lifestyle Options Whitemud</t>
  </si>
  <si>
    <t>Northwest Health Centre 
Address11202 100 Avenue High Level, AlbertaT0H 1Z0
Telephone780-624-6151
Tollfree1-877-823-6433</t>
  </si>
  <si>
    <t>Fairview Health Complex
Grande Prairie Nordic Court 
High Prairie Health Complex
Northern Lights Regional Health Centre
Peace River Mental Health Clinic
Pine Plaza Building
St. Therese - St. Paul Healthcare Centre</t>
  </si>
  <si>
    <t>Sunrise Village Camrose
Address6821 50 Avenue Camrose, AlbertaT4V 5G5
Tollfree1-855-371-4122 (Home Care Assessment)
Websitehttps://www.seasonsretirement.com/</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</si>
  <si>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Sunset Manor
Timberstone Mews
Villa Marie
West Park Lodge</t>
  </si>
  <si>
    <t>Sunrise Village Camrose</t>
  </si>
  <si>
    <t>South Health Campus
Address4448 Front Street SECalgary, AlbertaT3M 1M4
Telephone403-956-2480, 403 955-1525 (Seniors Health One Line Referral)
Fax403 955-1514 (Referral Fax), 403-956-3838
Getting ThereParking available
Parking map</t>
  </si>
  <si>
    <t>Days of the Week
Monday1:00 pm - 4:00 pm
Tuesday1:00 pm - 4:00 pm
Wednesday1:00 pm - 4:00 pm
Thursday1:00 pm - 4:00 pm
Friday1:00 pm - 4:00 pm</t>
  </si>
  <si>
    <t>Bridgeland Seniors Health Centre
Rockyview General Hospital</t>
  </si>
  <si>
    <t>St. Paul Provincial Building
Address5025 49 Avenue St. Paul, AlbertaT0A 3A4</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</si>
  <si>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</si>
  <si>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Medicine Hat Provincial Building
Address346 3 Street SEMedicine Hat, AlbertaT1A 0G7
Telephone403-529-3500
Tollfree1-866-332-2322  (24 Hour Help Line)
Fax403-529-3562
Emailmedicinehat@albertahealthservices.ca</t>
  </si>
  <si>
    <t>Days of the Week
Monday8:00 am - 7:15 pm
Tuesday8:00 am - 7:15 pm
Wednesday8:00 am - 7:15 pm
Thursday8:00 am - 7:15 pm
Friday8:00 am - 4:30 pm
Note
O</t>
  </si>
  <si>
    <t>Brooks 403  2 Avenue W
Cardston Provincial Building 
Crowsnest Pass Provincial Building
Lethbridge Provincial Building
Oyen Community Health Services
Pincher Creek Provincial Building 
Taber Health Centre</t>
  </si>
  <si>
    <t>Days of the Week
Monday8:00 am - 4:30 pm
Tuesday8:00 am - 4:30 pm
Wednesday8:00 am - 4:30 pm
Thursday8:00 am - 4:30 pm
Friday8:00 am - 4:30 pm
Note
Closed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</si>
  <si>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t>
  </si>
  <si>
    <t>Fort Macleod Health Centre
Address744 26 Street SFort Macleod, AlbertaT0L 0Z0
Telephone403-553-5340
Fax403-553-4940</t>
  </si>
  <si>
    <t>Days of the Week
Monday8:15 am - 4:30 pm
Tuesday8:15 am - 4:30 pm
Wednesday8:15 am - 4:30 pm
Thursday8:15 am - 4:30 pm
Friday8:15 am - 4:30 pm
Note
Closed 12:00 PM (Noon) to 12:45 PM.</t>
  </si>
  <si>
    <t>Bow Island Provincial Building
Brooks Health Centre
Crowsnest Pass Provincial Building
Lethbridge Provincial Building
Medicine Hat Provincial Building
Pincher Creek Provincial Building 
Provincial Building
Raymond Health Centre
Taber Health Centre</t>
  </si>
  <si>
    <t>Drayton Valley Community Health Centre
Address4110 50 Avenue Drayton Valley, AlbertaT7A 0B3
Telephone780-542-3140
Fax780-542-4461</t>
  </si>
  <si>
    <t>Camrose Addiction and Mental Health Clinic
Consort Community Health Centre
Coronation Hospital and Care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</si>
  <si>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Service Providers May Includeaddiction counsellors, client care assistants, dietitians, doctors, family counsellors, recreation therapists, registered nurses (RNs)
Service Healthcare providers should consult the Alberta Referral Directory for service referral information.
Please contact the program for more information, including length of stay, program options, and admission requirements.
Service LanguagesInterpreter/Translation services</t>
  </si>
  <si>
    <t>1835 House
Address1835 27  Avenue SWCalgary, AlbertaT2T 1H2
Telephone403-245-1196
Fax403-244-4019
Emailrecovery@recoveryacres.org
Websitehttp://www.recoveryacres.org
Getting ThereCalgary Transit routeÂ 6 has a bus stop two blocks away.</t>
  </si>
  <si>
    <t>Aventa Addiction Treatment For Women</t>
  </si>
  <si>
    <t>1835 House</t>
  </si>
  <si>
    <t xml:space="preserve">Provides support for people who have are transitioning from addiction treatment back into daily life.Continued care for people who have finished treatment for addiction issues and are transitioning back into their everyday lives.
Services may include:
outpatient counselling/group counselling
life skill training
housing or supported living
referral to other agencies and services
educational and work training or referrals
</t>
  </si>
  <si>
    <t>Redwater Health Centre 
Address4812 58 Street Redwater, AlbertaT0A 2W0
Telephone780-942-3932</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</si>
  <si>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</si>
  <si>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Service Providers May Includesocial workers
EligibilityClients have experienced the loss of a young child ages 0 - 17 years.
Service Healthcare providers should consult the Alberta Referral Directory for service referral guidelines and referral forms.
Service LanguagesInterpreter/Translation services</t>
  </si>
  <si>
    <t>Rotary Flames House
Address18 Children's Drive NWCalgary, AlbertaT3B 6A8
Telephone403-955-5463
Fax403-955-5501</t>
  </si>
  <si>
    <t>Days of the Week
Monday8:00 am - 4:00 pm
Tuesday8:00 am - 4:00 pm
Wednesday8:00 am - 4:00 pm
Thursday8:00 am - 4:00 pm</t>
  </si>
  <si>
    <t xml:space="preserve">Provides grief support, counselling and groups for parents who have experienced the loss of a child 0 - 17 years of age in the Calgary and surrounding area.This service provides:
individual or couples counselling specific to loss of a child
Together Forever, a monthly open support group
6 week closed grief group
annual celebration of life memorial service
</t>
  </si>
  <si>
    <t>Frank Maddock High School
Address4801 43 Street Drayton Valley, AlbertaT7A 1P4
Telephone780-542-4401
Fax780-542-3407
Websitehttp://www.iamempoweredconference.ca/, http://www.aimforsuccess.ca/</t>
  </si>
  <si>
    <t>Aurora Elementary School
Drayton Christian School
Drayton Valley Community Outreach School
Eldorado Elementary School
H W Pickup Junior High School
Wild Rose School Division</t>
  </si>
  <si>
    <t>Frank Maddock High School</t>
  </si>
  <si>
    <t>Service Providers May Includeaddiction counselors, mental health therapists, psychologists
Service Public can call the main line to determine if this is the right service for them, or direct them accordingly.
Service LanguagesInterpreter/Translation services</t>
  </si>
  <si>
    <t>Grande Prairie Nordic Court 
Address10014 99 Street Grande Prairie, AlbertaT8V 3N4
Telephone780-538-5162
Tollfree1-877-303-2642 (24 hr Help Line)
Fax780-538-6279
Websitehttp://www.albertahealthservices.ca/youthmentalhealthresources.asp</t>
  </si>
  <si>
    <t>Days of the Week
Monday8:00 am - 4:30 pm
Tuesday8:00 am - 4:30 pm
Wednesday8:00 am - 4:30 pm
Thursday8:00 am - 4:30 pm
Friday8:00 am - 4:30 pm
Note
Closed on Statutory HolidaysServices are provided for children and youth under 18.</t>
  </si>
  <si>
    <t xml:space="preserve">Addiction Services offers information services, prevention programs, outpatient counselling, tobacco reduction &amp; cessation, Youth Detox &amp; Stabilization (YDS)and the Protection of Children Abusing Drugs (PChAD) program. Mental Health offers individual psychotherapy, child management counselling, behavior therapy, critical incident stress debriefing, post-disaster crisis counselling, and community outreach services for children.Addiction Services for children, youth, parents and family members include:
Information services focused on increasing awareness
Prevention services offer education and community building ccapacity
Outpatient counselling offered in office and throughout many schools
Tobacco Reduction &amp; Cessation support
Youth Detox &amp; Stabilization (YDS) program
Protetion of Children Abusing Drugs (PChAD)
Mental Health Services provided forÂ children with acute psychiatric or emotional disorders include:
consultation, assessment, diagnosis and treatment
individual and family support
behavioural therapy
treatment for eating disorders
community crisis triage including emergency consultations, risk assessments and education and promotion and collaboration with other community agencies to provide support to mutual clients
Regional Wellness Promoters/Suicide Prevention provides consultation, education and workshops on Wellness and Suicide Prevention
</t>
  </si>
  <si>
    <t>Service Providers May Includemental health clinicians, outreach workers, psychiatrists
Service Healthcare providers should consult the Alberta Referral Directory for service referral information.
Â 
The BES team accepts referrals from the Geriatric Mental Health Consult Service.
Â 
Please refer clients to the Consult service for assessment and support. They will refer to the BES team when needed.
Service LanguagesInterpreter/Translation services</t>
  </si>
  <si>
    <t xml:space="preserve">Provides short term intensive support to staff and clients in Long Term Care and Supportive Living facilities to help manage mental health concerns and complex behavioural challenges.A group of mental health clinicians and educators provide support to staff and clients in long term care and supportive living facilities to help manage mental health concerns and complex behaviours.
Support includes:
clarifying what the client needs and the reason for challenging behaviors and to build capacity in site staff to manage complex clients
collaborative assessment of client with site care team
joint development of care plans
supporting the use of strategies
education to staff about mental health generally, caring for clients with mental health concerns, behaviour management
The Behavioural Education and Support Team (BES) works in tandem with the Geriatric Mental Health Consulting Team.
</t>
  </si>
  <si>
    <t>Service Providers May Includepsychiatrists, registered nurses (RNs)
EligibilityAdmission Criteria
adults (18-65 years of age)
primary psychiatric diagnosis
willingness to participate in programs
.
Service Healthcare providers should consult the Alberta Referral Directory for service referral information.
Wait TimesWait time varies.Â  Call for information.
Service LanguagesInterpreter/Translation services</t>
  </si>
  <si>
    <t>Claresholm Centre for Mental Health &amp; Addictions 
Address139 43 Avenue WClaresholm, AlbertaT0L 0T0
Telephone403-682-3563
Fax403-625-4318
Websitehttp://www.ahs.ca/claresholmcentre
Getting ThereParking available</t>
  </si>
  <si>
    <t>Days of the Week
Monday8:00 am - 4:00 pm
Tuesday8:00 am - 4:00 pm
Wednesday8:00 am - 4:00 pm
Thursday8:00 am - 4:00 pm
Friday8:00 am - 4:00 pm
Note
Crisis support available 24/7.</t>
  </si>
  <si>
    <t xml:space="preserve">Provides support and resources to people with mental health issues living in the community of Claresholm.Â  Services include:
symptom management
crisis managementÂ 
client advocacy
daily living skills managment
medication management
psychosocial group therapyÂ 
social supportÂ  activities
</t>
  </si>
  <si>
    <t>Lamont Health Care Centre
Address5216 53  Street Lamont, AlbertaT0B 2R0
Telephone780-895-5817
Fax780-895-2200</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</si>
  <si>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</si>
  <si>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Percy Baxter Middle School
Address101 Mink Creek Road Whitecourt, AlbertaT7S 1S2
Telephone780-262-0466 (Team For Success), 780-778-3898 (School)</t>
  </si>
  <si>
    <t>Pat Hardy Primary School
Whitecourt Central School</t>
  </si>
  <si>
    <t>Percy Baxter Middle School</t>
  </si>
  <si>
    <t>Whitecourt Healthcare Centre
Address20 Sunset Boulevard Whitecourt, AlbertaT7S 1M8
Telephone780-778-5555
Fax780-778-3852
Getting ThereSouth of Highway 43</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</si>
  <si>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t>
  </si>
  <si>
    <t>St. Therese - St. Paul Healthcare Centre
Address4713 48  Avenue St. Paul, AlbertaT0A 3A3
Telephone780-645-6346</t>
  </si>
  <si>
    <t>Centre of Hope
Edmonton 108 Street Building 
Fort McMurray Queen Street Building 
Grande Prairie Aberdeen Centre
Lethbridge Provincial Building
Peace River Community Mental Health Services
Red Deer 49 Street Community Health Centre - Addiction and Mental Health Services
Regional Resource Centre - Medicine Hat Regional Hospital</t>
  </si>
  <si>
    <t>Copper Sky Lodge
Address100 McLaughlin Drive Spruce Grove, AlbertaT7X 0A6
Telephone780-496-1300 (Community Care Access)</t>
  </si>
  <si>
    <t>Balwin Villa
CapitalCare McConnell Place North
CapitalCare McConnell Place West
Chartwell Aspen House
Chartwell Griesbach
Chartwell Heritage Valley
Chateau Vitaline
Churchill Retirement Community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</si>
  <si>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Copper Sky Lodge</t>
  </si>
  <si>
    <t>Vegreville Community Health Centre
Address5318 50 Street Vegreville, AlbertaT9C 1R1
Telephone780-632-2714</t>
  </si>
  <si>
    <t>Days of the Week
Monday8:00 am - 4:30 pm
Tuesday8:00 am - 4:30 pm
Wednesday8:00 am - 4:30 pm
Thursday8:00 am - 4:30 pm
Friday8:00 am - 4:30 pm
Note
ClosedÂ from 12:00 PM to 1:00 PM for Lunch.</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</si>
  <si>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Vermilion Provincial Building
Wainwright 905A 3 Avenue
Wetaskiwin Provincial Building</t>
  </si>
  <si>
    <t>Athabasca Community Health Services
Address3401 48 Avenue Athabasca, AlbertaT9S 1M7
Telephone780-342-2383
Fax780-342-3348
Getting ThereSouth of Highway 55</t>
  </si>
  <si>
    <t>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</si>
  <si>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Sacred Heart Community Health Centre
Address350 3 Avenue NWMcLennan, AlbertaT0H 2L0
Telephone780-324-3730 
Tollfree1-877-823-6433
Fax1-877-853-5380 
Getting ThereMain Street McLennan</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</si>
  <si>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</si>
  <si>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Service Providers May Includeoccupational therapists (OTs), psychiatrists, psychologists, registered nurses (RNs), social workers
Eligibility18 years and older
Service Adult Crisis Response Line.
Contact Crisis Response Team for crisis intervention and urgent psychiatric clinic consultation.
Service LanguagesInterpreter/Translation services</t>
  </si>
  <si>
    <t>George Spady Centre
Address10015 105A Avenue NWEdmonton, AlbertaT5H 0M5
Telephone780-424-8335
Fax780-426-1203
Emailadmin@gspady.ab.ca 
Websitehttp://www.gspady.ab.ca</t>
  </si>
  <si>
    <t>/affiliations
Canadian Mental Health Association - Edmonton Region, George Spady Centre; Edmonton Emergency Medical Services (EMS)</t>
  </si>
  <si>
    <t>George Spady Centre</t>
  </si>
  <si>
    <t xml:space="preserve">Provides a range of in home assessments and support services to clients and their families who are in an acute mental health crisis in the community.The Urgent Services Team is the amalgamation of the Crisis Response Team and the Community Support Team offering a range of in home assessments and support services to clients and their families who are in an acute mental health crisis in the community.
These services include:
crisis intervention
consultation assessment
community or home based stabilization services
Urgent Psychiatric Clinic consultation
This service is provided by AHS and AHS contracted service providers.
</t>
  </si>
  <si>
    <t>Service Providers May Includemental health counselors
EligibilityAdults (young adults under 18 may be considered)
Wait TimesAn estimated wait time will be provided at the time of appointment booking.
Service LanguagesInterpreter/Translation services</t>
  </si>
  <si>
    <t>Edmonton 108 Street Building 
Address9942 108 Street NWEdmonton, AlbertaT5K 2J5
Telephone780-342-7700
Fax780-342-7621
Getting ThereOn major bus route Metered parking or Impark lot across the street on corner</t>
  </si>
  <si>
    <t>/affiliations
CAATS Northgate AMH Clinic</t>
  </si>
  <si>
    <t xml:space="preserve">Provides information, screening and referral to adults seeking help for mental health and / or addiction problems.Intake therapists provide adults with personal assistance through scheduled telephone or in person appointments at which time their needs are determined and referral to either community or services available at the Edmonton Mental Health ClinicÂ or to another Addiction &amp; Mental Health Service are arranged.
</t>
  </si>
  <si>
    <t>Grouard Northland School
AddressPO Bag 2000   Grouard, AlbertaT0G 1C0
Telephone780-751-3772 ext 1521
Tollfree1-800-362-1360 ext 1521
Fax780-751-3721</t>
  </si>
  <si>
    <t>Days of the Week
Monday4:30 am - 4:30 pm
Tuesday4:30 am - 4:30 pm
Wednesday4:30 am - 4:30 pm
Thursday4:30 am - 4:30 pm
Friday4:30 am - 4:30 pm</t>
  </si>
  <si>
    <t>Sunrise Village High River
Address660 7 Street High River, AlbertaT1V 1S7
Telephone403-943-1920 (Home Care Assessment)
Websitehttps://www.seasonsretirement.com/</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</si>
  <si>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Swan Evergreen Village
Wentworth Manor / The Residence and The Court
Whitehorn Village Retirement Community
Wing Kei Greenview</t>
  </si>
  <si>
    <t>Sunrise Village High River</t>
  </si>
  <si>
    <t>Fort Saskatchewan Community Hospital
Address9401 86 Avenue Fort Saskatchewan, AlbertaT8L 0C6
Telephone780-342-2701(Central Intake), 780-342-2388 (Clinic Information)
Getting ThereParking and Public transportation available</t>
  </si>
  <si>
    <t>Centre Hope Building 
Edmonton Peace Hills Trust Tower
Morinville Provincial Building
Northgate Centre
Rutherford Health Centre
St. Albert Provincial Building
Stan Woloshyn Building
Strathcona Community Hospital</t>
  </si>
  <si>
    <t>Swan Evergreen Village
Address2635 Eversyde Avenue SWCalgary, AlbertaT2Y 5G9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</si>
  <si>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Wentworth Manor / The Residence and The Court
Whitehorn Village Retirement Community
Wing Kei Greenview</t>
  </si>
  <si>
    <t>Swan Evergreen Village</t>
  </si>
  <si>
    <t>Good Samaritan Stony Plain Care Centre
Address4800 55 Avenue Stony Plain, AlbertaT7Z 1P9
Telephone780-496-1300 (Community Care Access)</t>
  </si>
  <si>
    <t>Balwin Villa
CapitalCare McConnell Place North
CapitalCare McConnell Place West
Chartwell Aspen House
Chartwell Griesbach
Chartwell Heritage Valley
Chateau Vitaline
Churchill Retirement Community 
Copper Sky Lodge
Garneau Hall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</si>
  <si>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Good Samaritan Stony Plain Care Centre</t>
  </si>
  <si>
    <t>Sturgeon Community Hospital
Address201 Boudreau Road St. Albert, AlbertaT8N 6C4
TelephoneAccess to this service is by Emergency Room visit only
Getting ThereAt Intersection of St. Albert Trail and Boudreau Rd.
Parking map</t>
  </si>
  <si>
    <t>Fort Saskatchewan Community Hospital
Grey Nuns Community Hospital
Leduc Community Hospital
Misericordia Community Hospital 
Northeast Community Health Centre
Royal Alexandra Hospital
Strathcona Community Hospital
University of Alberta Hospital
WestView Health Centre - Stony Plain</t>
  </si>
  <si>
    <t>Sturgeon Community Hospital</t>
  </si>
  <si>
    <t>Slave Lake - Information / Registration / Appointments
Telephone780-849-3039 (Coordinator)</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</si>
  <si>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Southland Park III - Southport Atrium
University of Alberta - Administration Building</t>
  </si>
  <si>
    <t>Slave Lake - Information / Registration / Appointments</t>
  </si>
  <si>
    <t>Gibbons Health Unit
Address4720 50 Avenue Gibbons, AlbertaT0A 1N0
Telephone780-342-2660 (Switchboard)</t>
  </si>
  <si>
    <t>Beaumont Public Health Centre
Centre Hope Building 
Devon General Hospital
Fort Saskatchewan Community Hospital
Good Samaritan Pembina Village
Morinville Provincial Building
Redwater Health Centre 
St. Albert Provincial Building
Stan Woloshyn Building
Strathcona Community Hospital
Thorsby Public Health Centre
WestView Health Centre - Stony Plain</t>
  </si>
  <si>
    <t>Sylvan Lake Community Health Centre
Address4602 49 Avenue Sylvan Lake, AlbertaT4S 1M7
Telephone403-887-6777
Tollfree24 Hour Mental Health Help Line 1 877-303-2642, 24 Hour Addiction Help Line 1 877-332-2322
Fax403-887-6721</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</si>
  <si>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Three Hills Provincial Building
Tofield Health Centre
Vegreville Community Health Centre
Vermilion Provincial Building
Wainwright 905A 3 Avenue
Wetaskiwin Provincial Building</t>
  </si>
  <si>
    <t>Hanna Health Centre
Address904 Centre Street NHanna, AlbertaT0J 1P0
Telephone403-854-5249</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</si>
  <si>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</si>
  <si>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Crowsnest Pass Provincial Building
Address12501 20 Avenue Blairmore, AlbertaT0K 0E0
Telephone403-562-2966
Tollfree1-866-332-2322 (24 Hour Help Line)
Fax403-562-8933</t>
  </si>
  <si>
    <t>Brooks 403  2 Avenue W
Cardston Provincial Building 
Medicine Hat Provincial Building
Melcor Centre
Oyen Community Health Services
Taber Health Centre</t>
  </si>
  <si>
    <t>Hinton Centre
Address965 Switzer Drive Hinton, AlbertaT7V 1X6
Telephone780-865-5189
Emailmain@fchinton.com</t>
  </si>
  <si>
    <t>Note
Contact for information.</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</si>
  <si>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</si>
  <si>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Hinton Centre</t>
  </si>
  <si>
    <t>Service Providers May Includemental health therapists, psychologists, social workers
EligibilityCases are typically complex, with mental health and other concurring health needs. Clients are youth as young as 16 who are about to transition into adulthood.
Referral NeededReferral by a Community Agency. Call to receive a copy of the referral form.
Wait TimesThe Successful Transitions Committee meet monthly. Wait times of up to 2 months to bring a case forward to the group.
Service LanguagesInterpreter/Translation services</t>
  </si>
  <si>
    <t>Richmond Road Diagnostic and Treatment Centre
Address1820 Richmond Road SWCalgary, AlbertaT2T 5C7
Telephone403-955-8964
Getting ThereParking available
Parking map</t>
  </si>
  <si>
    <t>/affiliations
Office of the Public Guardian, Office of the Public Trustee, Persons with Developmental Disability(PDD), Home Care, Family Support for Children with Disabilities (FSCD), Well on Your Way (Medical Transition)</t>
  </si>
  <si>
    <t xml:space="preserve">Consultation service for health providers or family / guardians caring for a teen transitioning into adulthood that has complex mental health / developmental and / or other health issues.Consultation is provided to professionals regarding cases that they carry that are complex and the client is preparing to transition into adulthood and adult services.Â  The consultants at the table are managers and have the ability to advocate on behalf of the client within their own services / systems.
Professional is provided with advice about how best to facilitate the transition.
</t>
  </si>
  <si>
    <t>South Calgary Health Centre
Address31 Sunpark  Plaza SECalgary, AlbertaT2X 3W5
Telephone403-943-1500 Ext 1 (Access Mental Health)</t>
  </si>
  <si>
    <t>Days of the Week
Monday8:00 am - 4:30 pm
Tuesday8:00 am - 4:30 pm
Wednesday8:00 am - 4:30 pm
Thursday8:00 am - 4:30 pm
Friday8:00 am - 4:30 pm
Note
Evening appointments may be available on request.</t>
  </si>
  <si>
    <t>East Calgary Health Centre
Foothills Professional Building</t>
  </si>
  <si>
    <t>Service Providers May Includeindigenous liaisons, nurse practitioners (NPs), recovery workers, registered nurses (RNs), registered psychiatric nurses (RPNs)
Service LanguagesInterpreter/Translation services</t>
  </si>
  <si>
    <t>Fort McMurray Queen Street Building 
Address10217  Queen  Street Fort McMurray, AlbertaT9H 5S5
Telephone780-788-1556
Tollfree1-844-638-4268
Emailstreet.connect@ahs.ca</t>
  </si>
  <si>
    <t xml:space="preserve">Focuses on reducing barriers for vulnerable people seeking health and medical support.Comprises of a healthcare team is delivering a wide range of services to homeless individuals. This voluntary, outpatient program for clients that choose to not to access traditional health services. The Street Connect team is catered to clients experiencing substance use and / or mental health issues. The main goals are; harm reduction and wellness. The team will works to provide many services including:
support for mental health
addictions
primary care
sexual health education
self-harm reduction
pregnancy testing.
</t>
  </si>
  <si>
    <t>Service Providers May Includehealth promotion facilitators
Service Please call to make an appointment.</t>
  </si>
  <si>
    <t>Youth Substance Use and Mental Health Services
Address1005 17 Street NWCalgary, AlbertaT2N 2E5
Telephone403-297-4664
Tollfree 24 hour Help Line 1-866-332-2322
Fax403-297-4668
EmailCHPS@ahs.ca.
AccessibilityMain floorRamps
Getting TherePublic transportation available</t>
  </si>
  <si>
    <t>Days of the Week
Monday8:15 am - 6:00 pm
Tuesday8:15 am - 6:00 pm
Wednesday8:15 am - 9:00 pm
Thursday8:15 am - 4:30 pm
Friday8:15 am - 4:30 pm
Note
Please call to arrange time for your prevention and education event.</t>
  </si>
  <si>
    <t xml:space="preserve">Works within the community to increase protective factors and reduce risk related to substance use and mental health disorders.CHPS (Community Health Promotion Services) provides substance use prevention and mental health promotion programs and training in Calgary. Our focus is building protective factors and reducing risk factors associated with substance misuse and mental health disorders. All services are free and can be accessed by contacting the office. Services include:
consultation
needs assessment
information and advice
education, trainings and workshops
membership on committees
support with program development
connection to existing resources
</t>
  </si>
  <si>
    <t>Lois Hole Hospital for Women
Address10240 Kingsway Avenue Edmonton, AlbertaT5H 3V9
Telephone780-735-4119 , 780-735-2611 
AccessibilityFront entranceElevators and washrooms</t>
  </si>
  <si>
    <t>Note
Open Weekdays, Open Weekends, Open Evenings</t>
  </si>
  <si>
    <t>Alberta Hospital Edmonton
Cross Cancer Institute
Devon General Hospital
Glenrose Rehabilitation Hospital 
Grey Nuns Community Hospital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</si>
  <si>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Lois Hole Hospital for Women</t>
  </si>
  <si>
    <t>High River Addiction and Mental Health Clinic 
Address617 1 Street WHigh River, AlbertaT1V 1M5
Telephone403-652-8340
Tollfree1-877-652-4700 (Intake Line)
Fax403-601-8016</t>
  </si>
  <si>
    <t>Addiction and Mental Health Clinic - Strathmore
Airdrie Provincial Building
Banff Community Health Centre
Canmore Boardwalk Building
Chestermere Community Health Centre
Claresholm Addiction and Mental Health Clinic
Cochrane Addiction and Mental Health Clinic 
Didsbury District Health Services
Nanton Community Health Centre
Oilfields General Hospital
Okotoks Mental Health Centre</t>
  </si>
  <si>
    <t>Service Providers May Includefamily counselors, psychiatrists, psychologists, registered nurses (RNs), social workers
EligibilityParent(s)/legal guardian must regularly participate in family therapy and agree to medication management, individual therapy and education sessions.
Mood and Anxiety Stream
Inclusion Criteria
younger then 18 years old
diagnosis of anxiety and/or mood disorder
receiving comprehensive treatment and is not responding
Exclusion Criteria
unmanaged and/or untreated ADHD(Attention-deficit/hyperactivity disorder)
disruptive, impulse-control, eating and conduct disorders
selective mutism
medically unstable
Psychosis Stream
Inclusion Criteria
14 years old or younger
diagnosis of psychotic disorder
Exclusion Criteria:
not medically stable
cannot be managed on an outpatient basis
Referral NeededYou need to be referred through  Mental Health.
Service Healthcare providers should consult the Alberta Referral Directory for service referral information.
Contact  Mental Health to arrange for a referral.
Service LanguagesInterpreter/Translation services</t>
  </si>
  <si>
    <t>Days of the Week
Monday8:00 am - 4:15 pm
Tuesday8:00 am - 4:15 pm
Wednesday8:00 am - 4:15 pm
Thursday8:00 am - 4:15 pm
Friday8:00 am - 4:15 pm
Note
Hours are for reception. Appointments may be scheduled outside of these hours.</t>
  </si>
  <si>
    <t xml:space="preserve">Provides services to children and adolescents with moderate to severe mood or anxiety disorders, and to children and adolescents with psychosis, who are not responding well to other treatments.Mood and Anxiety Services (children 0-18 years of age):
multi-disciplinary team assessment
short term treatment (medication management, parent coaching, and individual/family and/or group therapy as required)
psycho-education on mood and anxiety disorders 
Psychosis Services (children age 14 and under):
psychiatric assessment
medication management
psycho-education on psychosis
consultation for schools
discipline assessments as required (psychology, occupational therapy)
facilitate access to appropriate community resources
</t>
  </si>
  <si>
    <t>Edmonton Peace Hills Trust Tower
Address10011 109 Street Edmonton, AlbertaT5J 3S8
Telephone780-400-2270
Emailinfo@casaservices.org
Websitehttp://www.casaservices.org</t>
  </si>
  <si>
    <t>Days of the Week
Monday8:15 am - 5:00 pm
Tuesday8:15 am - 5:00 pm
Wednesday8:15 am - 5:00 pm
Thursday8:15 am - 5:00 pm
Friday8:15 am - 5:00 pm</t>
  </si>
  <si>
    <t>Centre Hope Building 
Fort Saskatchewan Community Hospital
Morinville Provincial Building
Northgate Centre
Rutherford Health Centre
St. Albert Provincial Building
Stan Woloshyn Building
Strathcona Community Hospital</t>
  </si>
  <si>
    <t>Edmonton Peace Hills Trust Tower</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</si>
  <si>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Westlock Healthcare Centre
Whitecourt Healthcare Centre
William J. Cadzow - Lac La Biche Healthcare Centre</t>
  </si>
  <si>
    <t>Athabasca Community Health Services
Barrhead Healthcare Centre
Beaverlodge Community Health Services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</si>
  <si>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La Crete Community Health Centre
Address10601 100 Avenue La Crete, AlbertaT0H 2H0
Telephone780-928-4215
Fax780-926-7383</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</si>
  <si>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</si>
  <si>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Sheldon M. Chumir Health Centre
Address1213 4 Street SWCalgary, AlbertaT2R 0X7
Telephone403-943-1500  (Access Mental Health - Intake)
Getting ThereParking available
Parking map</t>
  </si>
  <si>
    <t>Bridgeland Seniors Health Centre
South Calgary Health Centre
Sunridge Mall</t>
  </si>
  <si>
    <t>St. Andrews School
Address4617 53 Avenue High Prairie, AlbertaT0G 1E0
Telephone780-523-4595
Fax780-523-4422
Emaillauri.davidson@hfcrd.ab.ca</t>
  </si>
  <si>
    <t>High Prairie Elementary School
Prairie River Junior High School</t>
  </si>
  <si>
    <t>St. Andrews School</t>
  </si>
  <si>
    <t>Southland Park III - Southport Atrium
Address10101 Southport  Road SWCalgary, AlbertaT2W 3N2
Telephone403-880-0458 (Coordinator)
Accessibility.Automatic doors at main entrance
Getting ThereOn the southwest corner of Southport Road and Southland Drive SW.
Parking availabe</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</si>
  <si>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University of Alberta - Administration Building</t>
  </si>
  <si>
    <t>Southland Park III - Southport Atrium</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</si>
  <si>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</si>
  <si>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t>
  </si>
  <si>
    <t>Peace River Community Health Centre
Address10101 68 Street Peace River, AlbertaT8S 1T6
Telephone780-624-7538
Getting ThereLocated west of 74 Street</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</si>
  <si>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</si>
  <si>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Canmore General Hospital
Mineral Springs Hospital
Sheldon M. Chumir Health Centre</t>
  </si>
  <si>
    <t>Service Providers May Includeaddiction counsellors, client care assistants, dietitians, doctors, family counsellors, recreation therapists, registered nurses (RNs)
EligibilityMust be 18 years or older, and must be at least 5 days clean and sober. A genuine desire to recover is necessary.
Service Contact the program for information, length of stay, program options, and admission requirements.
Wait TimesBeds come available as individuals leave. Beds are granted to applicants with the greatest need.
FeesFee is $40.00 per day. Cost is usually covered by Alberta Works, for Alberta residents who qualify. Self-pay otherwise. Funding should be arranged in advance, but will be assisted upon arrival. $600.00 deposit required for those without funding. Fees are negotiable for those not qualifying for Alberta Works, or other funding.</t>
  </si>
  <si>
    <t>Southern Alcare Manor
Address520 7 Street SLethbridge, AlbertaT1J 2H1
Telephone403-328-0955
Fax403-381-2021
Emailalcare@telus.net 
Websitehttps://www.southernalcaremanor.ca/</t>
  </si>
  <si>
    <t xml:space="preserve">A residential, 90-day, 3rd Stage treatment program for people with substance addiction.Treatment options and programs may include:
gender-specific programs
Aboriginal-based programs
one to one, family, and group counselling
interactive workshops
information sessions
self-help groups
anger management
tobacco cessation
recreation and leisure programming
nutrition
career planning or training
budget planning
discharge planning
relapse prevention
</t>
  </si>
  <si>
    <t>Regional Resource Centre - Medicine Hat Regional Hospital
Address631 Prospect Drive SWMedicine Hat, AlbertaT1A 4C2
Telephone403-529-3582
Fax403-529-3130
Getting TherePublic transportation available</t>
  </si>
  <si>
    <t>Chinook Regional Hospital
Melcor Centre</t>
  </si>
  <si>
    <t>Service Providers May Includeoccupational therapists (OTs), physical therapists (PTs), psychiatrists, psychologists, registered nurses (RNs), social workers, urologists
EligibilityMust be 13-17 years of age with a diagnosis of spina bifida and other related spinal cord malformation, spinal cord injury, cerebral palsy and other physical developmental delay conditions.
Service Healthcare providers should consult the Alberta Referral Directory for service referral information.
Wait TimesAn estimated wait time will be provided at the time of appointment booking.
Service LanguagesInterpreter/Translation services</t>
  </si>
  <si>
    <t>Glenrose Rehabilitation Hospital 
Address10230 111 Avenue NWEdmonton, AlbertaT5G 0B7
Telephone780-735-7999 Ext. 15375 (Clinic Coordinator)
Fax780-735-6163 (Referral Appointment)
AccessibilityParking stalls
Getting ThereParking available
Public transportation available
Parking map</t>
  </si>
  <si>
    <t xml:space="preserve">This outpatient service provides medical follow-up and a social environment to youth with physical disabilities.Provides medical follow-up to youth with physical disabilities that happen at birth (e.g., cerebral palsy), from disease (e.g., spina bifida), or from an accident (e.g., spinal cord injury). This outpatient service offers psychosocial interventions that are geared towards the youthâ€™s needs and goals.
</t>
  </si>
  <si>
    <t>Days of the Week
Monday8:00 am - 7:15 pm
Tuesday8:00 am - 7:15 pm
Wednesday8:00 am - 7:15 pm
Thursday8:00 am - 7:15 pm
Friday8:00 am - 4:30 pm</t>
  </si>
  <si>
    <t>Bow Island Provincial Building
Brooks Health Centre
Crowsnest Pass Provincial Building
Fort Macleod Health Centre
Lethbridge Provincial Building
Pincher Creek Provincial Building 
Provincial Building
Raymond Health Centre
Taber Health Centre</t>
  </si>
  <si>
    <t>Northern Lights Regional Health Centre
Address7 Hospital Street Fort McMurray, AlbertaT9H 1P2
Telephone780-743-7187
Fax780-743-7112
Getting ThereParking map</t>
  </si>
  <si>
    <t>Fairview Health Complex
Grande Prairie Nordic Court 
High Prairie Health Complex
Northwest Health Centre 
Peace River Mental Health Clinic
Pine Plaza Building
St. Therese - St. Paul Healthcare Centre</t>
  </si>
  <si>
    <t>Service Providers May Includemental health therapists
EligibilityMust be a woman or family who is pregnant or has a child or children under 1 year of age.
Service Healthcare providers should consult the Alberta Referral Directory for service referral information.
Clients can self refer or be referred by a health care professional.
Service LanguagesInterpreter/Translation services</t>
  </si>
  <si>
    <t xml:space="preserve">Provides outreach mental health therapeutic services to struggling mothers and families who are pregnant or have children up to 1 year of age.A partnership between Child and Adolescent Mental Health and Public Health Community ServicesÂ  provides outreach mental health services to new mothers and their families. An assessment helps direct a treatment planÂ which may involve:
individual therapy
group session
referral to other regional and community services
The mental health therapist collaborates with psychiatric services to alleviate the stress brought on by mental health issues and promote the healthy attachment and development of children
</t>
  </si>
  <si>
    <t>Service Providers May Includeoccupational therapists (OTS), psychiatrists, psychologists, registered nurses (RNs), social workers
EligibilityPsychiatrist acceptance of referral.
Service LanguagesInterpreter/Translation services</t>
  </si>
  <si>
    <t>Villa Caritas
Address16515 88 Avenue NWEdmonton, AlbertaT5R 0A4
Telephone780-342-6500, 780-342-6509 (Admissions)
Fax780-342-6579
AccessibilityParkingParking stalls, ramps and washrooms
Getting ThereParking and Public transportation available</t>
  </si>
  <si>
    <t>Available
24 hour service
Note
Admissions Coordinator available from Monday to FridayÂ 8:00Â AM - 4:00 PM.</t>
  </si>
  <si>
    <t xml:space="preserve">Inpatient service that provides stabilization and treatment for geriatric persons suffering from mental illness (including those complicated by an addiction) when the type of care needed cannot be safely provided in a community setting.Provides urgent psychiatric treatment for a broad range of psychiatric problems and diagnoses serious enough to require intensive treatment.
</t>
  </si>
  <si>
    <t>Sunridge Professional Building 
Address2675 36 Street NECalgary, AlbertaT1Y 6H6
Telephone403-944-7666
Fax403-250-8061</t>
  </si>
  <si>
    <t>Days of the Week
Monday1:00 pm - 5:15 pm
Tuesday1:00 pm - 5:15 pm
Wednesday1:00 pm - 5:15 pm
Thursday1:00 pm - 5:15 pm
Friday12:00 pm - 3:30 pm
Saturday12:00 pm - 3:30 pm</t>
  </si>
  <si>
    <t>East Calgary Health Centre
Okotoks Health and Wellness Centre
Sheldon M. Chumir Health Centre
South Calgary Health Centre</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</si>
  <si>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Westlock Provincial Building
Whitecourt Community Health Services</t>
  </si>
  <si>
    <t>Stettler Hospital and Care Centre
Address5912 47 Avenue Stettler, AlbertaT0C 2L0
Telephone403-743-2000
Tollfree24 Hour Mental Health Help Line 1 877-303-2642, 24 Hour Addiction Help Line 1 877-332-2322
Fax403-740-8880</t>
  </si>
  <si>
    <t>Drayton Valley Community Health Centre
Drumheller Health Centre
Lacombe Mental Health Centre
Olds Hospital and Care Centre
Ponoka Provincial Building
Red Deer 49 Street Community Health Centre - Addiction and Mental Health Services
Rocky Mountain House Health Centre
Sylvan Lake Community Health Centre
Wetaskiwin Provincial Building</t>
  </si>
  <si>
    <t>Rocky Mountain House and Area - Information / Registration / Appointments
Telephone403-845-5339 (Office)</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</si>
  <si>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</si>
  <si>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Rocky Mountain House and Area - Information / Registration / Appointments</t>
  </si>
  <si>
    <t>Service Providers May Includepsychologists, registered nurses (RNs), social workers
Service  is by telephone.
Service LanguagesInterpreter/Translation services</t>
  </si>
  <si>
    <t>Sheldon M. Chumir Health Centre
Address1213 4 Street SWCalgary, AlbertaT2R 0X7
Telephone403-266-4357 (Distress Centre)
Emailmobileresponse.team@ahs.ca
Getting ThereParking available
Parking map</t>
  </si>
  <si>
    <t>Days of the Week
Monday9:30 am - 9:30 pm
Tuesday9:30 am - 9:30 pm
Wednesday9:30 am - 9:30 pm
Thursday9:30 am - 9:30 pm
Friday9:30 am - 9:30 pm
Saturday9:30 am - 9:30 pm
Sunday9:30 am - 9:30 pm
Note
Statutory holiday hours are 9:30am - 9:30pm.</t>
  </si>
  <si>
    <t>/affiliations
Distress Centre</t>
  </si>
  <si>
    <t xml:space="preserve">Offers mobile mental health services.Provides mobile mental health services, including:
crisis intervention
prevention
urgent psychiatric assessments
trauma response
mental health education
professional consultations
</t>
  </si>
  <si>
    <t>Northwest Health Centre 
Address11202 100 Avenue High Level, AlbertaT0H 1Z0
Telephone780-841-3200 (Main Switchboard)</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</si>
  <si>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</si>
  <si>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Service Providers May Includeaddiction counselors, social workers, registered nurses (RNs)
EligibilityFemales and males leading high risk lifestyle and who maybe pregnant and / or parenting.
Service Community referral
Service LanguagesInterpreter/Translation services</t>
  </si>
  <si>
    <t>Addiction Services Edmonton
Address10010 102A Avenue NWEdmonton, AlbertaT5J 0G5
Telephone780-427-2736
Fax780-427-4180</t>
  </si>
  <si>
    <t>Addiction Services Edmonton</t>
  </si>
  <si>
    <t xml:space="preserve">Provides outpatient and outreach services to high risk women struggling with substance use, mental health and concurrent disordersAddiction counselors provide counseling and support to high risk women of the child bearing age range that may be pregnant and / or parenting and lead high risk lifestyles. This includes, but not limited to:
family violence
sexual exploitation
homelessness
abuse
legal issues
Child &amp; Family Services involvement.
</t>
  </si>
  <si>
    <t>Cochrane Community Health Centre
Address60 Grande Boulevard Cochrane, AlbertaT4C 0S4
Telephone 403-851-6111
Tollfree310-0000 then dial 403-851-6111
Fax403-851-6112
EmailJim.Arnett@albertahealthservices.ca</t>
  </si>
  <si>
    <t>Days of the Week
Tuesday8:00 am - 6:00 pm
Wednesday8:00 am - 6:00 pm
Thursday8:00 am - 6:00 pm
Friday8:00 am - 6:00 pm</t>
  </si>
  <si>
    <t>Canmore Boardwalk Building
Cascade Plaza 
High River Addiction and Mental Health Clinic 
Hilton Plaza
Lake Louise 200 Hector Street
Youth Substance Use and Mental Health Services</t>
  </si>
  <si>
    <t>Medicine Hat Regional Hospital
Address666 5 Street SWMedicine Hat, AlbertaT1A 4H6
Telephone403-529-8000
Fax403-528-5608
AccessibilityMain entranceParking stalls and washrooms
Getting ThereParking available
Parking map</t>
  </si>
  <si>
    <t>Lacombe Hospital and Care Centre
Rimbey Hospital and Care Centre
Rocky Mountain House Health Centre</t>
  </si>
  <si>
    <t>Oyen Community Health Services
Address315 3 Avenue EOyen, AlbertaT0J 2J0
Telephone403-529-3582 (Medicine Hat office)
Fax403-529-3130</t>
  </si>
  <si>
    <t>Days of the Week
Monday8:00 am - 4:30 pm
Tuesday8:00 am - 4:30 pm
Wednesday8:00 am - 4:30 pm
Thursday8:00 am - 4:30 pm
Friday8:00 am - 4:30 pm
Note
Appointments are booked through the Medicine Hat office.</t>
  </si>
  <si>
    <t>Brooks 403  2 Avenue W
Cardston Provincial Building 
Crowsnest Pass Provincial Building
Lethbridge Provincial Building
Medicine Hat Provincial Building
Pincher Creek Provincial Building 
Taber Health Centre</t>
  </si>
  <si>
    <t>Service Providers May Includeeducators, mental health clinicians, psychiatrists, registered nurses (RNs)
Eligibility
Is approved for or currently living in a ISFL SL3, SL4, SL4D, or LTC environment
Resident is medically stable (Not requiring further medical intervention)
Is 65 or under unless living in: SL3, LTC Rouleau, Agecare Skypointe Mental Health Unit,Â or KINDD unit (18 +)
Service Healthcare providers should consult the Alberta Referral Directory for service referral information.
Wait TimesAn estimated wait time will be provided at the time of appointment booking.</t>
  </si>
  <si>
    <t>Calgary 3465 26 Avenue NE
Address3465 26 Avenue NECalgary, AlbertaT1Y 6L4
Telephone403-943-8322
Fax403-943-8364</t>
  </si>
  <si>
    <t xml:space="preserve">The Applied Behaviour Collaboration (ABC) Team is a short term Addiction and Mental Health service that focuses on building staff capacity and supporting individuals under 65 with complex behavioural and/or mental health needs residing in ISFL contracted services.Provides behavioural support services which MAY include:
behavioural assessment, data analysis, recommendations and strategies
resident intervention based on assessed need
skill building with staff
educational in-services
ongoing evaluation and follow up
continuity of support during hospitalizations
participation in care conferences with ISFL staff, community partners and natural supports
psychiatry support
NOTE:The ABC (Applied Behaviour Collaboration) Team does NOT provide immediate Crisis Intervention.
</t>
  </si>
  <si>
    <t>Consort Hospital and Care Centre
Address5402 52 Avenue Consort, AlbertaT0C 1B0
Telephone403-743-2000
Tollfree24 Hour Mental Health Help Line 1 877-303-2642, 24 Hour Addiction Help Line 1 877-332-2322
Fax403-740-8880</t>
  </si>
  <si>
    <t>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</si>
  <si>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Service Providers May Includemental health counselors
Service LanguagesInterpreter/Translation services</t>
  </si>
  <si>
    <t>Stollery Children's Hospital
Address8440 112 Street Edmonton, AlbertaT6G 2B7
Telephone780-427-4491
Getting ThereParking and Public transportation available</t>
  </si>
  <si>
    <t>Days of the Week
Monday8:30 am - 11:45 pm
Tuesday8:30 am - 11:45 pm
Wednesday8:30 am - 11:45 pm
Thursday8:30 am - 11:45 pm
Friday8:30 am - 11:45 pm
Note
10:00 AM - 10:45 PM Saturday, Sunday and statutory holidays.</t>
  </si>
  <si>
    <t xml:space="preserve">Services provided includes a crisis phone line, plus mobile response for children, youth and families in crisis.Services includes risk:
assessments
parental support
community follow-up
problem-solving with families and other providers
</t>
  </si>
  <si>
    <t>West Jasper Place Public Health Centre
Address9720 182 Street Edmonton, AlbertaT5T 3T9
Telephone780-342-1234
Getting TherePublic transportation available</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</si>
  <si>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WestView Health Centre - Stony Plain
Westmount Shopping Centre</t>
  </si>
  <si>
    <t>West Jasper Place Public Health Centre</t>
  </si>
  <si>
    <t>Days of the Week
Monday8:00 am - 4:15 pm
Tuesday8:00 am - 4:15 pm
Wednesday8:00 am - 4:15 pm
Thursday8:00 am - 4:15 pm
Friday8:00 am - 4:15 pm
Note
Hours may vary. Please call for information.</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</si>
  <si>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</si>
  <si>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Ranchlands Village Mall
Address1829 Ranchlands Boulevard NWCalgary, AlbertaT3G 2A7
Telephone403-943-9700
Fax403-943-9735
Getting TherePublic transportation availabe</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</si>
  <si>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Shaganappi Complex
South Calgary Health Centre
Strathmore Public Health Office
Thornhill Community Health Centre
Village Square Leisure Centre
Vulcan Community Health Centre</t>
  </si>
  <si>
    <t>Ranchlands Village Mall</t>
  </si>
  <si>
    <t>Bonnyville Healthcare Centre 
Address5001 Lakeshore Drive Bonnyville, AlbertaT9N 2J7
Telephone780-826-3311, Ext 270
Getting ThereLocated east of Lakeshore Drive</t>
  </si>
  <si>
    <t>Alpine Summit Seniors Lodge
Athabasca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</si>
  <si>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St. Paul Community Health Services
Address5610 50 Avenue St. Paul, AlbertaT0A 3A1
Telephone780-645-3396
Fax780-645-6609</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</si>
  <si>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Swan Hills Healthcare Centre
Thorhild Community Health Services
Trout / Peerless Lake Health Centre
Wabasca / Desmarais Community Health Services
Westlock Community Health Services
Whitecourt Healthcare Centre</t>
  </si>
  <si>
    <t>North West 1
Address4500 16 Avenue NWCalgary, AlbertaT3B 0M6
Tollfree1-888-523-0495
Emailfcprogram@sashbear.org
Websitehttp://sashbear.org/en/family-connections</t>
  </si>
  <si>
    <t>Note
Intensive weekend sessions - 2 full weekend days (8:30 am to 5:00 pm) one month apart areÂ offered at this location several times per year. Evening sessions run for 12 weeks, one evening per week 6:00 pm - 8:00 pm.</t>
  </si>
  <si>
    <t>Northeast Community Health Centre
Red Deer Regional Hospital Centre
Rutherford Health Centre</t>
  </si>
  <si>
    <t>North West 1</t>
  </si>
  <si>
    <t>Airdrie 125 Main Street NW
Address125 Main  Street NWAirdrie, AlbertaT4B 0P7
Telephone403-945-3900
AccessibilityAccessible parking, front of building, elevator available and wheelchair accessible washrooms.elevator</t>
  </si>
  <si>
    <t>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</si>
  <si>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Airdrie 125 Main Street NW</t>
  </si>
  <si>
    <t>Kahanoff Centre
Address105 12 Avenue SECalgary, AlbertaT2G 1A1
Telephone403-691-5991 (Counselling), 403-265-4980 (Reception)</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</si>
  <si>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</si>
  <si>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Kahanoff Centre</t>
  </si>
  <si>
    <t>Cold Lake Healthcare Centre
Address314 25 Street Cold Lake, AlbertaT9M 1G6
Telephone780-639-4922</t>
  </si>
  <si>
    <t>Grande Prairie Aberdeen Centre
Peace River Community Mental Health Services
St. Therese - St. Paul Healthcare Centre</t>
  </si>
  <si>
    <t>Service Providers May Includedoctors, registered nurses (RNs), psychiatrists
Service Healthcare providers should consult the Alberta Referral Directory for service referral information.
Wait TimesAn estimated wait time will be provided at the time of appointment booking.
Service LanguagesInterpreter/Translation services</t>
  </si>
  <si>
    <t>Calgary 3820 24 Avenue NW
Address3820 24 Avenue NWCalgary, AlbertaT3B 2X9
Telephone403-955-5955
Fax403-955-5990</t>
  </si>
  <si>
    <t xml:space="preserve">A consultative service for adolescents (at least 11 year of age and up to 23 years of age) struggling with complex adolescent issues such as body image, peer relationships, sexual health, substance use, chronic illness, and mental health concerns.Assessments are provided by physicians with specialized training in adolescent healthcare bridging the physical, psychological, and psychosocial components of youth health. As required, a medical examination is incorporated into the assessment.Â 
Although it is primarily an outpatient service, inpatient consultation may be requested.
</t>
  </si>
  <si>
    <t>East Calgary Health Centre
Address4715 8 Avenue SECalgary, AlbertaT2A 3N4
Telephone403-955-1000
Fax403-955-1299
Getting TherePublic transportation available</t>
  </si>
  <si>
    <t>Acadia Community Health Centre
Airdrie Community Health Centre
Banff Community Health Centre
Canmore Provincial Building
Claresholm Community Health Centre
Cochrane Community Health Centre
Cremona Community Health Centre
Didsbury District Health Services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</si>
  <si>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Service Providers May Includefamily counsellors, licensed practical nurses (LPNs), occupational therapists (OTs), psychiatrists, psychologists, recreation therapists, registered nurses (RNs), social workers, teachers, therapy assistants
EligibilityChild must be between 4 and 17 years old with acute mental health problems.
Adolescents must be between 13 and 17 years old and in Grade7 to Grade 12
Service Referral through emergency department only.
Service LanguagesInterpreter/Translation services</t>
  </si>
  <si>
    <t>South Health Campus
Address4448 Front Street SECalgary, AlbertaT3M 1M4
Telephone403-956-1500, 403-943-1500 Access Mental Health
Tollfree1-844-943-1500
Getting ThereParking available
Parking map</t>
  </si>
  <si>
    <t xml:space="preserve">This service provides inpatient mental health assessment and treatment for children and their families.This service offers mental health assessment and treatment for children with seriousÂ emotional, behavioral, and/or psychiatric problems that can't be treated in the community, day patient, or outpatient settings. The service also involves the child'sÂ family.
Service provides:
psychiatric assessment
short-term psychiatric stabilization
All admissions are determined in any of the emergency departments in consultation with psychiatry/mental health staff
</t>
  </si>
  <si>
    <t>Sylvan Lake Community Health Centre
Address4602 49 Avenue Sylvan Lake, AlbertaT4S 1M7
Telephone403-887-2241</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</si>
  <si>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Three Hills Health Centre
Tofield Health Centre
Two Hills Health Centre
Vegreville Community Health Centre
Vermilion Provincial Building
Viking Community Health Centre
Wainwright Health Centre
Wetaskiwin Hospital and Care Centre
Winfield Community Health Centre</t>
  </si>
  <si>
    <t>Slave Lake Healthcare Centre
Address309 6 Street NESlave Lake, AlbertaT0G 2A2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</si>
  <si>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St. Theresa General Hospital 
St. Therese - St. Paul Healthcare Centre
Swan Hills Healthcare Centre
Valleyview Community Health Services
Westlock Community Health Services
Whitecourt Healthcare Centre</t>
  </si>
  <si>
    <t>Century Park
Address4613 50 Street Vegreville, AlbertaT9C 1L7
Tollfree1-855-371-4122 (Home Care Assessment)</t>
  </si>
  <si>
    <t>Bashaw Meadows
Clearwater Centre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</si>
  <si>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Century Park</t>
  </si>
  <si>
    <t>Stettler and Area - Information / Registration / Appointments
Telephone403-742-3558</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</si>
  <si>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Sunridge Professional Building 
Transition Place
Wetaskiwin 5010 50 Avenue
Wetaskiwin Provincial Building
YW Sheriff King Home</t>
  </si>
  <si>
    <t>Stettler and Area - Information / Registration / Appointments</t>
  </si>
  <si>
    <t>Service Providers May Includeoccupational therapists, psychiatrists, psychologists, recreational therapists, registered nurses (RNs), registered psychiatric nurses, social workers
Service Healthcare providers should consult the Alberta Referral Directory for service referral information.
Wait TimesAn estimated wait time will be provided at the time of appointment booking.
Service LanguagesInterpreter/Translation services</t>
  </si>
  <si>
    <t>Sunridge Mall
Address2580 32 Street NECalgary, AlbertaT1Y 7M8
Telephone403-943-1500  (Intake - Access Mental Health), 403-944-9700 (Community Mental Health Reception)
Fax403-944-9787
Getting TherePublic transportation, Community Handi-Bus and parking available</t>
  </si>
  <si>
    <t>Days of the Week
Monday8:00 am - 4:00 pm
Tuesday8:00 am - 4:00 pm
Wednesday8:00 am - 4:00 pm
Thursday8:00 am - 4:00 pm
Friday8:00 am - 4:00 pm
Note
Selected evening groups.</t>
  </si>
  <si>
    <t xml:space="preserve">Provides a range of mental health services.Services provided may include:
psychiatric consultation;
individual therapy, couple / family therapy, and group therapy;
urgent access to service via a crisis stabilization and assessment group;
cognitive behavioural, problem-solving, interpersonal, supportive, and systemic narrative therapies;
multidisciplinary team management of women with perinatal mood and anxiety disorders.
In addition to addressing specific mental health and relationship issues, therapy also encourages healthy lifestyles and addresses return to work issues, as appropriate.
</t>
  </si>
  <si>
    <t>Queen Elizabeth II Hospital
St. Therese - St. Paul Healthcare Centre</t>
  </si>
  <si>
    <t>Glen Avon School
Address4402 42 Street St. Paul, AlbertaT0A 3A3
Telephone780-645-3237</t>
  </si>
  <si>
    <t>Ashmont Elementary School
Ashmont Secondary School
Racette School
St. Paul Elementary Community School
Two Hills Mennonite School</t>
  </si>
  <si>
    <t>Glen Avon School</t>
  </si>
  <si>
    <t>H W Pickup Junior High School
Address3505 58 Avenue Drayton Valley, AlbertaT7A 0B8
Telephone780- 542-4495
Fax780-542-6238
Websitehttp://www.iamempoweredconference.ca/, http://www.aimforsuccess.ca/</t>
  </si>
  <si>
    <t>Aurora Elementary School
Drayton Christian School
Drayton Valley Community Outreach School
Eldorado Elementary School
Frank Maddock High School
Wild Rose School Division</t>
  </si>
  <si>
    <t>H W Pickup Junior High School</t>
  </si>
  <si>
    <t>St. Albert Retirement Residence
Address125 Everitt  Drive NSt. Albert, AlbertaT8N 7R9
Telephone780-496-1300 (Community Care Access)
Fax780-470-3188</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</si>
  <si>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Summerwood Village Retirement Residence
Villa Marguerite
Wedman Village Homes
West Country Hearth</t>
  </si>
  <si>
    <t>St. Albert Retirement Residence</t>
  </si>
  <si>
    <t>Forensic Assessment &amp; Community Services
Address10225 106 Street Edmonton, AlbertaT5J 1H5
Telephone780-342-6400</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</si>
  <si>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</si>
  <si>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Forensic Assessment &amp; Community Services</t>
  </si>
  <si>
    <t>Drumheller Health Centre
Address351 9 Street NWDrumheller, AlbertaT0J 0Y1
Telephone403-820-7863
Tollfree24 Hour Mental Health Help Line 1 877-303-2642, 24 Hour Addiction Help Line 1 877-332-2322
Fax403-820-7865</t>
  </si>
  <si>
    <t>Consort Hospital and Care Centre
Coronation Hospital and Care Centre
Drayton Valley Community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</si>
  <si>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Brooks Community Cultural Centre
Address327  3  Street WBrooks, AlbertaT1R 0E7
Telephone403-362-2210
Fax403-362-4902
Emailexec.director@lifetalkcounselling.ca
Websitehttp://lifetalkcounselling.ca/
AccessibilityMain entranceElevators</t>
  </si>
  <si>
    <t>Days of the Week
Monday9:00 am - 5:30 pm
Tuesday12:30 pm - 8:30 pm
Wednesday12:30 pm - 8:30 pm
Thursday9:00 am - 5:30 pm
Friday9:00 am - 5:30 pm</t>
  </si>
  <si>
    <t>Airdrie 125 Main Street NW
Airdrie 209 Centre Avenue West
Associates Counselling Services Office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</si>
  <si>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Brooks Community Cultural Centre</t>
  </si>
  <si>
    <t>Misericordia Community Hospital 
Address16940 87 Avenue Edmonton, AlbertaT5R 4H5
Getting ThereParking available
Public transportation is available on 87 Ave.</t>
  </si>
  <si>
    <t xml:space="preserve">Provides additional support / stabilization within the community on discharge.Offers short term follow-up to individuals who present to the Emergency Department with an Addiction or Mental Health concern.
</t>
  </si>
  <si>
    <t>Mother Rosalie Health Services Centre
Address16930 87 Avenue Edmonton, AlbertaT5R 4H5
Telephone780-735-2792
Fax780-735-2549
Getting ThereThe Mother Rosalie Health Services Bldg is the first bldg on the right upon entering the Misericordia hospital grounds from 87th Ave (located east of the public parking lot).
Public transportation available</t>
  </si>
  <si>
    <t>Fort Saskatchewan Community Hospital
Address9401 86 Avenue Fort Saskatchewan, AlbertaT8L 0C6
Getting ThereParking and Public transportation available</t>
  </si>
  <si>
    <t>Grey Nuns Community Hospital
Leduc Community Hospital
Misericordia Community Hospital 
Northeast Community Health Centre
Royal Alexandra Hospital
Strathcona Community Hospital
Sturgeon Community Hospital
University of Alberta Hospital
WestView Health Centre - Stony Plain</t>
  </si>
  <si>
    <t>St. Therese Villa
Address253 Southgate Boulevard SLethbridge, AlbertaT1K 2S1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</si>
  <si>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Sunny South Lodge
Sunrise Gardens</t>
  </si>
  <si>
    <t>St. Therese Villa</t>
  </si>
  <si>
    <t>Sheldon M. Chumir Health Centre
Address1213 4 Street SWCalgary, AlbertaT2R 0X7
Telephone403-955-6030  (Information), 403-955-6030 (CSART information line), 403-955-6500 (Sexual &amp; Reproductive Health Clinics), 403-955-6200 (STI Clinic), 403-237-5888 (Calgary Communities Against Sexual Abuse), 403-944-1110 (Foothills Medical Centre switchboard), 403-266-1234 (Police)
Tollfree811 (Health Link), 1-888-237-5888 (Calgary Communities Against Sexual Abuse)
Websitehttp://www.albertahealthservices.ca/info/service.aspx?id=1962, http://www.calgarycasa.com/programs/crisis-intervention-and-counselling-programs/sexual-assault-response-team/
Getting ThereParking available
Parking map</t>
  </si>
  <si>
    <t>Medicine Hat Regional Hospital
Address666 5 Street SWMedicine Hat, AlbertaT1A 4H6
Telephone403-502-8648 Ext 1068
Fax403-529-8968
AccessibilityMain entranceParking stalls and washrooms
Getting ThereParking available
Parking map</t>
  </si>
  <si>
    <t>Bassano Health Centre
Big Country Hospital
Bow Island Health Centre
Brooks Health Centre
Cardston Health Centre
Chinook Regional Hospital
Coaldale Health Centre
Crowsnest Pass Health Centre
Fort Macleod Health Centre
Melcor Centre
Milk River Health Centre
Pincher Creek Health Centre
Raymond Health Centre
Taber Health Centre</t>
  </si>
  <si>
    <t>Holy Cross Manor
Address70  Evanspark Manor NWCalgary, AlbertaT3P 0N4
Telephone403-943-1920 (Home Care Assessment)</t>
  </si>
  <si>
    <t>AgeCare Seton
AgeCare SkyPointe
AgeCare Walden Heights
Agecare Sagewood
Aspen Ridge Lodge
Bethany Didsbury
Eau Claire Retirement Residence
Evanston Grand Village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</si>
  <si>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Holy Cross Manor</t>
  </si>
  <si>
    <t>Service Providers May Includedietitians, doctors, licensed practical nurses (LPNs), mental health aides, occupational therapists (OTs), pharmacists, psychiatrists, psychologists, recreation therapists, registered nurses (RNs), rehabilitation practitioners, social workers, vocational therapists
EligibilityAdults 18 years and older.
Wait TimesAn estimated wait time will be provided at the time of appointment booking.
Service LanguagesInterpreter/Translation services</t>
  </si>
  <si>
    <t>Claresholm Centre for Mental Health &amp; Addictions 
Address139 43 Avenue WClaresholm, AlbertaT0L 0T0
Telephone403-682-3520
Fax403-625-4318
Emailclaresholmcentre@albertahealthservices.ca
Websitehttp://www.ahs.ca/claresholmcentre
Getting ThereParking available</t>
  </si>
  <si>
    <t xml:space="preserve">Operating as a Concurrent Disorders Capable Program this inpatient service admits patients with co-occurring disorders whose conditions are sufficiently stable, so that neither symptoms nor disability significantly interferes with inpatient treatment.The concurrent disorders program provides treatment for individuals experiencing problems which may include the following:
chronic pain with opiate dependence
anxiety disorders with benzodiazepine abuse
substance abuse with stable mental health disorders
Services include:
group therapy
individual counselling
addiction recovery programs
symptom management
medication management
leisure education and support
vocational rehabilitation
</t>
  </si>
  <si>
    <t>Edmonton 10608 105 Avenue
Address10608 105 Avenue Edmonton, AlbertaT5H 0L2
Telephone780-488-3234
Emailinfo@pridecentreofedmonton.org 
Websitehttp://www.pridecentreofedmonton.org
AccessibilityWheelchair access at back entrance.Accessible washroom available.
Getting ThereAcross the street from the Grant Mac Ewan City Centre Campus.</t>
  </si>
  <si>
    <t>Days of the Week
Monday12:00 pm - 7:00 pm
Tuesday12:00 pm - 7:00 pm
Wednesday12:00 pm - 7:00 pm
Thursday12:00 pm - 7:00 pm
Friday12:00 pm - 9:00 pm
Note
Closed statutory holidays.Program hours vary.</t>
  </si>
  <si>
    <t>Alex Taylor School
Baker Centre, The
Bonnie Doon Shopping Centre
Community Centre
Edmonton 108 Street Building 
Edmonton 5215 87 Street
Edmonton Mennonite Centre for Newcomers
First Edmonton Place
GB Building
Harcourt House
Ledgeview Business Centre
McDougall House
Northgate Centre
Our House Addiction Recovery Centre
Royal Alex Place
Transition Place
WSP Place</t>
  </si>
  <si>
    <t>Edmonton 10608 105 Avenue</t>
  </si>
  <si>
    <t>Queen Elizabeth II Hospital
Address10409 98 Street Grande Prairie, AlbertaT8V 2E8
Telephone780-830-2832, 780-538-7100 (switchboard)
Getting ThereParking map</t>
  </si>
  <si>
    <t>Days of the Week
Monday8:00 am - 6:00 pm
Tuesday8:00 am - 6:00 pm
Wednesday8:00 am - 6:00 pm
Thursday8:00 am - 6:00 pm
Friday8:00 am - 6:00 pm
Saturday8:00 am - 6:00 pm
Sunday8:00 am - 6:00 pm
Note
Open weekdays and weekends</t>
  </si>
  <si>
    <t>Okotoks Health and Wellness Centre
Address11 Cimarron Common Okotoks, AlbertaT1S 2E9
Telephone403-995-2638
Fax403-995-2639</t>
  </si>
  <si>
    <t>Canmore Provincial Building
Didsbury District Health Services
Strathmore Public Health Office</t>
  </si>
  <si>
    <t>Rocky Mountain House Health Centre
Address5016 52 Avenue Rocky Mountain House, AlbertaT4T 1T2
Telephone403-845-3009
Fax403-845-3007</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</si>
  <si>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</si>
  <si>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Queen Elizabeth II Hospital
Address10409 98 Street Grande Prairie, AlbertaT8V 2E8
Telephone780-538-7360
Getting ThereParking map</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</si>
  <si>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</si>
  <si>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Grande Prairie 10135 101 Avenue
Address10135 101  Avenue Grande Prairie, AlbertaT8V 0Y4
Telephone780-532-0373
Fax780-538-4931
Emailinfo@johnhowardgp.ca
AccessibilityElevator
Getting ThereThere is a bus stop within walking distance of the building.</t>
  </si>
  <si>
    <t>Days of the Week
Monday8:30 am - 4:30 pm
Tuesday8:30 am - 4:30 pm
Wednesday8:30 am - 4:30 pm
Thursday8:30 am - 4:30 pm
Friday8:30 am - 4:30 pm
Note
Office is closed daily between 12:00 and 1:00pm.</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</si>
  <si>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</si>
  <si>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Grande Prairie 10135 101 Avenue</t>
  </si>
  <si>
    <t>Days of the Week
Monday8:00 am - 4:30 pm
Tuesday8:00 am - 4:30 pm
Wednesday8:00 am - 4:30 pm
Thursday8:00 am - 4:30 pm
Friday8:00 am - 4:30 pm
Note
From September 1 to June 30 hours on Tuesdays are extended until 7:30 PM.</t>
  </si>
  <si>
    <t>Chinook Regional Hospital
Regional Resource Centre - Medicine Hat Regional Hospital</t>
  </si>
  <si>
    <t>Florence MacDougall Community School
Address10802 Rainbow Boulevard High Level, AlbertaT0H 1Z0
Telephone780-926-2331
Fax780-926-3116
Emaildebbiea@fvsd.ab.ca</t>
  </si>
  <si>
    <t>High Level Learning Store
High Level Public School
Spirit of the North Community School</t>
  </si>
  <si>
    <t>Florence MacDougall Community School</t>
  </si>
  <si>
    <t>Grey Nuns Community Hospital
Address1100  Youville  Drive NWEdmonton, AlbertaT6L 5X8
TelephoneAccess to this service is by Emergency Room visit only
Getting TherePublic transportation available</t>
  </si>
  <si>
    <t>Fort Saskatchewan Community Hospital
Leduc Community Hospital
Misericordia Community Hospital 
Northeast Community Health Centre
Royal Alexandra Hospital
Strathcona Community Hospital
Sturgeon Community Hospital
University of Alberta Hospital
WestView Health Centre - Stony Plain</t>
  </si>
  <si>
    <t>Strathcona Community Hospital
Address9000 Emerald Drive Sherwood Park, AlbertaT8H 0J3
Telephone780-342-3373
Tollfree1-866-332-2322 (24 hr Help Line) 
Fax780-342-3649</t>
  </si>
  <si>
    <t>Days of the Week
Monday8:00 am - 4:30 pm
Tuesday8:00 am - 4:30 pm
Wednesday8:00 am - 4:30 pm
Thursday8:00 am - 4:30 pm
Friday8:00 am - 4:30 pm
Note
Â Does NOT accept walk-in clients. Call to book an appointment.</t>
  </si>
  <si>
    <t>Addiction Services Edmonton
Centre Hope Building 
St. Albert Provincial Building
WestView Health Centre - Stony Plain</t>
  </si>
  <si>
    <t>Misericordia Community Hospital 
Address16940 87 Avenue Edmonton, AlbertaT5R 4H5
TelephoneAccess to this service is by Emergency Room visit only
Getting ThereParking available
Public transportation is available on 87 Ave.</t>
  </si>
  <si>
    <t>Fort Saskatchewan Community Hospital
Grey Nuns Community Hospital
Leduc Community Hospital
Northeast Community Health Centre
Royal Alexandra Hospital
Strathcona Community Hospital
Sturgeon Community Hospital
University of Alberta Hospital
WestView Health Centre - Stony Plain</t>
  </si>
  <si>
    <t>Transition Place
Address10010 105 Street NWEdmonton, AlbertaT5J 1C4
Telephone780-414-6310
Fax780-482-7498
Emailmain@cmha-edmonton.ab.ca 
Websitehttp://edmonton.cmha.ca</t>
  </si>
  <si>
    <t>Days of the Week
Monday8:30 am - 4:30 pm
Tuesday8:30 am - 4:30 pm
Wednesday8:30 am - 4:30 pm
Thursday8:30 am - 4:30 pm
Friday8:30 am - 4:30 pm
Note
Closed 12:00 PM to 1:00 PM. Closed statutory holidays.</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</si>
  <si>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WSP Place</t>
  </si>
  <si>
    <t>Transition Place</t>
  </si>
  <si>
    <t>Hinton Civic Centre Building
Address131 Civic Centre Road Hinton, AlbertaT7V 2E5
Telephone780-865-8263
Tollfree24 Hour Helpline 1-866-332-2322
Fax780-865-8314</t>
  </si>
  <si>
    <t>Days of the Week
Monday8:15 am - 4:30 pm
Tuesday8:15 am - 4:30 pm
Wednesday8:15 am - 4:30 pm
Thursday8:15 am - 4:30 pm
Friday8:15 am - 4:30 pm
Note
Closed for lunch between 12:00 PM (noon) to 1:00 PM</t>
  </si>
  <si>
    <t>Athabasca Community Health Services
Barrhead Administration Building
Bonnyville Provincial Building
Cold Lake 5013 51 Street
Edson Healthcare Centre
Fort McMurray Queen Street Building 
Grande Prairie Aberdeen Centre
High Prairie Health Complex
Lac La Biche Provincial Building
Northern Addictions Centre
Northwest Health Centre 
Peace River Provincial Building  
Pine Plaza Building
Seton - Jasper Healthcare Centre
Slave Lake 101 3 Street
St. Paul Provincial Building
Whitecourt Provincial Building</t>
  </si>
  <si>
    <t>Hinton Civic Centre Building</t>
  </si>
  <si>
    <t>Lacombe Mental Health Centre
Address5033 52 Street Lacombe, AlbertaT4L 2A6
Telephone403-782-3413
Fax403-782-3878</t>
  </si>
  <si>
    <t>Camrose Addiction and Mental Health Clinic
Consort Community Health Centre
Coronation Hospital and Care Centre
Drayton Valley Community Health Centre
Drumheller Health Centre
Hanna Health Centre
Hardisty Health Centre
Innisfail Health Centre
Killam 4811 49 Avenue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</si>
  <si>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Service Providers May Includemental health clinicians, registered nurses (RNs)
EligibilityBased on catchment area - south of Anderson Road
Referral NeededPatients can access the service via the Distress Centre.
Service via Distress Centre
Service LanguagesInterpreter/Translation services</t>
  </si>
  <si>
    <t>South Health Campus
Address4448 Front Street SECalgary, AlbertaT3M 1M4
Telephone403-266-4357 (HELP)
Getting ThereParking available
Parking map</t>
  </si>
  <si>
    <t>Days of the Week
Monday9:30 am - 9:30 pm
Tuesday9:30 am - 9:30 pm
Wednesday9:30 am - 9:30 pm
Thursday9:30 am - 9:30 pm
Friday9:30 am - 9:30 pm
Saturday9:30 am - 9:30 pm
Sunday9:30 am - 9:30 pm</t>
  </si>
  <si>
    <t xml:space="preserve">This service provides crisis support for individuals within the community as well as professional consultation as needed.Provides mobile/outreach mental health services, including:
crisis intervention
prevention
urgent psychiatric assessments
trauma response
mental health education
professional consultations
</t>
  </si>
  <si>
    <t>Peace River Mental Health Clinic
Address10015 98 Street Peace River, AlbertaT8S 1A1
Telephone780-624-6151 
Tollfree1-877-823-6433
Fax780-624-6565</t>
  </si>
  <si>
    <t>Days of the Week
Thursday8:00 am - 4:30 pm
Note
To book a same-day session, residents can call between the hours of 8 a.m. and 9 a.m. on Thursdays.
The Child and Youth Walk-in services at the Clinic also offer the option of pre-booking appointments with a therapist the same day.
Adult walk-in clinic hours will be 8 a.m.-10:45 a.m. and 1-3 p.m. on Thursdays.
Child and Youth Walk-in Clinic will be 8-10 a.m. and 1-2:30 p.m. on Thursdays.</t>
  </si>
  <si>
    <t>Fairview Health Complex
Fort McMurray Queen Street Building 
Grande Prairie Aberdeen Centre
Northwest Health Centre</t>
  </si>
  <si>
    <t>Athabasca Community Health Services
Barrhead Administration Building
Bonnyville Provincial Building
Cold Lake 5013 51 Street
Edson Healthcare Centre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</si>
  <si>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EligibilityFor those who have experienced serious mental illness and require affordable supported housing. Each individual is looked at on a case by case basis.
Referral NeededReferral is through Alberta Health Services
Wait TimesRooms are allocated as they become available.
FeesSubsidized rent is payable on accomodation for those who qualify.</t>
  </si>
  <si>
    <t>Kentwood Place
Address120 Kendrew  Drive Red Deer, AlbertaT4P 3T8
Telephone403-340-4700</t>
  </si>
  <si>
    <t>/affiliations
Schizophrenia Society of Alberta</t>
  </si>
  <si>
    <t>Kentwood Place</t>
  </si>
  <si>
    <t xml:space="preserve">Supported housing project for those in recovery from serious mental illness, after hospital or other inpatient care.Service offers:
Engages individuals in their recovery through a psychosocial rehabilitation program (PSR).
Housing suitable for those who are not able to live completely independently, and who require additional support on their progress to more independent living.
25 beds of which 15 are long term stay and 10 are transitional.
Priority given to those who are on inpatient psychiatry units within the Central Zone.
</t>
  </si>
  <si>
    <t>Days of the Week
Monday2:00 pm - 10:00 pm
Tuesday2:00 pm - 10:00 pm
Wednesday2:00 pm - 10:00 pm
Thursday2:00 pm - 10:00 pm
Friday2:00 pm - 10:00 pm
Saturday2:00 pm - 10:00 pm
Sunday2:00 pm - 10:00 pm</t>
  </si>
  <si>
    <t>Airdrie Community Health Centre
Canmore General Hospital
Cochrane Community Health Centre
Okotoks Health and Wellness Centre
Sheldon M. Chumir Health Centre
South Calgary Health Centre</t>
  </si>
  <si>
    <t>Lethbridge Provincial Building
Address200 5 Avenue SLethbridge, AlbertaT1J 4L1
Telephone403-381-5260
Tollfree1-866-332-2322 (24 Hour Help Line)
Fax403-382-4518</t>
  </si>
  <si>
    <t>Days of the Week
Monday8:15 am - 4:30 pm
Tuesday8:15 am - 4:30 pm
Wednesday8:15 am - 4:30 pm
Thursday8:15 am - 4:30 pm
Friday8:15 am - 4:30 pm
Note
Walk in Intake hours (West Entrance), Monday,Tuesday &amp; Wednesday from 8:30 PM to 3:00 PM; Friday from 8:30 AM to 11:00 AM.</t>
  </si>
  <si>
    <t>Brooks 403  2 Avenue W
Cardston Provincial Building 
Crowsnest Pass Provincial Building
Medicine Hat Provincial Building
Oyen Community Health Services
Pincher Creek Provincial Building 
Taber Health Centre</t>
  </si>
  <si>
    <t>Service Providers May Includeaddiction counselors, occupational therapists (OTs), psychiatrists, registered nurses (RNs), social workers
EligibilityPsychiatrist acceptance of referral
Service LanguagesInterpreter/Translation services</t>
  </si>
  <si>
    <t>Grey Nuns Community Hospital
Address1100  Youville  Drive NWEdmonton, AlbertaT6L 5X8
Getting TherePublic transportation available</t>
  </si>
  <si>
    <t xml:space="preserve">Secure inpatient program that provides assessment, stabilization and treatment initiation for persons suffering from acute episodes of mental illness (including those complicated by an addiction) when the type of care needed cannot be safely provided in a community setting.This service provides psychiatric intensive care for those patients who are unable to reliably and safely self-regulate. When able to self-regulate, patients are transferred to general adult acute inpatient care.
On admission to Adult Acute Services, an individualized plan of care is developed with the intention of understanding and stabilizing the person's mental illness to the extent necessary for them to continue pursuing their recovery goals in the community.
Interventions include:
a wide range of individual and group therapies
medication management
patient and family education
implementation of plans to meet social care needs
linkage to ongoing community based treatment and recovery supports
</t>
  </si>
  <si>
    <t>Sheldon M. Chumir Health Centre
Address1213 4 Street SWCalgary, AlbertaT2R 0X7
Websitewww.albertahealthservices.ca
Getting ThereParking available
Parking map</t>
  </si>
  <si>
    <t>Days of the Week
Monday8:00 am - 10:00 pm
Tuesday8:00 am - 10:00 pm
Wednesday8:00 am - 10:00 pm
Thursday8:00 am - 10:00 pm
Friday8:00 am - 10:00 pm
Saturday8:00 am - 8:00 pm
Sunday8:00 am - 8:00 pm</t>
  </si>
  <si>
    <t>Canmore General Hospital
Cochrane Community Health Centre
Mineral Springs Hospital</t>
  </si>
  <si>
    <t>Extendicare Athabasca
Address4517 53 Street Athabasca, AlbertaT9S 1K4
Telephone780-675-2291
Fax780-675-3833</t>
  </si>
  <si>
    <t>Alpine Summit Seniors Lodge
Athabasca Healthcare Centre
Bonnyville Healthcare Centre 
Cold Lake Healthcare Centre
Dr. W. R. KEIR - Barrhead Continuing Care Centre
Edson Healthcare Centre
Elk Point Healthcare Centre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</si>
  <si>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Extendicare Athabasca</t>
  </si>
  <si>
    <t>Service Providers May Includecommunity support workers, doctors, mental health therapists, psychiatrists, registered nurses (RNs), registered psychiatric nurses, rehabilitation practitioners
EligibilityAdults age 55 and older.
Service Healthcare providers should consult the Alberta Referral Directory for service referral information.
FeesFees for the inpatient program and long-term care rate patients. There is no fee for outpatient programs.</t>
  </si>
  <si>
    <t>Good Samaritan Prairie Ridge
Address328 Broadway  SRaymond, AlbertaT0K 2S0
Telephone403-752-3316
Fax403-752-3933
Getting ThereParking available</t>
  </si>
  <si>
    <t>Days of the Week
Monday8:00 am - 4:30 pm
Tuesday8:00 am - 4:30 pm
Wednesday8:00 am - 4:30 pm
Thursday8:00 am - 4:30 pm
Friday8:00 am - 4:30 pm
Note
Supportive Living;
8:00 AM to 4:30 PM Monday to Friday,Â  Outpatient Services.</t>
  </si>
  <si>
    <t xml:space="preserve">The service provides group therapy and case management for adults over age 65, Good Samaritan inpatients living with mental health issues or health issues. Also provides support to outpatients looking for admission to Good Samaritans or referral from the Seniors' Mental Health Outreach program as neededThe goal of the program is to give clients the tools and support they need to decrease the likelihood of an admission to acute care. The focus of the day programs are to help clients return to their community, either going back to their own home or to a facility that can suport them until they can go back to their own home.
Clients will have a doctor and psychiatrist assigned to them to stabilize their medicine and improve their medical issues
Case managers offer counselling and support (e.g. help with budgeting, easing their transition, and help with discharge planning)
</t>
  </si>
  <si>
    <t>Shaganappi Complex
Address3415 8 Avenue SWCalgary, AlbertaT3C 0E8
Telephone403-944-7373
Fax403-246-0326</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</si>
  <si>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South Calgary Health Centre
Strathmore Public Health Office
Thornhill Community Health Centre
Village Square Leisure Centre
Vulcan Community Health Centre</t>
  </si>
  <si>
    <t>Shaganappi Complex</t>
  </si>
  <si>
    <t>Edson Healthcare Centre
Lac La Biche Provincial Building
Seton - Jasper Healthcare Centre
St. Therese - St. Paul Healthcare Centre
Whitecourt Healthcare Centre</t>
  </si>
  <si>
    <t>High Prairie Elementary School
Address5701 48 Street High Prairie, AlbertaT0G 1E0
Telephone780-523-4531
Fax780-523-4422
Emaillauri.davidson@hfcrd.ab.ca</t>
  </si>
  <si>
    <t>Prairie River Junior High School
St. Andrews School</t>
  </si>
  <si>
    <t>High Prairie Elementary School</t>
  </si>
  <si>
    <t>Peace River Provincial Building  
Address9621 96 Avenue Peace River, AlbertaT8S 1T4
Telephone780-624-6151
Tollfree24 Hour Help Line 1-866-332-2322
Fax780-624-6579</t>
  </si>
  <si>
    <t>Days of the Week
Monday8:00 am - 4:30 pm
Tuesday8:00 am - 4:30 pm
Wednesday8:00 am - 4:30 pm
Thursday8:00 am - 4:30 pm
Friday8:00 am - 4:30 pm
Note
Closed for lunch from 12:00-1:00 pm.</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</si>
  <si>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Pine Plaza Building
Seton - Jasper Healthcare Centre
Slave Lake 101 3 Street
St. Paul Provincial Building
Whitecourt Provincial Building</t>
  </si>
  <si>
    <t>West Country Hearth
Address26504  Secondary Hwy 633  Villeneuve, AlbertaT8T 1R9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</si>
  <si>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t>
  </si>
  <si>
    <t>West Country Hearth</t>
  </si>
  <si>
    <t>Service Providers May Includepsychiatrists, psychologists, social workers
EligibilityCancer patients and their families.
Service Patients can self refer or be referred by their doctor or nurse.
Patients can call for appointment or to register for classes.
Service LanguagesInterpreter/Translation services</t>
  </si>
  <si>
    <t>Calgary 2202 2 Street SW
Address2202 2 Street SWCalgary, AlbertaT2S 3C1
Telephone403-355-3207 (Appointments / Booking)
Emailcalgarypsychosocial@albertahealthservices.ca</t>
  </si>
  <si>
    <t>Tom Baker Cancer Centre</t>
  </si>
  <si>
    <t>Calgary 2202 2 Street SW</t>
  </si>
  <si>
    <t xml:space="preserve">Services to help patients and their families cope with the emotional, psychological and social stresses that often surface as a result of cancer and its treatment.The Department of Psychosocial Resources, through a team of trained professionals in psychiatry, psychology and social work, help patients and their families cope with the emotional, psychological and social stresses that often surface as a result of cancer and its treatment.Â  The team is available to patients from the moment of diagnosis onward.Â 
Services include:
Individual, couple and family counselling 
Coping with reactions to cancer
Addressing family issues
Confronting practical issues
Exploring personal issuesÂ 
Resource counselling for cancer survivors 
three specially trained social workers called Resource counsellors help patients with their resource needs and deliver a weekly class for patients which includes infomation on how to get help for your financial and practical needs.
</t>
  </si>
  <si>
    <t>Pioneer House
Address5725 51 Street Lloydminster, AlbertaT9V 0R5
Telephone1-855-371-4122 (Home Care Assessment)</t>
  </si>
  <si>
    <t>Bashaw Meadows
Century Park
Clearwater Centre 
Good Samaritan Good Shepherd Lutheran Home
Hamlets at Red Deer, The
Park Avenue at Creekside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</si>
  <si>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Pioneer House</t>
  </si>
  <si>
    <t>Cold Lake Healthcare Centre
Address314 25 Street Cold Lake, AlbertaT9M 1G6
Telephone780-639-4922
Fax780-639-4990</t>
  </si>
  <si>
    <t>Athabasca Community Health Services
Barrhead Healthcare Centre
Beaverlodge Community Health Services
Bonnyville New Park Place
Central Peace Health Complex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</si>
  <si>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Alberta Children's Hospital
Address28 Oki Drive NWCalgary, AlbertaT3B 6A8
Telephone403-955-7289, 403-943-1500 Access Mental Health
Tollfree1-844-943-1500
AccessibilityMain entranceLifts
Getting ThereParking map</t>
  </si>
  <si>
    <t>Barrhead Healthcare Centre
Address4815 51 Avenue Barrhead, AlbertaT7N 1M1
Telephone780-674-8243, 1-877-303-2642 (24 hr Help Line) 
Fax780-674-8352
Getting ThereLocated on the east side of Highway 33</t>
  </si>
  <si>
    <t>Days of the Week
Monday8:15 am - 4:30 pm
Tuesday8:15 am - 4:30 pm
Wednesday8:15 am - 4:30 pm
Thursday8:15 am - 4:30 pm
Friday8:15 am - 4:30 pm
Note
Closed 12:00 PM to 1:00 PM, and statutory holidays.</t>
  </si>
  <si>
    <t>Athabasca Community Health Services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</si>
  <si>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Rainbow Lake Community Health Services
Address6A Commercial Road Rainbow Lake, AlbertaT0H 2Y0
Telephone780-841-3229
Tollfree1-877-303-2642 (24 hr Help Line)
Fax780-926-7378</t>
  </si>
  <si>
    <t>Days of the Week
Thursday9:00 am - 3:00 pm</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</si>
  <si>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</si>
  <si>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Edson Healthcare Centre
Address3837 6 Avenue Edson, AlbertaT7E 0C5
Telephone780-725-6110 (Mental Health), 780-725-6382 (Addictions)</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</si>
  <si>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</si>
  <si>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Service Providers May Includeinter disciplinary teams
Referral NeededYou need to be referred by a psychiatrist.</t>
  </si>
  <si>
    <t>Grey Nuns Community Hospital
Address1100  Youville  Drive NWEdmonton, AlbertaT6L 5X8
Telephone780-735-7611
Getting TherePublic transportation available</t>
  </si>
  <si>
    <t xml:space="preserve">Provides a secure unit in the hospital to assess and treat people with mental health problems.Offers a secure unit in the hospital to assess, treat, and care for people with mental health problems, including people who are:
suicidal
aggressive
psychotic
Patient safety is of primary importance.
</t>
  </si>
  <si>
    <t>Redwater Health Centre 
Address4812 58 Street Redwater, AlbertaT0A 2W0
Telephone780-942-3932 (Switchboad)</t>
  </si>
  <si>
    <t>Beaumont Public Health Centre
Centre Hope Building 
Devon General Hospital
Fort Saskatchewan Community Hospital
Gibbons Health Unit
Good Samaritan Pembina Village
Morinville Provincial Building
St. Albert Provincial Building
Stan Woloshyn Building
Strathcona Community Hospital
Thorsby Public Health Centre
WestView Health Centre - Stony Plain</t>
  </si>
  <si>
    <t>Trout / Peerless Lake Health Centre
Telephone780-869-2362
Fax780-869-2053</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</si>
  <si>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Wabasca / Desmarais Community Health Services
Westlock Community Health Services
Whitecourt Healthcare Centre</t>
  </si>
  <si>
    <t>Trout / Peerless Lake Health Centre</t>
  </si>
  <si>
    <t>Prince of Peace Manor
Address285030 Luther Rose  Boulevard Calgary, AlbertaT1X 1M9
Tollfree403-943-1920 (Home Care Assessment)</t>
  </si>
  <si>
    <t>AgeCare Seton
AgeCare SkyPointe
AgeCare Walden Heights
Agecare Sagewood
Aspen Ridge Lodge
Bethany Didsbury
Eau Claire Retirement Residence
Evanston Grand Village
Holy Cross Manor
Millrise Place
Monterey Place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</si>
  <si>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Prince of Peace Manor</t>
  </si>
  <si>
    <t>Shepherd's Care Kensington
Address12603 135  Avenue Edmonton, AlbertaT5L 5B2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</si>
  <si>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Vanguard 
St. Albert Retirement Residence
Summerwood Village Retirement Residence
Villa Marguerite
Wedman Village Homes
West Country Hearth</t>
  </si>
  <si>
    <t>Shepherd's Care Kensington</t>
  </si>
  <si>
    <t>Grey Nuns Community Hospital
Address1100  Youville  Drive NWEdmonton, AlbertaT6L 5X8
Telephone780-735-7029
Websitehttp://www.caritas.ab.ca/home/programsandservices/caritas-wide/spiritual+care.htm
Getting TherePublic transportation available</t>
  </si>
  <si>
    <t>Available
24 hour service
Note
Spiritual Care services can be reached 24 hours a day 7 days a week by contacting the hospital switchboard at 780-735-7000.</t>
  </si>
  <si>
    <t>Alberta Hospital Edmonton
Cross Cancer Institute
Devon General Hospital
Glenrose Rehabilitation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</si>
  <si>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Alex Taylor School
Address9321 Jasper Avenue Edmonton, AlbertaT5H 3T7
Telephone780-424-7543
Fax780-425-5911
Emailinfo@e4calberta.org 
Websitehttp://www.e4calberta.org</t>
  </si>
  <si>
    <t>Days of the Week
Monday8:30 am - 4:30 pm
Tuesday8:30 am - 4:30 pm
Wednesday8:30 am - 4:30 pm
Thursday8:30 am - 4:30 pm
Friday8:30 am - 4:30 pm
Note
Closed from 12:00 PM to 12:30 PM</t>
  </si>
  <si>
    <t>Baker Centre, The
Bonnie Doon Shopping Centre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Transition Place
WSP Place</t>
  </si>
  <si>
    <t>Alex Taylor School</t>
  </si>
  <si>
    <t>Camrose Addiction and Mental Health Clinic
Address4911 47  Street Camrose, AlbertaT4V 1J9
Telephone780-672-1181
Tollfree1-877-303-2642 (24 hr Help Line)
Fax780-679-5088</t>
  </si>
  <si>
    <t>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</si>
  <si>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Camrose Addiction and Mental Health Clinic</t>
  </si>
  <si>
    <t>Sunridge Medical Gallery
Address2580 32 Street NECalgary, AlbertaT1Y 7M8
Telephone403-943-1500 Access Mental Health
Tollfree1-866-943-1500 Access Mental Health</t>
  </si>
  <si>
    <t>Foothills Professional Building 
Sheldon M. Chumir Health Centre
South Health Campus</t>
  </si>
  <si>
    <t>Sunridge Medical Gallery</t>
  </si>
  <si>
    <t>Peter Lougheed Centre
Address3500 26 Avenue NECalgary, AlbertaT1Y 6J4
Telephone403-943-4585
Getting ThereParking available
Parking map</t>
  </si>
  <si>
    <t>Days of the Week
Monday8:00 am - 4:00 pm
Tuesday8:00 am - 4:00 pm
Wednesday8:00 am - 4:00 pm
Thursday8:00 am - 4:00 pm
Friday8:00 am - 4:00 pm
Note
Service is available to hospital inpatients and their families in emergency situations 24/7.
Please contact the patient care unit.</t>
  </si>
  <si>
    <t>Alberta Children's Hospital
Canmore General Hospital
Claresholm General Hospital
Foothills Medical Centre
High River General Hospital
Mineral Springs Hospital
Oilfields General Hospital
Rockyview General Hospital
South Health Campus
Tom Baker Cancer Centre
Vulcan Community Health Centre</t>
  </si>
  <si>
    <t>Ledgeview Business Centre
Address9707 110 Street Edmonton, AlbertaT5K 2L9
Telephone780-455-2601
Fax780-455-2589
Emailinfo@excelsociety.org 
Websitehttp://www.excelsociety.org</t>
  </si>
  <si>
    <t>Alex Taylor School
Baker Centre, The
Bonnie Doon Shopping Centre
Community Centre
Edmonton 10608 105 Avenue
Edmonton 108 Street Building 
Edmonton 5215 87 Street
Edmonton Mennonite Centre for Newcomers
First Edmonton Place
GB Building
Harcourt House
McDougall House
Northgate Centre
Our House Addiction Recovery Centre
Royal Alex Place
Transition Place
WSP Place</t>
  </si>
  <si>
    <t>Ledgeview Business Centre</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</si>
  <si>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</si>
  <si>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 xml:space="preserve">Provides an inpatient unit for long term mental health or behavioral concerns.Offers recovery oriented services and the development of skills to promote independence.
</t>
  </si>
  <si>
    <t>Service Providers May Includeregistered nurses (RNs), social workers
Wait TimesAn estimated wait time will be provided at the time of appointment booking.
FeesClients pay room and board and part of costs for activities. 
Service LanguagesInterpreter/Translation services</t>
  </si>
  <si>
    <t>Sheldon M. Chumir Health Centre
Address1213 4 Street SWCalgary, AlbertaT2R 0X7
Telephone403-955-6376
Fax403-955-6059
Getting ThereParking available
Parking map</t>
  </si>
  <si>
    <t>Days of the Week
Monday8:00 am - 4:30 pm
Tuesday8:00 am - 4:30 pm
Wednesday8:00 am - 4:30 pm
Thursday8:00 am - 4:30 pm
Friday8:00 am - 4:30 pm
Note
Administration operates on the schedule noted above.Â  Approved homes operate on a 24 hours a day, seven days a week basis.Â  Community Support Services are provided during business hours on weekdays.</t>
  </si>
  <si>
    <t xml:space="preserve">Provides living options for adults with serious and ongoing mental health problems.Services provided include:
approved contracted family homes-- include room, board, and support from host families
satellite homes -- are duplexes where four adults live together and community support workers offer a small amount of support from Monday to Friday
Roberts House -- a group home for adults that provides 24/7 care, it is a partnership with Canadian Mental Health and only takes referrals from hospitals
Hamilton house -- is a group home for adults that offers 24/7 care, it is a partnership with Canadian Mental Health and only takes referrals from hospitals
outreach support -- helps people living in the community.Cre
Creative Pastimes and Community Connections -- recreation programs offered throughout the week for people who are also connected to an addiction and mental health service
</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</si>
  <si>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</si>
  <si>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Days of the Week
Monday8:00 am - 5:00 pm
Tuesday8:00 am - 9:00 pm
Wednesday8:00 am - 9:00 pm
Thursday8:00 am - 9:00 pm
Friday8:00 am - 5:00 pm
Note
Note that Walk in Intake Hours are 8:00 am to 3:00 pm on Mon, Tue, Thu &amp; Fri and 8:00 am to 12:00 pm (noon) on Wednesday.</t>
  </si>
  <si>
    <t>Centre Hope Building 
St. Albert Provincial Building
Strathcona Community Hospital
WestView Health Centre - Stony Plain</t>
  </si>
  <si>
    <t>East Calgary Health Centre
Address4715 8 Avenue SECalgary, AlbertaT2A 3N4
Telephone403-943-1500 (Intake / Referral Access Mental Health), 403-955-6986 (Reception)
Fax403-955-6377
Websitehttp://albertahealthservices.ca
Getting TherePublic transportation available</t>
  </si>
  <si>
    <t>Service Providers May Includerecreation therapists, registered nurses, registered psychiatric nurses, social workers, therapy assistants
Service Healthcare providers should consult the Alberta Referral Directory for service referral information.
Wait TimesAn estimated wait time will be provided at the time of appointment booking.</t>
  </si>
  <si>
    <t>Chinook Regional Hospital
Address960 19 Street SLethbridge, AlbertaT1J 1W5
Telephone403-388-6244
Fax403-388-6250
Getting ThereParking map</t>
  </si>
  <si>
    <t>Days of the Week
Monday8:15 am - 4:15 pm
Tuesday8:15 am - 4:15 pm
Wednesday8:15 am - 4:15 pm
Thursday8:15 am - 4:15 pm
Friday8:15 am - 4:15 pm
Note
Closed between 12:00 (noon)Â - 1:00 P.M.</t>
  </si>
  <si>
    <t xml:space="preserve">Offers group therapy that focuses on education and personal skills.Group therapy offered to clients in the community in areas such as: Cognitive Behavioral Therapy, Coping with Anxiety, Stress Management and Pain Management. Psycho-educational groups offered to psychiatric inpatients covering topics such as stress management and living with addiction and mental health concerns. Individual and group recreation therapy offered to psychiatric inpatients to improve coping skills. Group recreation therapy provided to community clients to improve leisure and social skills
</t>
  </si>
  <si>
    <t>Days of the Week
Monday8:00 am - 4:30 pm
Tuesday8:00 am - 4:30 pm
Wednesday8:00 am - 4:30 pm
Thursday8:00 am - 4:30 pm
Friday8:00 am - 4:30 pm
Note
Closed 12:00 PM (noon) to 1:00 PM.</t>
  </si>
  <si>
    <t>Bow Island Provincial Building
Brooks Health Centre
Crowsnest Pass Provincial Building
Fort Macleod Health Centre
Lethbridge Provincial Building
Medicine Hat Provincial Building
Pincher Creek Provincial Building 
Provincial Building
Raymond Health Centre</t>
  </si>
  <si>
    <t>Service Providers May Includeaddiction counselors, coaches, mental health therapists
EligibilityMust be a student enrolled at Jasper Place High School or their caregiver.
Service Students can self-refer or be referred by family, friends or school staff.
Services are provided on a drop in basis any time during school hours. No appointment is required.
Â 
Service LanguagesInterpreter/Translation services</t>
  </si>
  <si>
    <t>Jasper Place High School
Address8950 163 Street Edmonton, AlbertaT5R 2P2
Telephone780-408-9000
Fax780-487-8583
Websitehttp://jasperplace.epsb.ca</t>
  </si>
  <si>
    <t>Days of the Week
Monday8:00 am - 3:30 pm
Tuesday8:00 am - 3:30 pm
Wednesday8:00 am - 3:30 pm
Thursday8:00 am - 3:30 pm
Friday8:00 am - 3:30 pm</t>
  </si>
  <si>
    <t>Jasper Place High School</t>
  </si>
  <si>
    <t xml:space="preserve">This prevention and promotion initiative works to increase a communityÂ¿s capacity to promote the development of positive mental health and wellness in its children, youth and families using schools as hubs.Using prevention and promotion activities, this service works to increase access to evidenced based information on universal mental health promotion and prevention programming, establish effective mentorship opportunities for adults who interact with chiildren and youth, and advance an integrated approach to promoting mental health and preventing mental health problems among community partners, government, schools and industry.
</t>
  </si>
  <si>
    <t>Northeast Community Health Centre
Address14007 50 Street Edmonton, AlbertaT5A 5E4
Tollfree1-888-523-0495
Emailfcprogram@sashbear.org
Websitehttp://sashbear.org/en/family-connections
Getting ThereParking available.</t>
  </si>
  <si>
    <t>Note
Weekly sessions are offered on Wednesdays from 6:00 pm to 8:00 pm. Double Weekend Intensive Sessions are offered all day Saturday and Sunday (8:00 am to 5:00 pm both days) one month apart.</t>
  </si>
  <si>
    <t>North West 1
Red Deer Regional Hospital Centre
Rutherford Health Centre</t>
  </si>
  <si>
    <t>Service Providers May Includeoccupational therapists (OTs), psychologists, speech-language pathologists (SLPs)
Wait TimesAn estimated wait time will be provided at the time of appointment booking.
Service LanguagesInterpreter/Translation services</t>
  </si>
  <si>
    <t>Richmond Road Diagnostic and Treatment Centre
Address1820 Richmond Road SWCalgary, AlbertaT2T 5C7
Telephone403-955-8347
Fax403-955-8780
Getting ThereParking available
Parking map</t>
  </si>
  <si>
    <t xml:space="preserve">Works with the child's primary clinician and school to help manage the child's mental health, particulary in the areas of occupational therapy, speech language therapy, and psychology.Provides assessment and diagnoses to help determine the best treatment to be provided by the primary clinician working with the child and family within the Child and Adolescent Addiction and Mental Health Community Portfolio (CAAMHP).
</t>
  </si>
  <si>
    <t>Rocky Mountain House Health Centre
Address5016 52 Avenue Rocky Mountain House, AlbertaT4T 1T2
Telephone403-845-3347</t>
  </si>
  <si>
    <t>Lacombe Hospital and Care Centre
Ponoka Hospital and Care Centre
Rimbey Hospital and Care Centre</t>
  </si>
  <si>
    <t>Lethbridge Provincial Building
Address200 5 Avenue SLethbridge, AlbertaT1J 4L1
Telephone403-381-5260</t>
  </si>
  <si>
    <t>Service Providers May Includeprogram facilitators, psychiatrists, psychologists, social workers, therapy specialists
Referral NeededA referral from the Foothills Medical Centre Emergency Department or through  Mental Health is needed.</t>
  </si>
  <si>
    <t>Foothills Medical Centre
Address1403 29 Street NWCalgary, AlbertaT2N 2T9
Telephone403-944-1567, 403-943-1500 Access Mental Health
Fax403-944-2838
Getting ThereParking available
Parking map</t>
  </si>
  <si>
    <t>Days of the Week
Monday8:00 am - 6:15 pm
Tuesday8:00 am - 6:15 pm
Wednesday8:00 am - 6:15 pm
Thursday8:00 am - 6:15 pm
Friday8:00 am - 4:15 pm
Note
Closed weekends and Statutory holidays.</t>
  </si>
  <si>
    <t xml:space="preserve">Offers services for people who have short-term emotional or mental health concerns.Provides services for people who have short-term emotional or mental health concerns, including mood problems (e.g., short- or long-term depression, bipolar disorder) and anxiety spectrum disorders (e.g., anxiety, panic, social phobias).
Services include:
assessments and consultation
checking medicines and helping people manage them
therapy (one-to-one, couple, group)
</t>
  </si>
  <si>
    <t>Mayerthorpe Healthcare Centre
Address4417 45 Street Mayerthorpe, AlbertaT0E 1N0
Telephone780-786-2488
Fax780-786-2023
Getting ThereSouth of 46 Avenue</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</si>
  <si>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</si>
  <si>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Rutherford Health Centre
Address11153 Ellerslie Road SWEdmonton, AlbertaT6W 0E9
Telephone780-342-6800
Getting ThereParking and Public transportation available</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</si>
  <si>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Spruce Grove Health Unit
St. Albert Public Health Centre
Strathcona County Health Centre
Thorsby Public Health Centre
West Jasper Place Public Health Centre
WestView Health Centre - Stony Plain
Westmount Shopping Centre</t>
  </si>
  <si>
    <t>Hythe Continuing Care Centre
Address10307 100  Street Hythe, AlbertaT0H 2C0</t>
  </si>
  <si>
    <t>Note
Chaplain visit weekly. Catholic communion service Wednesdays.</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</si>
  <si>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</si>
  <si>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Hythe Continuing Care Centre</t>
  </si>
  <si>
    <t>Canmore Provincial Building
Address800 Railway Avenue Canmore, AlbertaT1W 1P1
Telephone403-678-5656
Fax403-678-5068</t>
  </si>
  <si>
    <t>Acadia Community Health Centre
Airdrie Community Health Centre
Banff Community Health Centre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
Vulcan Community Health Centre</t>
  </si>
  <si>
    <t>Regional Resource Centre - Medicine Hat Regional Hospital
Address631 Prospect Drive SWMedicine Hat, AlbertaT1A 4C2
Telephone403-529-8030
Fax403-502-8284
Getting TherePublic transportation available</t>
  </si>
  <si>
    <t>Lethbridge Provincial Building
Medicine Hat Provincial Building</t>
  </si>
  <si>
    <t>Service Providers May Includebehavioural specialists, mental health therapists, occupational therapists (OTs)
Service Healthcare providers should consult the Alberta Referral Directory for service referral information.
Wait TimesAn estimated wait time will be provided at the time of appointment booking.
Service LanguagesInterpreter/Translation services</t>
  </si>
  <si>
    <t>Melcor Centre
Address200 4 Avenue SLethbridge, AlbertaT1J 4C9
Telephone403-381-5777
Fax403-381-5873
AccessibilityMelcor Centre has elevators and wheelchair ramps.</t>
  </si>
  <si>
    <t>Days of the Week
Monday8:15 am - 4:15 pm
Tuesday8:15 am - 4:15 pm
Wednesday8:15 am - 4:15 pm
Thursday8:15 am - 4:15 pm
Friday8:15 am - 4:15 pm
Note
Closed between 12:00 Noon and 1:00 pm.</t>
  </si>
  <si>
    <t>/affiliations
Persons with Developmental Disabilities</t>
  </si>
  <si>
    <t xml:space="preserve">Provides services to meet the needs of people who are eligible for services from Persons with Developmental Disabilities and have complex service needs.Provides support to Persons with Developmental Disabilities (PDD) , including:
supports to service providers during times of crisis
developing preventative strategies to avoid the need for service providers to initiate a critical response
empowering service providers with the ability to maintain and implement high quality service
</t>
  </si>
  <si>
    <t>Northern Lights Regional Health Centre
Address7 Hospital Street Fort McMurray, AlbertaT9H 1P2
Telephone780-791-6194
Tollfree1-877-303-2642 (24 hr Help Line)
Getting ThereParking map</t>
  </si>
  <si>
    <t>Days of the Week
Monday8:00 am - 4:15 pm
Tuesday8:00 am - 7:45 pm
Wednesday8:00 am - 4:15 pm
Thursday8:00 am - 4:15 pm
Friday8:00 am - 4:15 pm
Note
Note: walk-in clinic every Monday from 11:00 PM toÂ 2:00 PM</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</si>
  <si>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</si>
  <si>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J. B. Wood Continuing Care Centre
Address5101 38 Street High Prairie, AlbertaT0G 1E0
Telephone780-523-6470
Tollfree1-855-371-4122 (Continuing Care Access)
Fax1-855-776-3805 (Continuing Care Access)</t>
  </si>
  <si>
    <t>Bar-V-Nook Manor
Edson Healthcare Centre
Grande Prairie Care Centre
Heimstaed Lodge
Hinton Continuing Care Centre
Manoir du Lac 
Points West Living Cold Lake
Points West Living Grande Prairie
Points West Living Lac La Biche
Points West Living Peace River
Points West Living Slave Lake
Stone Brook
Wild Rose Assisted Living</t>
  </si>
  <si>
    <t>J. B. Wood Continuing Care Centre</t>
  </si>
  <si>
    <t>Lethbridge and Area - Information / Registration / Appointments
Telephone403-327-5724 (Coordinator)
Websitehttp://www.lfsfamily.ca 
Getting ThereÂ 
Map does not signify location of any organization or service.</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</si>
  <si>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</si>
  <si>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Lethbridge and Area - Information / Registration / Appointments</t>
  </si>
  <si>
    <t>Lac La Biche Provincial Building
Address9503 Beaverhill Road Lac La Biche, AlbertaT0A 2C0
Telephone780-623-5227
Tollfree 24 hour Help Line 1-866-332-2322
Fax780-623-5296</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</si>
  <si>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Northern Addictions Centre
Northwest Health Centre 
Peace River Provincial Building  
Pine Plaza Building
Rainbow Lake Community Health Services
Seton - Jasper Healthcare Centre
Slave Lake 101 3 Street
St. Paul Provincial Building
Whitecourt Provincial Building</t>
  </si>
  <si>
    <t>Northwest Health Centre 
Address11202 100 Avenue High Level, AlbertaT0H 1Z0
Telephone780-841-3200</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</si>
  <si>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Queen Elizabeth II Hospital
Slave Lake Healthcare Centre
St. Theresa General Hospital 
St. Therese - St. Paul Healthcare Centre
Westlock Healthcare Centre
Whitecourt Healthcare Centre
William J. Cadzow - Lac La Biche Healthcare Centre</t>
  </si>
  <si>
    <t>Mayerthorpe Healthcare Centre
Address4417 45 Street Mayerthorpe, AlbertaT0E 1N0
Telephone780-786-2023
Fax780-786-2488
Getting ThereSouth of 46 Avenue</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</si>
  <si>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</si>
  <si>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Grande Cache Provincial Building
Address10001 Hoppe Avenue Grande Cache, AlbertaT0E 0Y0
Telephone780-827-2728
Fax780-827-3504</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</si>
  <si>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</si>
  <si>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Grande Cache Provincial Building</t>
  </si>
  <si>
    <t>Extendicare St. Paul
Address4614 47 Avenue St. Paul, AlbertaT0A 3A3
Telephone780-645-3375
Fax780-645-4290</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</si>
  <si>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</si>
  <si>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Extendicare St. Paul</t>
  </si>
  <si>
    <t>Calgary 1406 Centre Street NE
Address1406 Centre Street NECalgary, AlbertaT2E 2R9
Telephone403-265-8446 (Coordinator)</t>
  </si>
  <si>
    <t>Banff and Area - Information / Registration / Appointments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</si>
  <si>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Calgary 1406 Centre Street NE</t>
  </si>
  <si>
    <t>WSP Place
Address10909 Jasper Avenue NWEdmonton, AlbertaT5J 3L9
Telephone780-423-4106
Tollfree1-800-785-6539
Fax780-426-0029
Emailemploy@employabilities.ab.ca 
Websitehttp://www.employabilities.ab.ca</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</si>
  <si>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Transition Place</t>
  </si>
  <si>
    <t>WSP Place</t>
  </si>
  <si>
    <t>Cantara House  (Brooks Shelter)
Telephone403-793-2232, 24 Hour crisis line: 1-403-793-2232
Websitehttp://www.cantarasafehouse.ca</t>
  </si>
  <si>
    <t>Airdrie 125 Main Street NW
Airdrie 209 Centre Avenue West
Associates Counselling Services Office
Brooks Community Cultural Centre
Calgary 707 10 Avenue SW
Calgary Zone - Information / Registration / Appointments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</si>
  <si>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Cantara House  (Brooks Shelter)</t>
  </si>
  <si>
    <t>CapitalCare Dickinsfield
Address14225 94 Street NWEdmonton, AlbertaT5E 6C6
Telephone780-496-1300 (Community Care Access), 780-371-6642 (Facility)
Fax780-371-6636
Emailinfo@capitalcare.net
Websitehttp://www.capitalcare.net/Page159.aspx</t>
  </si>
  <si>
    <t>CapitalCare CHOICE Mental Health
CapitalCare CHOICE Norwood
CapitalCare Norwood
Good Samaritan Dr. Gerald Zetter Care Centre
Good Samaritan Place</t>
  </si>
  <si>
    <t>CapitalCare Dickinsfield</t>
  </si>
  <si>
    <t>Sunny South Lodge
Address1112 20 Avenue Coaldale, AlbertaT1M 1L4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</si>
  <si>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Sunrise Gardens</t>
  </si>
  <si>
    <t>Sunny South Lodge</t>
  </si>
  <si>
    <t>First Edmonton Place
Address10665 Jasper Avenue Edmonton, AlbertaT5J 3S9
Telephone780-425-6655
Fax780-425-5666
Emailbgs@bgsenterprises.com 
Websitehttp://www.bgsenterprises.com 
AccessibilityBuilding elevator, external ramps, electronic doors, accessible washrooms.Outside parking with ramp access and underground parking with elevator access.
Getting ThereNear Corona LRT (Light Rail Transit) Station</t>
  </si>
  <si>
    <t>Days of the Week
Monday8:00 am - 4:30 pm
Tuesday8:00 am - 4:30 pm
Wednesday8:00 am - 4:30 pm
Thursday8:00 am - 4:30 pm
Friday8:00 am - 4:30 pm
Note
Program hours vary.</t>
  </si>
  <si>
    <t>Alex Taylor School
Baker Centre, The
Bonnie Doon Shopping Centre
Community Centre
Edmonton 10608 105 Avenue
Edmonton 108 Street Building 
Edmonton 5215 87 Street
Edmonton Mennonite Centre for Newcomers
GB Building
Harcourt House
Ledgeview Business Centre
McDougall House
Northgate Centre
Our House Addiction Recovery Centre
Royal Alex Place
Transition Place
WSP Place</t>
  </si>
  <si>
    <t>First Edmonton Place</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</si>
  <si>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Therese - St. Paul Healthcare Centre
Swan Hills Healthcare Centre
Valleyview Community Health Services
Westlock Provincial Building
Whitecourt Healthcare Centre</t>
  </si>
  <si>
    <t>Slave Lake Healthcare Centre
Address309 6 Street NESlave Lake, AlbertaT0G 2A2
Telephone780-805-3550
Fax780-849-3947</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</si>
  <si>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</si>
  <si>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Strafford Foundation Tudor Manor
Address200 Sandstone Drive Okotoks, AlbertaT1S 1R1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</si>
  <si>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Sunrise Village High River
Swan Evergreen Village
Wentworth Manor / The Residence and The Court
Whitehorn Village Retirement Community
Wing Kei Greenview</t>
  </si>
  <si>
    <t>Strafford Foundation Tudor Manor</t>
  </si>
  <si>
    <t>Raymond Health Centre
Address150 N 4  Street ERaymond, AlbertaT0K 2S0
Telephone403-752-5440
Fax403-752-4147
AccessibilityMain entranceWashrooms
Getting ThereCommunity Handi-Bus available</t>
  </si>
  <si>
    <t>Days of the Week
Monday8:15 am - 4:30 pm
Tuesday8:15 am - 4:30 pm
Wednesday8:15 am - 4:30 pm
Thursday8:15 am - 4:30 pm
Friday8:15 am - 4:30 pm
Note
Closed 12:00 PM (noon) to 1:00 PM.</t>
  </si>
  <si>
    <t>Bow Island Provincial Building
Brooks Health Centre
Crowsnest Pass Provincial Building
Fort Macleod Health Centre
Lethbridge Provincial Building
Medicine Hat Provincial Building
Pincher Creek Provincial Building 
Provincial Building
Taber Health Centre</t>
  </si>
  <si>
    <t>Raymond Health Centre</t>
  </si>
  <si>
    <t>Sacred Heart Community Health Centre
Address350 3 Avenue NWMcLennan, AlbertaT0H 2L0
Telephone780-342-2383
Fax780-342-3348
Getting ThereMain Street McLennan</t>
  </si>
  <si>
    <t>Days of the Week
Wednesday9:00 am - 3:00 pm</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</si>
  <si>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Seton - Jasper Healthcare Centre
Slave Lake Healthcare Centre
St. Theresa General Hospital 
St. Therese - St. Paul Healthcare Centre
Swan Hills Healthcare Centre
Valleyview Community Health Services
Westlock Community Health Services
Whitecourt Healthcare Centre</t>
  </si>
  <si>
    <t>Slave Lake Government Centre and Library
Address101 3 Street SWSlave Lake, AlbertaT0G 2A0
Telephone780-805-3502
Tollfree310-0000 780-805-3502, 1-877-303-2642 (24 hr Help Line)
Fax780-805-3550</t>
  </si>
  <si>
    <t>Days of the Week
Monday8:00 am - 4:30 pm
Tuesday8:00 am - 4:30 pm
Wednesday8:00 am - 4:30 pm
Thursday8:00 am - 4:30 pm
Friday8:00 am - 4:30 pm
Note
Closed Monday to Friday from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</si>
  <si>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Spirit River Community Health Services
St. Theresa General Hospital 
St. Therese - St. Paul Healthcare Centre
Swan Hills Healthcare Centre
Valleyview Community Health Services
Westlock Provincial Building
Whitecourt Community Health Services</t>
  </si>
  <si>
    <t>Slave Lake Government Centre and Library</t>
  </si>
  <si>
    <t>Extendicare Bonnyville
Address4602 47 Avenue Bonnyville, AlbertaT9N 2E8
Telephone780-826-3341
Fax780-826-4890</t>
  </si>
  <si>
    <t>Alpine Summit Seniors Lodge
Athabasca Healthcare Centre
Bonnyville Healthcare Centre 
Cold Lake Healthcare Centre
Dr. W. R. KEIR - Barrhead Continuing Care Centre
Edson Healthcare Centre
Elk Point Healthcare Centre
Extendicare Athabasca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</si>
  <si>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Extendicare Bonnyville</t>
  </si>
  <si>
    <t>Service Providers May Includeclinical nurse specialists, mental health therapists, occupational therapists (OTs), psychologists, registered nurses (RNs), social workers, behavioural specialists
EligibilityPatient must be 17 years or older and eligible for funding with PDD. The patient must already have been accepted by PDD for funding and have a PDD service coordinator. The patient must meet the definition of 'complex service needs' which means the individual poses a significant risk and/or are destructive to others or property. In addition, the patient must have experienced one of: multi-system involvement, poor mental health, criminal justice involvement, previous termination from PDD services, chronic substance abuse problems, frequent E.R. visits or inpatient psych admissions.
Service Healthcare providers should consult the Alberta Referral Directory for service referral information.
Wait TimesAn estimated wait time will be provided at the time of appointment booking.
Service LanguagesInterpreter/Translation services</t>
  </si>
  <si>
    <t>Calgary 3465 26 Avenue NE
Address3465 26 Avenue NECalgary, AlbertaT1Y 6L4
Telephone403-943-8312
Fax403-943-8367</t>
  </si>
  <si>
    <t xml:space="preserve">Provides assessment, consultation, intervention, and education for clients age 17 and older with intellectual disabilities and special needs.Behavioural management consultation service for individuals with intellectual disabilities (IQ&lt;70) who are funded by Persons with Developmental Disabilities (PDD), who have complex service needs, and present with extremely challenging behaviours that present risk to self or others and threaten their ability to successfully live in the community.
Services include;
psychiatric nursing (e.g., mental and physical assessment, evaluating and giving medicine)
planning for assessments, behavioural interventions, staff wellness training
support navigating health and community systems and referrals to other resources
staff education, training, and support to start interventions
</t>
  </si>
  <si>
    <t>Boyle Healthcare Centre
Address5004 Lakeview  Road Boyle, AlbertaT0A 0M0
Telephone780-689-2677
Fax780-689-2835</t>
  </si>
  <si>
    <t>Athabasca Community Health Services
Barrhead Community Health Services
Bonnyville Community Health Services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</si>
  <si>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Crowsnest Pass Provincial Building
Address12501 20 Avenue Blairmore, AlbertaT0K 0E0
Telephone403-562-5041
Tollfree1-866-332-2322  (24 Hour Addictions Help Line)
Fax403-562-8933</t>
  </si>
  <si>
    <t>Days of the Week
Monday8:00 am - 4:30 pm
Tuesday8:00 am - 4:30 pm
Wednesday8:00 am - 4:30 pm
Thursday8:00 am - 4:30 pm
Friday8:00 am - 4:30 pm
Note
Closed between 12:00 pm - 12:45 pm</t>
  </si>
  <si>
    <t>Brooks 403  2 Avenue W
Cardston Provincial Building 
Lethbridge Provincial Building
Medicine Hat Provincial Building
Oyen Community Health Services
Pincher Creek Provincial Building 
Taber Health Centre</t>
  </si>
  <si>
    <t>Hinton Civic Centre Building
Address131 Civic Centre Road Hinton, AlbertaT7V 2E5
Telephone780-865-8263
Tollfree24 hour Helpline 1-866-332-2322
Fax780-865-8314</t>
  </si>
  <si>
    <t>Athabasca Community Health Services
Barrhead Administration Building
Bonnyville Provincial Building
Cold Lake 5013 51 Street
Edson Healthcare Centre
Fort McMurray Queen Street Building 
Grande Prairie Aberdeen Centre
High Prairie Health Complex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</si>
  <si>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Transition Place
Address10010 105 Street NWEdmonton, AlbertaT5J 1C4
Telephone780-448-0378
Fax780-448-0379
Emailacsa@telus.net
Websitehttp://www.aboriginalcounseling.com</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</si>
  <si>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Wetaskiwin 5010 50 Avenue
Wetaskiwin Provincial Building
YW Sheriff King Home</t>
  </si>
  <si>
    <t>University of Alberta Hospital
Address8440 112 Street NWEdmonton, AlbertaT6G 2B7
TelephoneAccess to this service is by Emergency Room visit only
Getting ThereParking and Public transportation available
Parking map</t>
  </si>
  <si>
    <t>Fort Saskatchewan Community Hospital
Grey Nuns Community Hospital
Leduc Community Hospital
Misericordia Community Hospital 
Northeast Community Health Centre
Royal Alexandra Hospital
Strathcona Community Hospital
Sturgeon Community Hospital
WestView Health Centre - Stony Plain</t>
  </si>
  <si>
    <t>Pincher Creek Health Centre
Address1222 Bev McLachlin  Drive Pincher Creek, AlbertaT0K 1W0
Telephone403-330-8691 
Fax403-388-6718 
AccessibilityMain entranceWashrooms</t>
  </si>
  <si>
    <t>Bassano Health Centre
Big Country Hospital
Bow Island Health Centre
Brooks Health Centre
Cardston Health Centre
Chinook Regional Hospital
Coaldale Health Centre
Crowsnest Pass Health Centre
Fort Macleod Health Centre
Medicine Hat Regional Hospital
Melcor Centre
Milk River Health Centre
Raymond Health Centre
Taber Health Centre</t>
  </si>
  <si>
    <t>Rutherford Heights Retirement Residence
Address949 Rutherford Road SWEdmonton, AlbertaT6W 0E5
Telephone780-496-1300 (Community Care Access)
AccessibilityEntranceParking stalls
Getting ThereCommunity Handi-Bus available</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</si>
  <si>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Saint Thomas Health Centre
Shepherd's Care Greenfield
Shepherd's Care Kensington
Shepherd's Care Vanguard 
St. Albert Retirement Residence
Summerwood Village Retirement Residence
Villa Marguerite
Wedman Village Homes
West Country Hearth</t>
  </si>
  <si>
    <t>Rutherford Heights Retirement Residence</t>
  </si>
  <si>
    <t>Stettler Hospital and Care Centre
Address5912 47 Avenue Stettler, AlbertaT0C 2L0
Telephone403-742-7400</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</si>
  <si>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</si>
  <si>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Swan Hills Healthcare Centre
Address29 Freeman Drive Swan Hills, AlbertaT0G 2C0
Telephone780-333-4241
Fax780-333-7009</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</si>
  <si>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Valleyview Community Health Services
Westlock Provincial Building
Whitecourt Healthcare Centre</t>
  </si>
  <si>
    <t>Service Providers May Includecounsellors, dietitians, doctors, psychiatrists, registered nurses (RNs)
EligibilityPeople with eating disorders who need to be admitted to the hospital.
Referral NeededA doctor referral is needed, which includes lab work results and can be faxed to 403-955-3066.
Service A doctor's referral is required to access the Calgary Eating Disorder Program. Following an initial assessment, access to subsequent treatment services is determined in partnership with the patients multi-disciplinary care team.
Wait TimesVaries
Service LanguagesInterpreter/Translation services</t>
  </si>
  <si>
    <t>Foothills Medical Centre
Address1403 29 Street NWCalgary, AlbertaT2N 2T9
Telephone403-955-7700
Fax403-955-3066 (Physician Referra)
Getting ThereParking available
Parking map</t>
  </si>
  <si>
    <t>Days of the Week
Monday8:30 am - 5:00 pm
Tuesday8:30 am - 5:00 pm
Wednesday8:30 am - 5:00 pm
Thursday8:30 am - 5:00 pm
Friday8:30 am - 4:00 pm</t>
  </si>
  <si>
    <t xml:space="preserve">Cares for people with diagnosed eating disorders (e.g. anorexia nervosa, bulimia nervosa) that are moderate to severe who require hospitalization.Provides inpatient beds for people with eating disorders who need to be admitted to the hospital.
</t>
  </si>
  <si>
    <t>Brooks Health Centre
Address440 3 Street EBrooks, AlbertaT1R 0G5
Telephone403-501-3205
Fax403-362-6039
Getting ThereCity provided special transit</t>
  </si>
  <si>
    <t>Bassano Health Centre
Big Country Hospital
Bow Island Health Centre
Cardston Health Centre
Chinook Regional Hospital
Coaldale Health Centre
Crowsnest Pass Health Centre
Fort Macleod Health Centre
Medicine Hat Regional Hospital
Melcor Centre
Milk River Health Centre
Pincher Creek Health Centre
Raymond Health Centre
Taber Health Centre</t>
  </si>
  <si>
    <t>East Edmonton Health Centre
Address7910 112 Avenue NWEdmonton, AlbertaT5B 0C2
Telephone780-342-4719
Getting TherePublic transportation and parking available. Client parking lot is on west side of 79 St and 113 Ave.</t>
  </si>
  <si>
    <t>Beaumont Public Health Centre
Bonnie Doon Public Health Centre
Devon General Hospital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</si>
  <si>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East Edmonton Health Centre</t>
  </si>
  <si>
    <t>Service Providers May Includemental health therapists, psychiatrists, psychologists, recreational therapists, registered nurses (RNs), social workers
EligibilityYouth between 12 and 18 years with mental health concerns who are in conflict with the law.
Service Healthcare providers should consult the Alberta Referral Directory for service referral information.
You need to be referred by the courts, probation, or other community agencies.
Completed referral forms can be mailed or faxed.
Wait TimesAn estimated wait time will be provided at the time of appointment booking.
Service LanguagesInterpreter/Translation services</t>
  </si>
  <si>
    <t>Calgary 2681 36 Street NE
Address2681 36 Street NECalgary, AlbertaT1Y 5S3
Telephone403-297-7701
Fax403-297-7790</t>
  </si>
  <si>
    <t>Calgary 2681 36 Street NE</t>
  </si>
  <si>
    <t xml:space="preserve">Provides assessment and treatment for youth in the community who are required by law to receive mental health services.Services may include:
psychiatric and psychological court ordered assessments
family, group, and one to one group therapy
psychiatric services
assessment and help with recreational needs
consulting with community services
mental health services for people living in the community
For a copy of the information package and referral form, visit our webpageÂ 
Â 
</t>
  </si>
  <si>
    <t>Drayton Valley Community Outreach School
Address5056 50 Avenue Drayton Valley, AlbertaT7A 1R3
Telephone780-542-1551
Websitehttp://www.iamempoweredconference.ca/, http://www.aimforsuccess.ca/</t>
  </si>
  <si>
    <t>Aurora Elementary School
Drayton Christian School
Eldorado Elementary School
Frank Maddock High School
H W Pickup Junior High School
Wild Rose School Division</t>
  </si>
  <si>
    <t>Drayton Valley Community Outreach School</t>
  </si>
  <si>
    <t>Foothills Medical Centre
Address1403 29 Street NWCalgary, AlbertaT2N 2T9
Telephone403-944-1282
Getting ThereParking available
Parking map</t>
  </si>
  <si>
    <t>Alberta Children's Hospital
South Health Campus</t>
  </si>
  <si>
    <t>Service Providers May Includeeducators
EligibilityPeople with an eating disorder.
Service Healthcare providers should consult the Alberta Referral Directory for service referral information.
Call for information or to make an appointment.
Wait TimesWaiting time varies and is dependent on the demand for service.
Service LanguagesInterpreter/Translation services</t>
  </si>
  <si>
    <t xml:space="preserve">Provides education and consultation to healthcare providers, educators, and the public about treating eating disorders.Helps people find the service that offers treatment for their eating disorder. Healthcare providers, educators, and the public are offered education and consultation about treating eating disorders.
</t>
  </si>
  <si>
    <t>Athabasca Community Health Services
Address3401 48 Avenue Athabasca, AlbertaT9S 1M7
Tollfree780-310-0000   780-675-5404
Fax780-675-3994
Getting ThereSouth of Highway 55</t>
  </si>
  <si>
    <t>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</si>
  <si>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Manning Community Health Centre
Address600 2 Street NEManning, AlbertaT0H 2M0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</si>
  <si>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</si>
  <si>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</si>
  <si>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Peace River Provincial Building  
Address9621 96 Avenue Peace River, AlbertaT8S 1T4
Telephone780-624-6151
Tollfree1-866-332-2322 24 Hour Addictions Help Line
Fax780-624-6579</t>
  </si>
  <si>
    <t>Days of the Week
Monday8:00 am - 4:30 pm
Tuesday8:00 am - 4:30 pm
Wednesday8:00 am - 4:30 pm
Thursday8:00 am - 4:30 pm
Friday8:00 am - 4:30 pm
Note
Closed for lunch from 12:00-1:00pm</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</si>
  <si>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</si>
  <si>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Leduc Public Health Centre
Address4219 50 Street Leduc, AlbertaT9E 8C9
Telephone780-980-4644</t>
  </si>
  <si>
    <t>Beaumont Public Health Centre
Bonnie Doon Public Health Centre
Devon General Hospital
East Edmonton Health Centre
Fort Saskatchewan Community Hospital
Gibbons Health Unit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</si>
  <si>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Leduc Public Health Centre</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</si>
  <si>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</si>
  <si>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Crowsnest Pass Health Centre
Address2001 107 Street Blairmore, AlbertaT0K 0E0
Telephone403-562-5013
Fax403-562-7379
Getting TherePublic transportation available</t>
  </si>
  <si>
    <t>Bassano Health Centre
Big Country Hospital
Bow Island Health Centre
Brooks Health Centre
Cardston Health Centre
Chinook Regional Hospital
Coaldale Health Centre
Fort Macleod Health Centre
Medicine Hat Regional Hospital
Melcor Centre
Milk River Health Centre
Pincher Creek Health Centre
Raymond Health Centre
Taber Health Centre</t>
  </si>
  <si>
    <t>Crowsnest Pass Health Centre</t>
  </si>
  <si>
    <t>Bethany Didsbury
Address1201 15 Avenue Didsbury, AlbertaT0M 0W0
Telephone403-943-1920 (Home Care Assessment)</t>
  </si>
  <si>
    <t>AgeCare Seton
AgeCare SkyPointe
AgeCare Walden Heights
Agecare Sagewood
Aspen Ridge Lodge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</si>
  <si>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Bethany Didsbury</t>
  </si>
  <si>
    <t>Canmore Boardwalk Building
Address743 Railway Avenue Canmore, AlbertaT1W 1P2
Telephone403-678-3133
Tollfree 24 hour Help Line 1-866-332-2322
Fax 403-678-3138
AccessibilityMain entrance</t>
  </si>
  <si>
    <t>Cascade Plaza 
Cochrane Community Health Centre
High River Addiction and Mental Health Clinic 
Hilton Plaza
Lake Louise 200 Hector Street
Youth Substance Use and Mental Health Services</t>
  </si>
  <si>
    <t>Fox Creek Healthcare Centre
Address600 3 Street Fox Creek, AlbertaT0H 1P0
Tollfree1-844-817-5009</t>
  </si>
  <si>
    <t>Edson and Area - Information / Registration / Appointments
Hinton and Area - Information / Registration / Appointments
Jasper - Information / Registration / Appointments
Mayerthorpe Healthcare Centre
Whitecourt and Area - Information / Registration / Appointments</t>
  </si>
  <si>
    <t>Pine Plaza Building
Address702 Pine Plaza  NWGrande Cache, AlbertaT0E 0Y0
Telephone780-827-4998
Fax780-827-7313</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</si>
  <si>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Mental Health Clinic
Seton - Jasper Healthcare Centre
Slave Lake 101 3 Street
St. Theresa General Hospital 
St. Therese - St. Paul Healthcare Centre
Swan Hills Healthcare Centre
Valleyview Community Health Services
Westlock Provincial Building
Whitecourt Healthcare Centre</t>
  </si>
  <si>
    <t>Good Samaritan Park Meadows Village
Address1511 15 Avenue NLethbridge, AlbertaT1H 1W2
Tollfree1-866-388-6380 (Home Care Assessment)
AccessibilityMain entranceVisually and Hearing impared persons</t>
  </si>
  <si>
    <t>Extendicare Fairmont Park
Good Samaritan Garden Vista
Good Samaritan Lee Crest
Good Samaritan Linden View
Good Samaritan Prairie Ridge
Good Samaritan South Ridge Village
Good Samaritan Vista Village 
Good Samaritan West Highlands
Legacy Lodge
Leisure Way
Masterpiece Southland Meadows
Meadow Ridge Seniors Village
Piyami Place
River Ridge Seniors Village
St. Michael's Health Centre
St. Therese Villa
Sunny South Lodge
Sunrise Gardens</t>
  </si>
  <si>
    <t>Good Samaritan Park Meadows Village</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</si>
  <si>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Spirit River Community Health Services
St. Theresa General Hospital 
St. Therese - St. Paul Healthcare Centre
Swan Hills Healthcare Centre
Valleyview Community Health Services
Westlock Provincial Building
Whitecourt Community Health Services</t>
  </si>
  <si>
    <t>High Prairie Health Complex
Address5101 38 Street High Prairie, AlbertaT0G 1E0
Telephone780-624-6151
Tollfree1-877-823-6433</t>
  </si>
  <si>
    <t>Days of the Week
Monday8:00 am - 4:30 pm
Tuesday8:00 am - 4:30 pm
Wednesday8:00 am - 4:30 pm
Thursday8:00 am - 4:30 pm
Friday8:00 am - 4:30 pm
Note
Closed from 12:00 pm to 1:00 pm Monday to Friday.</t>
  </si>
  <si>
    <t>Fairview Health Complex
Grande Prairie Nordic Court 
Northern Lights Regional Health Centre
Northwest Health Centre 
Peace River Mental Health Clinic
Pine Plaza Building
St. Therese - St. Paul Healthcare Centre</t>
  </si>
  <si>
    <t>High River General Hospital
Address560 9 Avenue SWHigh River, AlbertaT1V 1B3
Telephone403-652-2200, 403-652-0133
Fax403-652-0199</t>
  </si>
  <si>
    <t>Alberta Children's Hospital
Canmore General Hospital
Claresholm General Hospital
Foothills Medical Centre
Mineral Springs Hospital
Oilfields General Hospital
Peter Lougheed Centre
Rockyview General Hospital
South Health Campus
Tom Baker Cancer Centre
Vulcan Community Health Centre</t>
  </si>
  <si>
    <t>Service Providers May Includedoctors, licensed practical nurses (LPNs), occupational therapists (OTs), outreach workers, psychiatrists, recreation therapists, registered nurses (RNs), registered psychiatric nurses (RNs), social workers
Service LanguagesInterpreter/Translation services</t>
  </si>
  <si>
    <t xml:space="preserve">Offers short-term care for people with mental health concerns and connects them with other community resources.Provides short-term crisis intervention and stabilization, through brief intensive therapy and education over a 72 hour period. Discharge planning includes assistance arranging access to community programs and services.Â 
</t>
  </si>
  <si>
    <t>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</si>
  <si>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Calgary Zone - Information / Registration / Appointments
Telephone403-852-9929
Getting ThereMap does not signify location of any organization or service.</t>
  </si>
  <si>
    <t>Note
Call for information on date, time and location for services on Stony Nation or Tsuutâ€™ina Nation</t>
  </si>
  <si>
    <t>Airdrie 125 Main Street NW
Airdrie 209 Centre Avenue West
Associates Counselling Services Office
Brooks Community Cultural Centre
Calgary 707 10 Avenue SW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</si>
  <si>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Whitehorn Village Retirement Community
Address5200 44 Avenue NECalgary, AlbertaT1Y 7L4
Telephone403-943-1920 (Home Care Assessment)</t>
  </si>
  <si>
    <t>AgeCare Seton
AgeCare SkyPointe
AgeCare Walden Heights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Wing Kei Greenview</t>
  </si>
  <si>
    <t>Whitehorn Village Retirement Community</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</si>
  <si>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Swan Hills Healthcare Centre
Valleyview Community Health Services
Westlock Provincial Building
Whitecourt Community Health Services</t>
  </si>
  <si>
    <t>Onoway Mental Health Services
Address5115 Lac St. Anne Trail Onoway, AlbertaT0E 1V0
Telephone780-967-9117
Fax780-967-2547</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</si>
  <si>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Northwest Health Centre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</si>
  <si>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Olds Hospital and Care Centre
Address3901 57 Avenue Olds, AlbertaT4H 1T4
Telephone403-507-8174
Tollfree24 Hour Mental Health Help Line 1 877-303-2642, 24 Hour Addiction Help Line 1 877-332-2322
Fax403 556-1584
Getting ThereParking available</t>
  </si>
  <si>
    <t>Days of the Week
Tuesday8:00 am - 4:30 pm
Wednesday8:00 am - 4:30 pm
Thursday8:00 am - 4:30 pm
Friday8:00 am - 4:30 pm
Note
Closed from 12:00 PM to 1:00 PM for lunch.
.</t>
  </si>
  <si>
    <t>Drayton Valley Community Health Centre
Drumheller Health Centre
Lacombe Mental Health Centre
Ponoka Provincial Building
Red Deer 49 Street Community Health Centre - Addiction and Mental Health Services
Rocky Mountain House Health Centre
Stettler Hospital and Care Centre
Sylvan Lake Community Health Centre
Wetaskiwin Provincial Building</t>
  </si>
  <si>
    <t>Rutherford Health Centre
Address11153 Ellerslie Road SWEdmonton, AlbertaT6W 0E9
Telephone780-342-2701 (Central Intake), 780-342-6850 (Clinic Information)
Getting ThereParking and Public transportation available</t>
  </si>
  <si>
    <t>Centre Hope Building 
Edmonton Peace Hills Trust Tower
Fort Saskatchewan Community Hospital
Morinville Provincial Building
Northgate Centre
St. Albert Provincial Building
Stan Woloshyn Building
Strathcona Community Hospital</t>
  </si>
  <si>
    <t>Service Providers May Includeoccupational therapists (OTs), psychiatrists, psychologists, psychometrists, recreational therapists, registered nurses (RNs), social workers
Service Healthcare providers should consult the Alberta Referral Directory for service referral information.
Service LanguagesInterpreter/Translation services</t>
  </si>
  <si>
    <t>Sunridge Mall
Address2580 32 Street NECalgary, AlbertaT1Y 7M8
Telephone403-943-1500 Access Mental Health Intake, 403-944-9800 Carnat Centre Reception
Getting TherePublic transportation, Community Handi-Bus and parking available</t>
  </si>
  <si>
    <t xml:space="preserve">Provides care to people with schizophrenia or other psychotic illnesses.A day program that cares for people with schizophrenia or other psychotic illnesses. Assesses people and offers these services:
neuropsychological evaluations
rehabilitation/psycho-educational and social groups
follow-up
clozapine clinics
family therapy
support for caregivers
</t>
  </si>
  <si>
    <t>Service Providers May Includecounsellors
EligibilityChildren &amp; youth with mental health concerns.
Referral NeededReferrals are through school personnel.
Service For , call 780-342-2701.
Wait TimesAn estimated wait time will be provided at the time of appointment booking.
Service LanguagesInterpreter/Translation services</t>
  </si>
  <si>
    <t>Alberta-Wide Web and / or Telephone Access
Telephone780-342-2701
Getting TherePhysical location not applicable.</t>
  </si>
  <si>
    <t xml:space="preserve">Provides assessment and treatment of mental health concerns.The primary goal is to keep children with mental health conditions learning and functioning as well as possible in their schools and communities.Includes consultation with education personnel.
</t>
  </si>
  <si>
    <t>Service Providers May Includeaddiction counselors, adult recovery support workers, occupational therapists (OTs), psychiatrists, psychologists, recreational therapists (RTs), registered nurses (RNs), social workers (SWs)
Wait TimesAn estimated wait time will be provided at the time of appointment booking.
FeesMost services are free. There may be a small fee for some recreational activities. 
Service LanguagesInterpreter/Translation services</t>
  </si>
  <si>
    <t>Alberta Hospital Edmonton
Address17480  Fort Road Edmonton, AlbertaT5J 2J7
Telephone780-342-5410
Fax780-342-5542
Getting ThereParking and public transportation</t>
  </si>
  <si>
    <t xml:space="preserve">An outpatient day program designed to meet the individual needs of people requiring support while recovering from mental illness, and/or substance use issues.The Edmonton Hope Wellness Centre team offers a safe, respectful, and supportive environment for people on their personal journey of recovery.
Schedule an intake to meet with one of our staff members to discuss which areas you would like support and how our team can best assist you in your goals.
Offering smaller group sizes with people on their own journey of recovery, which include:
leisure groups
menâ€™s/ womenâ€™s support groups
community engagement support
emotional regulation
stress management
</t>
  </si>
  <si>
    <t>Service Providers May Includerecreation therapists
Service 
The patient, family, caregiver, or healthcare provider can ask for the service.</t>
  </si>
  <si>
    <t>Red Deer Regional Hospital Centre
Address3942 50A Avenue Red Deer, AlbertaT4N 4E7
Telephone403-343-4508
Fax403-343-4419
Getting ThereParking and Public transportation available
Parking map</t>
  </si>
  <si>
    <t>Days of the Week
Monday7:30 am - 5:00 pm
Tuesday7:30 am - 5:00 pm
Wednesday7:30 am - 5:00 pm
Thursday7:30 am - 5:00 pm
Friday7:30 am - 5:00 pm</t>
  </si>
  <si>
    <t xml:space="preserve">This program offers recreation therapy to patients in acute care.Through personal and group programs, recreation therapy improves quality of life by offering a social, physical and spiritual outlet through leisure activities
</t>
  </si>
  <si>
    <t>Service Providers May Includeaddiction counselors, mental health counselors, psychiatrists
EligibilityAdults (young adults under 18 may be considered). Have mental illness and / or addiction concerns and able to engage in therapy.
Wait TimesAn estimated wait time will be provided at the time of appointment booking.
Service LanguagesInterpreter/Translation services</t>
  </si>
  <si>
    <t>Northeast Community Health Centre
Address14007 50 Street Edmonton, AlbertaT5A 5E4
Telephone780-342-4027
Getting ThereParking available.</t>
  </si>
  <si>
    <t xml:space="preserve">Provides a full range of specialized addiction and mental health services for adults with mental health, alcohol, drug, and / or gambling problems.Intervention services provided include:
individual and group therapy
psychiatric consultation
consultation to the Emergency Department at NECHC
telephone Intake assessments
The Addiction and Mental Health program is imbedded in a primary care setting; a shared care style of practice is utilized by all staff through ongoing collaboration with physicians involved with the care of mutual clients/patients. The client population served are those patients served by the NECHC and those within the Northeast geographical location.
</t>
  </si>
  <si>
    <t>Slave Lake Healthcare Centre
Address309 6 Street NESlave Lake, AlbertaT0G 2A2
Telephone780-849-3947
Fax780-805-3550</t>
  </si>
  <si>
    <t>Athabasca Community Health Services
Barrhead Community Health Services
Bonnyville Community Health Services
Boyle Healthcare Centre
Cold Lake Community Health Services
Edson Healthcare Centre
Elizabeth Settlement Community Hall
Elk Point Healthcare Centre
Fishing Lake Metis Settlement Community Health Services
George McDougall - Smoky Lake Healthcare Centre
Hinton Community Health Services
Lac La Biche Provincial Building
Mayerthorpe Healthcare Centre
Onoway Community Health Services
St. Paul Community Health Services
Swan Hills Healthcare Centre
Thorhild Community Health Services
Trout / Peerless Lake Health Centre
Wabasca / Desmarais Community Health Services
Westlock Community Health Services
Whitecourt Healthcare Centre</t>
  </si>
  <si>
    <t>Service Providers May Includepsychiatrists, registered nurses (RNs)
EligibilityFor parents of a child being actively treated in a Child &amp; Adolescent Addiction &amp; Mental Health Psychiatry Program.
Service Healthcare providers should consult the Alberta Referral Directory for service referral information.
Wait TimesAn estimated wait time will be provided at the time of appointment booking.
FeesPsychiatrist may charge client for missed appointments. Clients charged for missed appointments may make payments to pay the total in smaller increments. 
Service LanguagesInterpreter/Translation services</t>
  </si>
  <si>
    <t>Richmond Road Diagnostic and Treatment Centre
Address1820 Richmond Road SWCalgary, AlbertaT2T 5C7
Telephone403-955-8904
Fax403-955-8780
Getting ThereParking available
Parking map</t>
  </si>
  <si>
    <t>Days of the Week
Monday8:00 am - 4:30 pm
Tuesday8:00 am - 4:30 pm
Wednesday8:00 am - 4:30 pm
Thursday8:00 am - 4:30 pm
Friday8:00 am - 4:30 pm
Note
Hours are for reception. Appointments may be scheduled outside of these hours.</t>
  </si>
  <si>
    <t xml:space="preserve">Offers mental health assessment and consultation for parents of children being actively treated in a Child &amp; Adolescent Addiction &amp; Mental Health Psychiatry Program.Services offered may include:
mental healthÂ assessment, psychiatric diagnosis
medication review, trial and/or recommendations
psycho-education about parental mental health to optimize functioning of the parent and child within the family context
collaboration with referring CAAMHPP clinicians to inform treatment of the child
connections / recommendations of adult mental health services within AHS or outside of AHS
</t>
  </si>
  <si>
    <t>Sheldon M. Chumir Health Centre
Address1213 4 Street SWCalgary, AlbertaT2R 0X7
Telephone403-955-6200
Getting ThereParking available
Parking map</t>
  </si>
  <si>
    <t>Airdrie Community Health Centre
Canmore General Hospital
Cochrane Community Health Centre
Mineral Springs Hospital
Okotoks Health and Wellness Centre
South Calgary Health Centre</t>
  </si>
  <si>
    <t>CapitalCare CHOICE Mental Health
Address14504 118 Street Edmonton, AlbertaT5X 1T3
Telephone780-496-1300 (Community Care Access), 780-944-8668 (Facility)
Fax780-944-8082
Emailinfo@capitalcare.net
Websitehttp://www.capitalcare.net/Page159.aspx</t>
  </si>
  <si>
    <t>CapitalCare CHOICE Norwood
CapitalCare Dickinsfield
CapitalCare Norwood
Good Samaritan Dr. Gerald Zetter Care Centre
Good Samaritan Place</t>
  </si>
  <si>
    <t>CapitalCare CHOICE Mental Health</t>
  </si>
  <si>
    <t>Service Providers May Includepsychologists, rehabilitation practitioners, therapy assistants
EligibilityFor inpatients who are staying in the centre and clients of the Community Support Services program.
Service Healthcare providers should consult the Alberta Referral Directory for service referral information.
Service LanguagesInterpreter/Translation services</t>
  </si>
  <si>
    <t>Claresholm Centre for Mental Health &amp; Addictions 
Address139 43 Avenue WClaresholm, AlbertaT0L 0T0
Telephone403-682-3500
Fax403-625-4318
Emailclaresholmcentre@albertahealthservices.ca
Websitehttp://www.ahs.ca/claresholmcentre
Getting ThereParking available</t>
  </si>
  <si>
    <t>Days of the Week
Monday8:00 am - 4:00 pm
Tuesday8:00 am - 4:00 pm
Wednesday8:00 am - 4:00 am
Thursday8:00 am - 4:00 pm
Friday8:00 am - 4:00 pm</t>
  </si>
  <si>
    <t xml:space="preserve">Vocational rehabilitation programs teach new skills, revive forgotten skills and stimulates initiative for clients with mental health issues.Services include:
vocational assessment and counselling
career exploration
labor market information / career search
resume development
job search strategies
job coaching
Skill development programsÂ assist the client to return to community based employment.
</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</si>
  <si>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</si>
  <si>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Royal Alex Place
Address10106 111 Avenue Edmonton, AlbertaT5G 0B4
Telephone780-426-7861
Fax780-426-7874
Emailinfo@prosperplace.org
Websitehttp://www.prosperplace.org
AccessibilityEntranceElevators
Getting TherePublic transportation available</t>
  </si>
  <si>
    <t>Days of the Week
Monday9:00 am - 4:30 pm
Tuesday9:00 am - 5:30 pm
Wednesday9:00 am - 4:30 pm
Thursday9:00 am - 5:30 pm
Friday9:00 am - 2:30 pm</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</si>
  <si>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McDougall House
Northgate Centre
Our House Addiction Recovery Centre
Transition Place
WSP Place</t>
  </si>
  <si>
    <t>Royal Alex Place</t>
  </si>
  <si>
    <t>Riverbend Retirement Residence
Address103 Rabbit Hill Court NWEdmonton, AlbertaT6R 2V3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</si>
  <si>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</si>
  <si>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Riverbend Retirement Residence</t>
  </si>
  <si>
    <t>Edson Healthcare Centre
Address3825 6 Avenue Edson, AlbertaT7E 0C5
Telephone780-725-6190
Tollfree1-855-371-4122 (Continuing Care Access)
Fax1-855-776-3805 (Continuing Care Access)</t>
  </si>
  <si>
    <t>Bar-V-Nook Manor
Grande Prairie Care Centre
Heimstaed Lodge
Hinton Continuing Care Centre
J. B. Wood Continuing Care Centre
Manoir du Lac 
Points West Living Cold Lake
Points West Living Grande Prairie
Points West Living Lac La Biche
Points West Living Peace River
Points West Living Slave Lake
Stone Brook
Wild Rose Assisted Living</t>
  </si>
  <si>
    <t>Service Providers May Includeaddiction counsellors, family counsellors, recreation therapists
EligibilityThis program is for clients who have issues with alcohol/other drug use or gambling.
This is a voluntary group.
Referral NeededClients meet with an Addiction Counsellor prior to commencing the program
Service Healthcare providers should consult the Alberta Referral Directory for service referral information.
Wait TimesNew clients start each Monday
Service LanguagesInterpreter/Translation services</t>
  </si>
  <si>
    <t>Fort McMurray Recovery Centre
Address451 Sakitawaw Trail Fort McMurray, T9H 4P3
Telephone780-793-8300
Fax780-793-8301
Getting ThereParking is available</t>
  </si>
  <si>
    <t>Days of the Week
Monday8:00 am - 4:15 pm
Tuesday8:00 am - 4:15 pm
Wednesday8:00 am - 4:15 pm
Thursday8:00 am - 4:15 pm
Friday8:00 am - 4:15 pm
Note
Call for infomation on program hours.</t>
  </si>
  <si>
    <t xml:space="preserve">Non-residential, day treatment programs for people who have substance use or gambling problems.Structured Day Counselling Programs for clients who have substance use or gambling problems.
Topics and programs offered may include:
group counselling
individual counselling
family counselling
recreation
anger management
recovery management
gender specific addiction issues
education
culturally specific groups
</t>
  </si>
  <si>
    <t>Drayton Valley Community Health Centre
Drumheller Health Centre
Lacombe Mental Health Centre
Olds Hospital and Care Centre
Ponoka Provincial Building
Rocky Mountain House Health Centre
Stettler Hospital and Care Centre
Sylvan Lake Community Health Centre
Wetaskiwin Provincial Building</t>
  </si>
  <si>
    <t>Three Hills Health Centre
Address1504 2 Street NThree Hills, AlbertaT0M 2A0
Telephone403-443-5355  Ext. 3401
AccessibilityEmergency is accessible though the main doors on the south side of the building.Ambulance Bay</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</si>
  <si>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Tofield Health Centre
Two Hills Health Centre
Vegreville Community Health Centre
Vermilion Provincial Building
Viking Community Health Centre
Wainwright Health Centre
Wetaskiwin Hospital and Care Centre
Winfield Community Health Centre</t>
  </si>
  <si>
    <t>Three Hills Health Centre</t>
  </si>
  <si>
    <t>Grande Prairie Nordic Court 
Address10014 99 Street Grande Prairie, AlbertaT8V 3N4
Telephone780-538-5162
Tollfree1-877-303-2642 (24 hr Help Line)
Fax780-538-6279</t>
  </si>
  <si>
    <t>Athabasca Community Health Services
Barrhead Healthcare Centre
Beaverlodge Community Health Services
Bonnyville New Park Place
Cold Lake Healthcare Centre
Edson Healthcare Centre
Fairview Health Complex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</si>
  <si>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Tom Baker Cancer Centre
Address1331 29 Street NWCalgary, AlbertaT2N 4N2
Telephone403-355-3207 (Appointments / Booking)
Fax403-355-3206
Emailcalgarypsychosocial@albertahealthservices.ca
Getting ThereParking available
Parking map</t>
  </si>
  <si>
    <t>Community Centre
Address501 Festival Avenue Sherwood Park, AlbertaT8A 4X3
Telephone780-464-4044
Fax780-449-1220
Emailfamilyandcommunity@strathcona.ca 
Websitehttp://www.strathcona.ca/departments/family-and-community-services/</t>
  </si>
  <si>
    <t>Days of the Week
Monday8:00 am - 9:00 pm
Tuesday8:00 am - 9:00 pm
Wednesday8:00 am - 9:00 pm
Thursday8:00 am - 9:00 pm
Friday8:00 am - 4:30 pm</t>
  </si>
  <si>
    <t>Alex Taylor School
Baker Centre, The
Bonnie Doon Shopping Centre
Edmonton 10608 105 Avenue
Edmonton 108 Street Building 
Edmonton 5215 87 Street
Edmonton Mennonite Centre for Newcomers
First Edmonton Place
GB Building
Harcourt House
Ledgeview Business Centre
McDougall House
Northgate Centre
Our House Addiction Recovery Centre
Royal Alex Place
Transition Place
WSP Place</t>
  </si>
  <si>
    <t>Community Centre</t>
  </si>
  <si>
    <t>Points West Living Lloydminster
Address4025 56 Avenue Lloydminster, AlbertaT9V 1N9
Telephone1-855-371-4122 (Home Care Assessment)</t>
  </si>
  <si>
    <t>Bashaw Meadows
Century Park
Clearwater Centre 
Good Samaritan Good Shepherd Lutheran Home
Hamlets at Red Deer, The
Park Avenue at Creekside
Pioneer House
Points West Living Red Deer
Points West Living Stettler
Points West Living Wainwright
Rosehaven Care Centre
Royal Oak Manor
Sundre Seniors Supportive Living 
Sunrise Village Camrose
Sunset Manor
Timberstone Mews
Villa Marie
West Park Lodge</t>
  </si>
  <si>
    <t>Points West Living Lloydminster</t>
  </si>
  <si>
    <t>Leduc Community Hospital
Address4210 48 Street Leduc, AlbertaT9E 5Z3
TelephoneAccess to this service is by Emergency Room visit only
Getting ThereParking available</t>
  </si>
  <si>
    <t>Fort Saskatchewan Community Hospital
Grey Nuns Community Hospital
Misericordia Community Hospital 
Northeast Community Health Centre
Royal Alexandra Hospital
Strathcona Community Hospital
Sturgeon Community Hospital
University of Alberta Hospital
WestView Health Centre - Stony Plain</t>
  </si>
  <si>
    <t>Leduc Community Hospital</t>
  </si>
  <si>
    <t>Grande Prairie Nordic Court 
Address10014 99 Street Grande Prairie, AlbertaT8V 3N4
Telephone780-538-5162
Tollfree1-877-303-2642 (24 Hour Help Line)
Fax780-538-6279</t>
  </si>
  <si>
    <t>Athabasca Community Health Services
Barrhead Healthcare Centre
Beaverlodge Community Health Services
Bonnyville New Park Place
Cold Lake Healthcare Centre
Edson Healthcare Centre
Fairview Health Complex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</si>
  <si>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Centennial Centre for Mental Health and Brain Injury
AddressBox 1000 46  Street SPonoka, AlbertaT4J 1R8
Telephone403-783-7699
AccessibilityMain entrance</t>
  </si>
  <si>
    <t>Days of the Week
Monday8:30 am - 4:30 pm
Tuesday8:30 am - 4:30 pm
Wednesday8:30 am - 4:30 pm
Thursday8:30 am - 4:30 pm
Friday8:30 am - 4:30 pm
Note
Please phone for Chaplain availablility after hours.</t>
  </si>
  <si>
    <t>Hanna Health Centre
Red Deer Regional Hospital Centre
Wainwright Health Centre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</si>
  <si>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</si>
  <si>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Chinook Regional Hospital
Address960 19 Street SLethbridge, AlbertaT1J 1W5
Telephone403-388-6024
Emailspiritual.care@ahs.ca
Getting ThereParking map</t>
  </si>
  <si>
    <t>Bassano Health Centre
Big Country Hospital
Bow Island Health Centre
Brooks Health Centre
Coaldale Health Centre
Medicine Hat Regional Hospital
Pincher Creek Health Centre
Taber Health Centre</t>
  </si>
  <si>
    <t>Swan Hills Healthcare Centre
Address29 Freeman Drive Swan Hills, AlbertaT0G 2C0
Telephone780-333-4241
Tollfree310-0000 780-333-4241, 1-877-303-2642 (24 hr Help Line)
Fax780-333-7009</t>
  </si>
  <si>
    <t>Days of the Week
Monday8:30 am - 4:30 pm
Tuesday8:30 am - 4:30 pm
Wednesday8:30 am - 4:30 pm
Thursday8:30 am - 4:30 pm
Note
Closed_x000D_
12:00 PM (noon) to 1:00 PM.
Closed Fridays and statutory holidays.</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</si>
  <si>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Valleyview Community Health Services
Westlock Provincial Building
Whitecourt Community Health Services</t>
  </si>
  <si>
    <t>Days of the Week
Wednesday9:00 am - 3:00 pm
Note
Appointments are booked through the Medicine Hat office.</t>
  </si>
  <si>
    <t>Brooks 403  2 Avenue W
Crowsnest Pass Provincial Building
Lethbridge Provincial Building
Medicine Hat Provincial Building
Taber Health Centre</t>
  </si>
  <si>
    <t>Athabasca Community Health Services
Barrhead Healthcare Centre
Beaverlodge Community Health Services
Bonnyville New Park Place
Cold Lake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</si>
  <si>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Sylvan Lake Community Health Centre
Three Hills Provincial Building
Vegreville Provincial Building 
Wainwright 905A 3 Avenue
Wetaskiwin Provincial Building</t>
  </si>
  <si>
    <t>Raymond Health Centre
Address150 N 4  Street ERaymond, AlbertaT0K 2S0
Telephone403-752-4561
Fax403-752-3554
AccessibilityMain entranceWashrooms
Getting ThereCommunity Handi-Bus available</t>
  </si>
  <si>
    <t>Bassano Health Centre
Big Country Hospital
Bow Island Health Centre
Brooks Health Centre
Cardston Health Centre
Chinook Regional Hospital
Coaldale Health Centre
Crowsnest Pass Health Centre
Fort Macleod Health Centre
Medicine Hat Regional Hospital
Melcor Centre
Milk River Health Centre
Pincher Creek Health Centre
Taber Health Centre</t>
  </si>
  <si>
    <t>Valleyview Health Centre
Address4802    Highway Street EValleyview, AlbertaT0H 3N0
Telephone780-524-3356</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</si>
  <si>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Westlock Continuing Care Centre
William J. Cadzow - Lac La Biche Healthcare Centre</t>
  </si>
  <si>
    <t>Valleyview Health Centre</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</si>
  <si>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</si>
  <si>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Stan Woloshyn Building
Address205 Diamond Avenue Spruce Grove, AlbertaT7X 3A8
Telephone780-342-1344
Getting ThereParking available</t>
  </si>
  <si>
    <t>Beaumont Public Health Centre
Centre Hope Building 
Devon General Hospital
Fort Saskatchewan Community Hospital
Gibbons Health Unit
Good Samaritan Pembina Village
Morinville Provincial Building
Redwater Health Centre 
St. Albert Provincial Building
Strathcona Community Hospital
Thorsby Public Health Centre
WestView Health Centre - Stony Plain</t>
  </si>
  <si>
    <t>Tom Baker Cancer Centre
Address1331 29 Street NWCalgary, AlbertaT2N 4N2
Telephone403-521-3352
Fax403-521-3711
Getting ThereParking available
Parking map</t>
  </si>
  <si>
    <t>Alberta Children's Hospital
Canmore General Hospital
Claresholm General Hospital
Foothills Medical Centre
High River General Hospital
Mineral Springs Hospital
Oilfields General Hospital
Peter Lougheed Centre
Rockyview General Hospital
South Health Campus
Vulcan Community Health Centre</t>
  </si>
  <si>
    <t>Fairview Health Complex
Grande Prairie Nordic Court 
High Prairie Health Complex
Northern Lights Regional Health Centre
Northwest Health Centre 
Peace River Mental Health Clinic
Pine Plaza Building</t>
  </si>
  <si>
    <t>Northern Lights Regional Health Centre
Address7 Hospital Street Fort McMurray, AlbertaT9H 1P2
Telephone780-342-2383
Fax780-342-3348
Getting ThereParking map</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</si>
  <si>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</si>
  <si>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Hythe Continuing Care Centre
Address10307 100  Street Hythe, AlbertaT0H 2C0
Telephone780-356-3818</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</si>
  <si>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</si>
  <si>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Fairview Health Complex
Address10628 110 Street Fairview, AlbertaT0H 1L0
Telephone780-835-6100</t>
  </si>
  <si>
    <t>Athabasca Healthcare Centre
Barrhead Healthcare Centre
Bonnyville Healthcare Centre 
Central Peace Health Complex
Cold Lake Healthcare Centre
Edson Healthcare Centre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</si>
  <si>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Red Deer Regional Hospital Centre
Address3942 50A Avenue Red Deer, AlbertaT4N 4E7
Telephone403-343-4607
Getting ThereParking and Public transportation available
Parking map</t>
  </si>
  <si>
    <t>Days of the Week
Monday8:30 am - 5:00 pm
Tuesday8:30 am - 5:00 pm
Wednesday8:30 am - 5:00 pm
Thursday8:30 am - 5:00 pm
Friday8:30 am - 5:00 pm
Note
Red Deer provides 24 hour on-call services.Â  Please call for more information.
Chapel services are every Monday and Friday at 3:00 pm and Sing-alongs are every Wednesday at 3:00 pm in the chapel of the Red Deer Regional hospital.Â  Chapel services on the weekend are limited.Â  Please call for more information.</t>
  </si>
  <si>
    <t>Centennial Centre for Mental Health and Brain Injury
Hanna Health Centre
Wainwright Health Centre</t>
  </si>
  <si>
    <t>Northern Lights Regional Health Centre
Address7 Hospital Street Fort McMurray, AlbertaT9H 1P2
Telephone780-791-6194
Tollfree1-877-303-2642 (24 hr Help Line)
Fax780-791-6219
Getting ThereParking map</t>
  </si>
  <si>
    <t>Days of the Week
Monday7:45 am - 4:00 pm
Tuesday7:45 am - 7:45 pm
Wednesday7:45 am - 4:00 pm
Thursday7:45 am - 4:00 pm
Friday7:45 am - 4:00 pm</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</si>
  <si>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</si>
  <si>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Days of the Week
Monday8:00 am - 4:30 pm
Tuesday8:00 am - 4:30 pm
Wednesday8:00 am - 4:30 pm
Thursday8:00 am - 4:30 pm
Friday8:00 am - 4:30 pm
Note
ClosedÂ Monday to Friday 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</si>
  <si>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</si>
  <si>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Spirit River Community Health Services
Address5003 45 Avenue Spirit River, AlbertaT0H 3G0
Telephone780-538-5160 Addiction and Mental Health Grande Prairie
Fax780-538-6279 Addiction and Mental Health Grande Prairie</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</si>
  <si>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St. Theresa General Hospital 
St. Therese - St. Paul Healthcare Centre
Swan Hills Healthcare Centre
Valleyview Community Health Services
Westlock Provincial Building
Whitecourt Community Health Services</t>
  </si>
  <si>
    <t>Service Providers May Includeacupuncturists, chiropractors, doctors, licensed practical nurses (LPNs), mental health and addiction counsellors, nurse practitioners (NPs), psychiatrists, psychologist, registered nurses (RNs), social workers
EligibilityFor people who live in the Boyle Street, McCauley and Norwood areas with difficulty accessing healthcare due to homelessness, poverty, addictions, mental health problems, etc.
Service Some services are available on a walk-in basis and others may require an appointment.Â  Call for more information.
FeesYou may have to pay for the dental clinic, but it is based on your income. Based on how much you can afford to pay.</t>
  </si>
  <si>
    <t>Boyle McCauley Health Centre
Address10628 96 Street NWEdmonton, AlbertaT5H 2J2
Telephone780-422-7333
Fax780-422-7343, 780-425-8515 (Administration)
Emailinfo@bmhc.net
Websitehttp://www.bmhc.net</t>
  </si>
  <si>
    <t>Days of the Week
Monday8:00 am - 8:00 pm
Tuesday8:00 am - 8:00 pm
Wednesday8:00 am - 8:00 pm
Thursday8:00 am - 8:00 pm
Friday8:00 am - 4:30 pm
Saturday9:00 am - 12:30 pm</t>
  </si>
  <si>
    <t>Boyle McCauley Health Centre</t>
  </si>
  <si>
    <t xml:space="preserve">Provides healthcare for people who canÂ¿t access healthcare facilities due to poverty, homelessness, addictions and mental health.A community health centre that provides primary healthcare in the community, which includes:
foot care clinics Wednesdays from 1 p.m. to 3 p.m.
nursing Services Monday to Friday from 8:30 a.m. to 5 p.m. at Herb Jamieson Clinic
dental clinic Monday to Friday from 9 a.m. to 4:30 p.m.
highly active anti-retroviral therapy houseÂ  Monday to Friday 10:30 a.m. to 3:30 p.m. and weekends from 11 a.m. to 2 p.m. at Haart House
Kindred House Monday to Friday from 12 p.m. to 5 p.m. at Unit 3, 9656 Jasper Ave
medical clinic Monday to Thursday from 8 a.m. to 8 p.m., Friday from 8 a.m. to 4:30 p.m., and Saturday from 9 a.m. to 12 p.m.
mental health services Monday to Friday from 8:30 a.m. to 5 p.m.
tuberculosis clinic Monday to Friday from 8:45 a.m. to 5 p.m.
womenâ€™s health clinic Monday, Wednesday, Friday - from 8:45 a.m. to 11:45 p.m. at the Womenâ€™s Emergency Accomodation Centre
Also offers womenâ€™s health promotion, student placements, and volunteer opportunities.
</t>
  </si>
  <si>
    <t>Bonnyville Provincial Building
Address4902 50 Avenue Bonnyville, AlbertaT9N 2H4
Telephone780-826-8054, 24 hour Help Line 1-866-332-2322
Fax780-826-8057</t>
  </si>
  <si>
    <t>Athabasca Community Health Services
Barrhead Administration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</si>
  <si>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Service Providers May Includecommunity health nurses, mental health therapists, mental wellness workers, psychiatrists
EligibilityPeople of Indigenous ancestry including: First Nations (Status and Non-Status) Metis, and Inuit.
Service Healthcare providers should consult the Alberta Referral Directory for service referral information.
Clients can self-refer themselves for services. There is also a walk-in intake service available every Thursday from 9am to 12pm.
Wait TimesAn estimated wait time will be provided at the time of appointment booking.
Service LanguagesInterpreter/Translation services</t>
  </si>
  <si>
    <t>Sheldon M. Chumir Health Centre
Address1213 4 Street SWCalgary, AlbertaT2R 0X7
Telephone403-955-6645 (Intake)
Websitehttp://www.albertahealthservices.ca/info/Page2762.aspx
Getting ThereParking available
Parking map</t>
  </si>
  <si>
    <t>/affiliations
Elbow River Healing Lodge</t>
  </si>
  <si>
    <t xml:space="preserve">This service provides culturally appropriate mental health care and support for Indigenous clients.This program works closely with nurses, physicians, and other service providers to facilitate a holistic approach to care.
Our team provides:
counselling for individuals and families
psycho-educational group therapy
trauma informed therapy for individuals
resources including access to Traditional Wellness Counsellors
assessment
supported liaison services
outreach services
education
community development
culturally safe patient and family centered care
assisted referrals
</t>
  </si>
  <si>
    <t>Royal Oak Manor
Address4501 College Avenue Lacombe, AlbertaT4L 2M8
Tollfree1-855-371-4122 (Home Care Assessment)</t>
  </si>
  <si>
    <t>Bashaw Meadows
Century Park
Clearwater Centre 
Good Samaritan Good Shepherd Lutheran Home
Hamlets at Red Deer, The
Park Avenue at Creekside
Pioneer House
Points West Living Lloydminster
Points West Living Red Deer
Points West Living Stettler
Points West Living Wainwright
Rosehaven Care Centre
Sundre Seniors Supportive Living 
Sunrise Village Camrose
Sunset Manor
Timberstone Mews
Villa Marie
West Park Lodge</t>
  </si>
  <si>
    <t>Royal Oak Manor</t>
  </si>
  <si>
    <t>University of Alberta Hospital
Address8440 112 Street NWEdmonton, AlbertaT6G 2B7
Telephone780-407-6124 (4F3), 780-407-6833 (4G2)
Getting ThereParking and Public transportation available
Parking map</t>
  </si>
  <si>
    <t>Alberta Hospital Edmonton
Grey Nuns Community Hospital
Misericordia Community Hospital 
Royal Alexandra Hospital</t>
  </si>
  <si>
    <t>Foothills Medical Centre
Address1403 29 Street NWCalgary, AlbertaT2N 2T9
Telephone403-944-1410
Getting ThereParking available
Parking map</t>
  </si>
  <si>
    <t>Days of the Week
Monday8:00 am - 4:30 pm
Tuesday8:00 am - 4:30 pm
Wednesday8:00 am - 4:30 pm
Thursday8:00 am - 4:30 pm
Friday8:00 am - 4:30 pm
Note
Service is available to hospital inpatients and their families in emergency situations 24/7.</t>
  </si>
  <si>
    <t>Alberta Children's Hospital
Canmore General Hospital
Claresholm General Hospital
High River General Hospital
Mineral Springs Hospital
Oilfields General Hospital
Peter Lougheed Centre
Rockyview General Hospital
South Health Campus
Tom Baker Cancer Centre
Vulcan Community Health Centre</t>
  </si>
  <si>
    <t>Thorsby Public Health Centre
Address4825 Hankin Street Thorsby, AlbertaT0C 2P0
Telephone780-789-4800
Getting ThereMain St on south end of town.
Public transportation available.</t>
  </si>
  <si>
    <t>Days of the Week
Monday8:15 am - 4:30 pm
Tuesday8:15 am - 4:30 pm
Wednesday8:15 am - 4:30 pm
Thursday8:15 am - 4:30 pm
Friday8:15 am - 4:30 pm
Note
Closed 12:00 PM to 1:00 PM.</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</si>
  <si>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West Jasper Place Public Health Centre
WestView Health Centre - Stony Plain
Westmount Shopping Centre</t>
  </si>
  <si>
    <t>Points West Living Peace River
Address11011 99 Street Peace River, AlbertaT8S 1B3
Telephone780-624-0700
Tollfree1-855-371-4122 (Continuing Care Access)
Fax1-855-776-3805 (Continuing Care Access)</t>
  </si>
  <si>
    <t>Bar-V-Nook Manor
Edson Healthcare Centre
Grande Prairie Care Centre
Heimstaed Lodge
Hinton Continuing Care Centre
J. B. Wood Continuing Care Centre
Manoir du Lac 
Points West Living Cold Lake
Points West Living Grande Prairie
Points West Living Lac La Biche
Points West Living Slave Lake
Stone Brook
Wild Rose Assisted Living</t>
  </si>
  <si>
    <t>Points West Living Peace River</t>
  </si>
  <si>
    <t>Bow Island Health Centre
Address938 Centre Street Bow Island, AlbertaT0K 0G0
Telephone403-545-3200</t>
  </si>
  <si>
    <t>Bassano Health Centre
Big Country Hospital
Brooks Health Centre
Chinook Regional Hospital
Coaldale Health Centre
Medicine Hat Regional Hospital
Pincher Creek Health Centre
Taber Health Centre</t>
  </si>
  <si>
    <t>Bow Island Health Centre</t>
  </si>
  <si>
    <t>EligibilityAdult 18 years and older.
Service Adult Crisis Response Line
Service LanguagesInterpreter/Translation services</t>
  </si>
  <si>
    <t>Edmonton Zone - Information / Registration / Appointments
Telephone780-342-7777 (Crisis Response Team), 780-960-6580 (Spruce Grove Office), 780-449-0189 (Sherwood Park Office)</t>
  </si>
  <si>
    <t xml:space="preserve">Provides early intervention to clients in high risk situations for suburban Edmonton areas within the 13 detachments in the Provincial Capital District.Offers crisis interventions, outreach stabilization, consultations and referrals to community resources to assists mental health and police services to find the most appropriate intervention.
</t>
  </si>
  <si>
    <t>Strathcona Community Hospital
Address9000 Emerald Drive Sherwood Park, AlbertaT8H 0J3
Telephone780-342-2701 (Central Intake), 780-342-3373 (Clinic Information)</t>
  </si>
  <si>
    <t>Centre Hope Building 
Edmonton Peace Hills Trust Tower
Fort Saskatchewan Community Hospital
Morinville Provincial Building
Northgate Centre
Rutherford Health Centre
St. Albert Provincial Building
Stan Woloshyn Building</t>
  </si>
  <si>
    <t>Service Providers May Includeoccupational therapists (OTs), outreach workers, psychiatrists, recreation therapists, registered nurses (RNs), registered psychiatric nurses (RPNs), social workers
EligibilityAdults ages 18 to 65 years, experiencing acute mental health concerns that significantly impair their daily functioning. Individuals suffering from dementia or severe cognitive impairment are NOT accepted.
Wait TimesAn estimated wait time will be provided at the time of appointment booking.
Service LanguagesInterpreter/Translation services</t>
  </si>
  <si>
    <t>Peter Lougheed Centre
Address3500 26 Avenue NECalgary, AlbertaT1Y 6J4
Telephone403-943-6555
Fax403-943-8364
Getting ThereParking available
Parking map</t>
  </si>
  <si>
    <t xml:space="preserve">Offers stabilization and treatment for individuals experiencing acute mental health concerns which significantly impairs their daily functioning.This day program includes:
psycho-education groups
skill development to enhance individuals' abilities to manage current and future addiction and / or mental health concerns
individual therapy
</t>
  </si>
  <si>
    <t>Service Providers May Includeaddiction counsellors
EligibilityFor teens, ages 12 to 18 years.
Referral NeededLYRTC is a provincial facility. Referrals can be made through AHS Addiction Counsellors across Alberta.
Service LanguagesInterpreter/Translation services</t>
  </si>
  <si>
    <t>Lethbridge 402 6 Avenue North 
Address402 6 Avenue NLethbridge, AlbertaT1H 6J9
Telephone403-388-7600
Fax403-388-7619</t>
  </si>
  <si>
    <t xml:space="preserve">Lethbridge 402 6 Avenue North </t>
  </si>
  <si>
    <t xml:space="preserve">The Lethbridge Youth Treatment Centre offers treatment to youth whose lives have been negatively impacted by substance use and gambling.Uses outdoor activities along with individual, family, and group counselling to support recovery from substance use and gambling.
Treatment is based on a client's needs and capabilities.
The residential treatment centre houses 8 youth and is staffed 24 / 7. Each centre has an Alberta Education classroom.
Residents will have home visits to practice the skills they are learning and reconnect with their family. Regular family sessions are offered and family involvement is a must as part of the program.
Recognizing that recovery is a long-term process, residents and their families are encouraged to look for support in their home communities.
This is a non-smoking facility. Residents are also offered support in tobacco cessation.
Take a virtual tour of the Lethbridge Youth Residential Treatment Centre 
</t>
  </si>
  <si>
    <t>Brooks 403  2 Avenue W
Crowsnest Pass Provincial Building
Lethbridge Provincial Building
Medicine Hat Provincial Building
Oyen Community Health Services</t>
  </si>
  <si>
    <t>University of Alberta - Administration Building
Address114 Street and 89 Avenue Edmonton, AlbertaT6G 2M7
Telephone780-492-3342 (Coordinator)
Websitehttp://www.communitywellness.ualberta.ca/</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</si>
  <si>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Grande Prairie and Area - Information / Registration / Appointments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t>
  </si>
  <si>
    <t>University of Alberta - Administration Building</t>
  </si>
  <si>
    <t>Winfield Community Health Centre
Address#10 2 Avenue WWinfield, AlbertaT0C 2X0
Telephone780-682-4755</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</si>
  <si>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t>
  </si>
  <si>
    <t>Winfield Community Health Centre</t>
  </si>
  <si>
    <t>Parkdale Campus  
Address805 37 Street NWCalgary, AlbertaT2N 4N8
Telephone403-943-1500 (Access Mental Health)</t>
  </si>
  <si>
    <t xml:space="preserve">Parkdale Campus  </t>
  </si>
  <si>
    <t>Service Providers May Includedietitians, occupational therapists (OTs), pharmacists, physical therapists (PTs), psychiatrists, recreation therapists, registered nurses (RNs), registered psychiatric nurses, social workers
EligibilityAdults 65 years of age and older, with a serious mental health concern.
Referral NeededBy professional.
Service Healthcare providers should consult the Alberta Referral Directory for service referral information.
Wait TimesAn estimated wait time will be provided at the time of appointment booking.
Service LanguagesInterpreter/Translation services</t>
  </si>
  <si>
    <t>Glenrose Rehabilitation Hospital 
Address10230 111 Avenue NWEdmonton, AlbertaT5G 0B7
Telephone780-735-7933
Fax780-735-8836
AccessibilityParking stalls
Getting ThereParking available
Public transportation available
Parking map</t>
  </si>
  <si>
    <t xml:space="preserve">This inpatient program assesses and treats older adults with serious mental health concerns.Assesses and treats older adults with serious mental health concerns. Services include assessing and treating symptoms and rehabilitation to help people keep or get back the ability to live the lifestyle they want. People are usually in this inpatient program for 30 days.
</t>
  </si>
  <si>
    <t>Service Providers May Includeoccupational therapists (OTs)
EligibilityService targeted to:
Inpatients in the Grey Nuns Hospital
Service LanguagesInterpreter/Translation services</t>
  </si>
  <si>
    <t>Grey Nuns Community Hospital
Address1100  Youville  Drive NWEdmonton, AlbertaT6L 5X8
Telephone780-735-7598 ( Mental Health Occupational Therapists) 
Getting TherePublic transportation available</t>
  </si>
  <si>
    <t>Days of the Week
Monday8:00 am - 4:15 pm
Tuesday8:00 am - 4:15 pm
Wednesday8:00 am - 4:15 pm
Thursday8:00 am - 7:30 pm
Friday8:00 am - 4:15 pm</t>
  </si>
  <si>
    <t xml:space="preserve">Provides clients with support services to guide them in living an independent life.Clients are provided training, education, and support to become independent in all parts of their daily life including:Â 
productivity
leisure activities
self careÂ 
Service includes:Â 
assessments
one-to-one treatment
group therapy
Â 
</t>
  </si>
  <si>
    <t>Fairview Health Complex
Address10628 110 Street Fairview, AlbertaT0H 1L0
Telephone780-624-6151 (Peace River office)
Tollfree1-877-303-2642 (Mental Health Help Line)
Fax780-835-6185</t>
  </si>
  <si>
    <t>Days of the Week
Thursday1:00 pm - 3:00 pm
Note
3 client sessions, 1st come 1st served.</t>
  </si>
  <si>
    <t>Fort McMurray Queen Street Building 
Grande Prairie Aberdeen Centre
Northwest Health Centre 
Peace River Mental Health Clinic</t>
  </si>
  <si>
    <t>Clearwater Centre 
Address5615 60 Street Rocky Mountain House, AlbertaT4T 1W2
Tollfree1-855-371-4122 (Home Care Assessment)</t>
  </si>
  <si>
    <t>Bashaw Meadows
Century Park
Good Samaritan Good Shepherd Lutheran Home
Hamlets at Red Deer, The
Park Avenue at Creekside
Pioneer House
Points West Living Lloydminster
Points West Living Red Deer
Points West Living Stettler
Points West Living Wainwright
Rosehaven Care Centre
Royal Oak Manor
Sundre Seniors Supportive Living 
Sunrise Village Camrose
Sunset Manor
Timberstone Mews
Villa Marie
West Park Lodge</t>
  </si>
  <si>
    <t xml:space="preserve">Clearwater Centre </t>
  </si>
  <si>
    <t>Cross Cancer Institute
Address11560  University  Avenue Edmonton, AlbertaT6G 1Z2
Telephone780-391-7664
Getting ThereParking and Public transportation available
Parking map</t>
  </si>
  <si>
    <t>Alberta Hospital Edmonton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Sturgeon Community Hospital
University of Alberta Hospital
WestView Health Centre - Stony Plain
Youville Home</t>
  </si>
  <si>
    <t>Chartwell Aspen House
Address9706 100 Avenue Morinville, AlbertaT8R 1T2
Telephone780-496-1300 (Community Care Access)</t>
  </si>
  <si>
    <t>Balwin Villa
CapitalCare McConnell Place North
CapitalCare McConnell Place West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</si>
  <si>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Chartwell Aspen House</t>
  </si>
  <si>
    <t>Our Lady of the Rosary Hospital 
Address5402 47 Street Castor, AlbertaT0C 0X0
Telephone403 743-2000
Tollfree24 Hour Addiction Help Line 1 877-332-2322, Toll Free: 24 Hour Mental Health Help Line 1 877-303-2642
Fax403 740-8880</t>
  </si>
  <si>
    <t>Consort Hospital and Care Centre
Coronation Hospital and Care Centre
Drayton Valley Community Health Centre
Drumheller Health Centre
Hanna Provincial Building
Innisfail Health Centre
Lacombe Mental Health Centre
Olds Provincial Building (South)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</si>
  <si>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Kitscoty High School
Address5110 51 Avenue Kitscoty, AlbertaT0B 2P0
Telephone780-846-2121</t>
  </si>
  <si>
    <t>Clandonald School
J.R. Robson High School
Kitscoty Elementary School
Mannville School
School of Hope
St. Jerome's School
Vermilion Elementary School
Vermilion Outreach School</t>
  </si>
  <si>
    <t>Kitscoty High School</t>
  </si>
  <si>
    <t>Service Providers May Includedoctors, occupational therapists, pharmacists, psychiatric aides, psychiatrists, psychologists, recreation therapists, registered nurses (RNs), social workers, therapy assistants
Referral NeededA referral from a doctor or community mental health therapist is needed. Doctors and therapists can call to ask for a referral form.
Service This is an eight week program that accepts both inpatient transfers and community referrals.
Wait TimesWaiting time varies.
Service LanguagesInterpreter/Translation services</t>
  </si>
  <si>
    <t>Centennial Centre for Mental Health and Brain Injury
AddressBox 1000 46  Street SPonoka, AlbertaT4J 1R8
Telephone403-783-7600
Fax403-783-7808
AccessibilityMain entrance</t>
  </si>
  <si>
    <t>/affiliations
Kentwood (Community Housing)</t>
  </si>
  <si>
    <t xml:space="preserve">This service provides Psychosocial Rehabilitation to individuals living with a stabilized mental illness.The focus of the program is to teach functional and coping skills to empower people to live as independently as possible. There are several units in this centre:
Marion Unit
This program assists individuals living with mental illness by supporting them to live as fully and independently as possible, by working with the client and family to achieve their recovery goals.
programming is primarily group based however clients are supported on an individual basis as well
services are individualized towards the clients identified goals (ie: independent living skills, emotional regulation / coping, physical health) and focus on enhancing their capacity to independently find solutions in goal attainment
vocational and educational support and services are provided
strong emphasis is placed on enhancing the clients connection to community supports
Cascade Unit
Offers inpatient services and 24 / 7 care for people who have mental health concerns and other health issues and require long-term rehabilitation.
offers a safe and secure environment where people can learn skills and improve their quality of life so they can move toward other care options
encourages people to be as independent as possible but may require supervision or assistance with their activities of daily living
Malmo Unit
Offers services and 24 / 7 care for people who have mental health concerns and other health issues and require long-term rehabilitation.
supports clients to learn skills (e.g., leisure, employment, relaxation, meal preparation) and improve their quality of life so they can move toward other care options
encourages people to be as independent as possible but may require supervision or assistance with their activities of daily living
</t>
  </si>
  <si>
    <t>Bow Island Health Centre
Address938 Centre Street Bow Island, AlbertaT0K 0G0
Telephone403-545-6911</t>
  </si>
  <si>
    <t>Days of the Week
Monday8:00 am - 4:15 pm
Tuesday8:00 am - 4:15 pm
Wednesday8:00 am - 4:15 pm
Thursday8:00 am - 4:15 pm
Friday8:00 am - 4:15 pm
Note
Please call during the office hours listed above.</t>
  </si>
  <si>
    <t>Brooks Health Centre
Medicine Hat 477 3 Street SE
Oyen Community Health Services</t>
  </si>
  <si>
    <t>Cold Lake 5013 51 Street
Address5013 51 Street Cold Lake, AlbertaT9M 1P3
Telephone780-594-7556
Tollfree 24 hour Help Line 1-866-332-2322
Fax780-594-2144</t>
  </si>
  <si>
    <t>Athabasca Community Health Services
Barrhead Administration Building
Bonnyville Provincial Building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Seton - Jasper Healthcare Centre
Slave Lake 101 3 Street
St. Paul Provincial Building
Whitecourt Provincial Building</t>
  </si>
  <si>
    <t>Churchill Retirement Community 
Address10015 103 Avenue Edmonton, AlbertaT5J 0H1
Telephone780-496-1300 (Community Care Access)</t>
  </si>
  <si>
    <t>Balwin Villa
CapitalCare McConnell Place North
CapitalCare McConnell Place West
Chartwell Aspen House
Chartwell Griesbach
Chartwell Heritage Valley
Chateau Vitaline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</si>
  <si>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 xml:space="preserve">Churchill Retirement Community </t>
  </si>
  <si>
    <t>Stettler 4837 50 Main Street
Address4837 50 Main Street Stettler, AlbertaT0C 2L0</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</si>
  <si>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and Area - Information / Registration / Appointments
Sunridge Professional Building 
Transition Place
Wetaskiwin 5010 50 Avenue
Wetaskiwin Provincial Building
YW Sheriff King Home</t>
  </si>
  <si>
    <t>Stettler 4837 50 Main Street</t>
  </si>
  <si>
    <t>Sundre Community Health Centre
Address212 6 Avenue NESundre, AlbertaT0M 1X0
Telephone403-638-4063</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</si>
  <si>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</si>
  <si>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Sundre Community Health Centre</t>
  </si>
  <si>
    <t>High Prairie Health Complex
Address5101 38 Street High Prairie, AlbertaT0G 1E0
Telephone780-523-6458
Fax780-523-6450</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</si>
  <si>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</si>
  <si>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Alberta Hospital Edmonton
Address17480  Fort Road Edmonton, AlbertaT5J 2J7
Telephone780-342-5420
Getting ThereParking and public transportation</t>
  </si>
  <si>
    <t>Consort Community Health Centre
Address5410 52 Avenue Consort, AlbertaT0C 1B0
Telephone403-577-3770</t>
  </si>
  <si>
    <t>Bashaw Community Health Centre
Bentley Care Centre
Breton Health Centre
Camrose Home Care 
Castor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</si>
  <si>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Regional Resource Centre - Medicine Hat Regional Hospital
Address631 Prospect Drive SWMedicine Hat, AlbertaT1A 4C2
Telephone403-502-8648 (ext 1265)
Getting TherePublic transportation available</t>
  </si>
  <si>
    <t>Centre of Hope
Edmonton 108 Street Building 
Fort McMurray Queen Street Building 
Grande Prairie Aberdeen Centre
Lethbridge Provincial Building
Peace River Community Mental Health Services
Red Deer 49 Street Community Health Centre - Addiction and Mental Health Services
St. Therese - St. Paul Healthcare Centre</t>
  </si>
  <si>
    <t>Service Providers May Includeoccupational therapists (OTs), recreational therapists
Service LanguagesInterpreter/Translation services</t>
  </si>
  <si>
    <t>University of Alberta Hospital
Address8440 112 Street NWEdmonton, AlbertaT6G 2B7
Telephone780-407-6501
EmailJane.Nakonechny@ahs.ca
Getting ThereParking and Public transportation available
Parking map</t>
  </si>
  <si>
    <t xml:space="preserve">This program provides occupational therapy, recreation therapy, therapeutic groups and activities.Provides group and individualized rehabilitation programming to assist clients to develop the skills they need to be successful in goals of independent community living, meaningful occupation, and participate in satisfying social and leisure pursuits.
</t>
  </si>
  <si>
    <t>Sheldon M. Chumir Health Centre
Address1213 4 Street SWCalgary, AlbertaT2R 0X7
Telephone403-955-6500, 403-955-3368 (HIV PrEP only appointments)
Fax403-955-6501
Getting ThereParking available
Parking map</t>
  </si>
  <si>
    <t>Days of the Week
Monday1:00 pm - 5:15 pm
Tuesday1:00 pm - 5:15 pm
Wednesday1:00 pm - 5:15 pm
Thursday1:00 pm - 5:15 pm
Friday12:00 pm - 3:30 pm
Saturday12:00 pm - 3:30 pm
Note
Clinic is closed on Statutory holidays, and Saturdays on long weekends.</t>
  </si>
  <si>
    <t>East Calgary Health Centre
Okotoks Health and Wellness Centre
South Calgary Health Centre
Sunridge Professional Building</t>
  </si>
  <si>
    <t>Bonnie Doon Public Health Centre
Address8314 88 Avenue NWEdmonton, AlbertaT6C 1L1
Telephone780-342-1520
Getting TherePublic transportation available</t>
  </si>
  <si>
    <t>Beaumont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WestView Health Centre - Stony Plain
Westmount Shopping Centre</t>
  </si>
  <si>
    <t>Bonnie Doon Public Health Centre</t>
  </si>
  <si>
    <t>Lacombe Mental Health Centre
Address5033 52 Street Lacombe, AlbertaT4L 2A6
Telephone(403) 782-3413</t>
  </si>
  <si>
    <t>Consort Hospital and Care Centre
Coronation Hospital and Care Centre
Drayton Valley Community Health Centre
Drumheller Health Centre
Hanna Provincial Building
Innisfail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Vegreville Provincial Building 
Wainwright 905A 3 Avenue
Wetaskiwin Provincial Building</t>
  </si>
  <si>
    <t>Lifestyle Options Terra Losa
Address17203 99 Avenue Edmonton, AlbertaT5T 6S5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</si>
  <si>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Whitemud
Our Parents' Home
Riverbend Retirement Residence
Rutherford Heights Retirement Residence
Saint Thomas Health Centre
Shepherd's Care Greenfield
Shepherd's Care Kensington
Shepherd's Care Vanguard 
St. Albert Retirement Residence
Summerwood Village Retirement Residence
Villa Marguerite
Wedman Village Homes
West Country Hearth</t>
  </si>
  <si>
    <t>Lifestyle Options Terra Losa</t>
  </si>
  <si>
    <t>St. Therese - St. Paul Healthcare Centre
Address4713 48  Avenue St. Paul, AlbertaT0A 3A3
Telephone780-645-6346 
Fax780-645-6249</t>
  </si>
  <si>
    <t>Cold Lake Healthcare Centre
Grande Prairie Aberdeen Centre
Peace River Community Mental Health Services</t>
  </si>
  <si>
    <t>Service Providers May Includeaddiction counsellors, family counsellors
Wait TimesVaries
Service LanguagesInterpreter/Translation services</t>
  </si>
  <si>
    <t xml:space="preserve">Non-residential, day treatment programs for people who have substance use or gambling problems.Provides counselling programs for people with substance use or gambling problems.
Topics and programs may include:
group counselling
recovery management
education
</t>
  </si>
  <si>
    <t>St. Joseph's Auxiliary Hospital
Address10707 29 Avenue Edmonton, AlbertaT6J 6W1
Telephone780-430-9110
AccessibilityEntrance</t>
  </si>
  <si>
    <t>Days of the Week
Monday8:00 am - 5:00 pm
Tuesday8:00 am - 5:00 pm
Wednesday8:00 am - 5:00 pm
Thursday8:00 am - 5:00 pm
Friday8:00 am - 5:00 pm
Note
Services available 24 hours a day upon request.</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</si>
  <si>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Stollery Children's Hospital
Sturgeon Community Hospital
University of Alberta Hospital
WestView Health Centre - Stony Plain
Youville Home</t>
  </si>
  <si>
    <t>St. Joseph's Auxiliary Hospital</t>
  </si>
  <si>
    <t>AgeCare Walden Heights
Address250 Walden Drive SECalgary, AlbertaT2X 0V1
Telephone403-943-1920 (Home Care Assessment)</t>
  </si>
  <si>
    <t>AgeCare Seton
AgeCare SkyPointe
Agecare Sagewood
Aspen Ridge Lodge
Bethany Didsbury
Eau Claire Retirement Residence
Evanston Grand Village
Holy Cross Manor
Millrise Place
Monterey Place
Prince of Peace Manor
Providence Care Centre
Rotary Flames House
Sage Hill Retirement Residence
Scenic Acres Retirement Residence
Silver Willow Lodge
St. Marguerite Manor
Strafford Foundation Tudor Manor
Sunrise Village High River
Swan Evergreen Village
Wentworth Manor / The Residence and The Court
Whitehorn Village Retirement Community
Wing Kei Greenview</t>
  </si>
  <si>
    <t>AgeCare Walden Heights</t>
  </si>
  <si>
    <t>Sylvan Lake Community Health Centre
Address4602 49 Avenue Sylvan Lake, AlbertaT4S 1M7
Telephone403 887-6777
Tollfree24 Hour Mental Health Help Line 1 877-303-2642, 24 Hour Addiction Help Line 1 877-332-2322
Fax403 887-6721</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</si>
  <si>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Three Hills Provincial Building
Vegreville Provincial Building 
Wainwright 905A 3 Avenue
Wetaskiwin Provincial Building</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</si>
  <si>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Therese - St. Paul Healthcare Centre
Swan Hills Healthcare Centre
Valleyview Community Health Services
Westlock Provincial Building
Whitecourt Community Health Services</t>
  </si>
  <si>
    <t>Athabasca Community Health Services
Address3401 48 Avenue Athabasca, AlbertaT9S 1M7
Telephone780-675-5404
Tollfree1-877-303-2642 (24 hr Help Line) 
Fax780-675-3111
Getting ThereSouth of Highway 55</t>
  </si>
  <si>
    <t>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</si>
  <si>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Elk Point Healthcare Centre
Address5310 50 Avenue Elk Point, AlbertaT0A 1A0
Telephone780-724-2867
Fax780-724-3532</t>
  </si>
  <si>
    <t>Athabasca Community Health Services
Barrhead Community Health Services
Beaverlodge Community Health Services
Bonnyville Healthcare Centre 
Boyle Healthcare Centre
Cold Lake Community Health Services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</si>
  <si>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 xml:space="preserve">A continuous intensive care unit offering longer term recovery oriented treatment to individuals, who have had lengthy periods of hospitalization and benefit from support in various areas of their daily life.Services are focused on supporting the developing internal resilience and coping skills to assist with their transition to a home in the community.
</t>
  </si>
  <si>
    <t>Service Providers May Includehealth care aides, licensed practical nurses (LPNs), occupational therapists (OTs), physical therapists (PTs), registered nurses(RNs), social workers
EligibilityAnyone living in Alberta with a valid provincial health care card (or registration in progress) can receive Home Care services as long as their health care needs can be safely met in the home. Consistent access criteria have been developed provincially for Supportive Living and Long Term Care and serve as general guidelines. Each client will be individually assessed.
Service Healthcare providers should consult the Alberta Referral Directory for service referral information.
Anyone can make a referral to Continuing Care provided the client is in agreement.
Wait TimesAn estimated wait time will be provided at the time of appointment booking.
FeesThere are no fees for Professional or Personal Care Services in Home Care. Accommodation Rates are standardized in Supportive Living and Long Term Care Centres that are funded by Alberta Health Services. 
Service LanguagesInterpreter/Translation services</t>
  </si>
  <si>
    <t>Calgary Zone - Information / Registration / Appointments
Telephone403-943-1920 (General enquiries)
Tollfree1-888-943-1920 (General enquiries)
Fax403-943-1602
Getting ThereMap does not signify location of any organization or service.</t>
  </si>
  <si>
    <t>Days of the Week
Monday8:00 am - 6:00 pm
Tuesday8:00 am - 6:00 pm
Wednesday8:00 am - 6:00 pm
Thursday8:00 am - 6:00 pm
Friday8:00 am - 6:00 pm
Saturday8:00 am - 4:15 pm
Sunday8:00 am - 4:15 pm
Note
Open on statutory holidays from 8:00 AM to 4:15 PM</t>
  </si>
  <si>
    <t xml:space="preserve">Central Intake for referral to Calgary Zone Home Care, Supportive Living, and Long Term Care.This service provides a single point for service access and delivery approach that provides Albertans with reasonable, timely and appropriate access to publicly-funded continuing care health services. It is based on availability and determination of unmet need.
</t>
  </si>
  <si>
    <t>Grande Prairie Nordic Court 
Address10014 99 Street Grande Prairie, AlbertaT8V 3N4
Telephone780-538-5162 
Tollfree1-877-303-2642 (24 Hour Help Line)
Fax780-538-6279</t>
  </si>
  <si>
    <t>Days of the Week
Monday8:00 am - 4:30 pm
Tuesday8:00 am - 4:30 pm
Wednesday8:00 am - 4:30 pm
Thursday8:00 am - 4:30 pm
Friday8:00 am - 4:30 pm
Note
Closed on Statutory Holidays.
Services are provided for children and youth under 18.</t>
  </si>
  <si>
    <t>Athabasca Community Health Services
Barrhead Healthcare Centre
Beaverlodge Community Health Services
Bonnyville New Park Place
Cold Lake Healthcare Centre
Edson Healthcare Centre
Fairview Health Complex
Fort Vermilion Community Health Centre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</si>
  <si>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Hinton Continuing Care Centre
Address1290 Switzer Drive Hinton, AlbertaT7V 1V2
Telephone780-865-5926
Fax780-865-4098</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</si>
  <si>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</si>
  <si>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La Crete Community Health Centre
Address10601 100 Avenue La Crete, AlbertaT0H 2H0
Telephone780-928-2410
Tollfree1-877-823-6433
Fax1-877-853-5380</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</si>
  <si>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</si>
  <si>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Associates Counselling Services Office
Address239 12B Street NLethbridge, AlbertaT1H 2K8
Telephone403-381-6000
Fax403-381-0229
Emailliz@associatescounselling.ca
Websitehttp://associatescounselling.ca</t>
  </si>
  <si>
    <t>Days of the Week
Monday8:00 am - 9:00 pm
Tuesday8:00 am - 9:00 pm
Wednesday8:00 am - 5:30 pm
Thursday8:00 am - 5:30 pm
Friday8:00 am - 5:30 pm</t>
  </si>
  <si>
    <t>Airdrie 125 Main Street NW
Airdrie 209 Centre Avenue West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</si>
  <si>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Associates Counselling Services Office</t>
  </si>
  <si>
    <t>Coronation Hospital and Care Centre
Address5000 Municipal Road Coronation, AlbertaT0C 1C0
Telephone403 743-2000
Tollfree24 Hour Mental Health Help Line 1 877-303-2642, 24 Hour Addiction Help Line 1 877-332-2322
Fax403 740-8880</t>
  </si>
  <si>
    <t>Camrose Addiction and Mental Health Clinic
Consort Community Health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Red Deer 49 Street Community Health Centre - Addiction and Mental Health Services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</si>
  <si>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Sunridge Professional Building 
Address2675 36 Street NECalgary, AlbertaT1Y 6H6</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</si>
  <si>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Transition Place
Wetaskiwin 5010 50 Avenue
Wetaskiwin Provincial Building
YW Sheriff King Home</t>
  </si>
  <si>
    <t>Tom Baker Cancer Centre
Address1331 29 Street NWCalgary, AlbertaT2N 4N2
Telephone403-355-3207
Fax403-355-3206
Getting ThereParking available
Parking map</t>
  </si>
  <si>
    <t>Cross Cancer Institute
Westmount Shopping Centre</t>
  </si>
  <si>
    <t>Centre Hope Building 
Devon General Hospital
Fort Saskatchewan Community Hospital
Gibbons Health Unit
Good Samaritan Pembina Village
Morinville Provincial Building
Redwater Health Centre 
St. Albert Provincial Building
Stan Woloshyn Building
Strathcona Community Hospital
Thorsby Public Health Centre
WestView Health Centre - Stony Plain</t>
  </si>
  <si>
    <t>Beaverlodge Community Health Services
Address412 10A Street Beaverlodge, AlbertaT0H 0C0
Telephone780-538-5160 Addiction and Mental Health Grande Prairie
Fax780-538-6279  Addiction and Mental Health Grande Prairie</t>
  </si>
  <si>
    <t>Athabasca Community Health Services
Barrhead Healthcare Centre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</si>
  <si>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</si>
  <si>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Extendicare Mayerthorpe
Address4706 54 Street Mayerthorpe, AlbertaT0E 1N0
Telephone780-786-2211
Fax780-786-4710</t>
  </si>
  <si>
    <t>Alpine Summit Seniors Lodge
Athabasca Healthcare Centre
Bonnyville Healthcare Centre 
Cold Lake Healthcare Centre
Dr. W. R. KEIR - Barrhead Continuing Care Centre
Edson Healthcare Centre
Elk Point Healthcare Centre
Extendicare Athabasca
Extendicare Bonnyville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</si>
  <si>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Extendicare Mayerthorpe</t>
  </si>
  <si>
    <t>Whitecourt Community Health Services
Address4707 50 Avenue Whitecourt, AlbertaT7S 1P1
Telephone780-706-3281
Tollfree310-0000 780-706-3281, 1-877-303-2642 (24 hr Help Line)
Fax780-706-7154</t>
  </si>
  <si>
    <t>Days of the Week
Monday8:00 am - 4:30 pm
Tuesday8:00 am - 4:30 pm
Wednesday8:00 am - 4:30 pm
Thursday8:00 am - 4:30 pm
Friday8:00 am - 4:30 pm
Note
ClosedÂ Monday to Friday12:00 PM to 1:00 PM,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</si>
  <si>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t>
  </si>
  <si>
    <t>Pine Plaza Building
Address702 Pine Plaza  NWGrande Cache, AlbertaT0E 0Y0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</si>
  <si>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</si>
  <si>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Athabasca Community Health Services
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Westlock Provincial Building
Whitecourt Community Health Services</t>
  </si>
  <si>
    <t>Edmonton 108 Street Building 
Address9942 108 Street NWEdmonton, AlbertaT5K 2J5
Telephone780-342-7620
Getting ThereOn major bus route Metered parking or Impark lot across the street on corner</t>
  </si>
  <si>
    <t>Bissell Centre East
Boyle Street Community Services</t>
  </si>
  <si>
    <t>Eldorado Elementary School
Address4762 50 Street Drayton Valley, AlbertaT7A 1P1
Telephone780-542-5544
Fax780-542-1560
Websitehttp://www.iamempoweredconference.ca/, http://www.aimforsuccess.ca/</t>
  </si>
  <si>
    <t>Aurora Elementary School
Drayton Christian School
Drayton Valley Community Outreach School
Frank Maddock High School
H W Pickup Junior High School
Wild Rose School Division</t>
  </si>
  <si>
    <t>Eldorado Elementary School</t>
  </si>
  <si>
    <t>Grande Prairie Nordic Court 
High Prairie Health Complex
Northern Lights Regional Health Centre
Northwest Health Centre 
Peace River Mental Health Clinic
Pine Plaza Building
St. Therese - St. Paul Healthcare Centre</t>
  </si>
  <si>
    <t>Northwest Health Centre 
Address11202 100 Avenue High Level, AlbertaT0H 1Z0
Telephone780-841-3229
Tollfree1-877-303-2642 (24 hr Help Line)
Fax780-926-7378</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</si>
  <si>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</si>
  <si>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Service Providers May Includefamily counsellors, speech-language pathologists (SLPs)
EligibilityEarly Childhood Mental Health
Referred by a physician, agency, or other professional
Newborn to kindergarten entry
Identified mental health concern in caregiver and/or child
Caregiver voluntarily consents to participate in service
No presenting factors which would impede engagement in service (e.g. homelessness, active substance abuse, active family violence, etc.)
Perinatal Mental Health
24 weeks gestation to 9 months post-partum
Client voluntarily consents to participate in service
No presenting factors which would impede engagement in service (e.g. homelessness, active substance abuse, active family violence, etc.)
No active psychosis or bipolar disorder
Service Healthcare providers should consult the Alberta Referral Directory for service referral information.
Referals may be provided by day care/pre-school providers.
Wait TimesAn estimated wait time will be provided at the time of appointment booking.
Service LanguagesInterpreter/Translation services</t>
  </si>
  <si>
    <t>East Calgary Health Centre
Address4715 8 Avenue SECalgary, AlbertaT2A 3N4
Telephone403-955-1161
Fax403-955-1013
Getting TherePublic transportation available</t>
  </si>
  <si>
    <t xml:space="preserve">Provides therapeutic services to children aged 1 to 5 and their families as well as prenatal and postpartum parents experiencing depression and anxiety.Provides spectrum of clinical services to support parent-child relationships. Service include;
Collaborative Mental Health Care  Provides screening and consultation to professionals who provide services to infants and children 0-5 yrs. The consultation may be limited to a session between the CMHC consultant and the service provider, but it most often involves a joint session with the service provider and the child and parents. The service doesnâ€™t provide direct therapy or case management.
Perinatal Mental Health (24 weeks gestation to 9 months post-partum) Offers short term intensive therapy in the home and at our offices for pre and postpartum anxiety and depression. Topics we may work with include but are not limited to; unhelpful thoughts, intrusive thoughts, social support, self-care, self-compassion, and evolving relationships.
Early Childhood Mental Health (children - birth to kindergarten entry) Provides consultation and therapeutic interventions for infants, young children and their families. We offer consultation on the childâ€™s overall development and relationships, short term intensive therapy in the home, education and group therapy for parents. The purpose of the program is to improve caregiver-child relationships and increase the social/emotional functioning of the individual child.
</t>
  </si>
  <si>
    <t>Service Providers May Includedoctors, occupational therapists (OTs), personal care attendants, psychiatrists, psychologists, recreation therapists/assistants, registered nurses (RNs), social workers
EligibilityAdults over age 18 who:
have complex mental illness issues and disabilities
need targeted mental health services
need more resources, and a lot of support / treatment
need rehabilitation and community treatment and support.
Wait TimesAn estimated wait time will be provided at the time of appointment booking.
Service LanguagesInterpreter/Translation services</t>
  </si>
  <si>
    <t>Claresholm Centre for Mental Health &amp; Addictions 
Address139 43 Avenue WClaresholm, AlbertaT0L 0T0
Telephone403-682-3527 (Admissions Coordinator)
Fax403-625-4318
Emailclaresholmcentre@albertahealthservices.ca
Websitehttp://www.ahs.ca/claresholmcentre
Getting ThereParking available</t>
  </si>
  <si>
    <t xml:space="preserve">This program offers total care and gradual transition to independent living.The program is for those who can take part in their rehabilitation and gradual transition to independent living.
Services may include:
teaching about medicine
job training
group therapy
crisis management
advocating for the client
planning for discharge
transitional housing
ambulatory care
</t>
  </si>
  <si>
    <t>WestView Health Centre - Stony Plain
Address4405 South Park Drive Stony Plain, AlbertaT7Z 2M7
Telephone780-968-3700</t>
  </si>
  <si>
    <t>Beaumont Public Health Centre
Bonnie Doon Public Health Centre
Devon General Hospital
East Edmonton Health Centre
Fort Saskatchewan Community Hospital
Gibbons Health Unit
Leduc Public Health Centre
Mill Woods Public Health Centre
Morinville Provincial Building
Northeast Community Health Centre
Northgate Centre
Rutherford Health Centre
Spruce Grove Health Unit
St. Albert Public Health Centre
Strathcona County Health Centre
Thorsby Public Health Centre
West Jasper Place Public Health Centre
Westmount Shopping Centre</t>
  </si>
  <si>
    <t>Days of the Week
Monday8:15 am - 4:30 pm
Tuesday8:15 am - 4:30 pm
Wednesday8:15 am - 4:30 pm
Thursday8:15 am - 4:30 pm
Friday8:15 am - 4:30 pm
Note
Closed 12:00 PM (noon) to 1:00 PM, and statutory _x000D_
holidays.</t>
  </si>
  <si>
    <t>Athabasca Community Health Services
Barrhead Healthcare Centre
Beaverlodge Community Health Services
Bonnyville New Park Place
Central Peace Health Complex
Cold Lake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</si>
  <si>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St. Paul Provincial Building
Address5025 49 Avenue St. Paul, AlbertaT0A 3A4
Telephone780-645-6346
Tollfree24 Hour Help Line 1-866-332-2322
Fax780-645-6249</t>
  </si>
  <si>
    <t>Days of the Week
Monday8:00 am - 4:30 pm
Tuesday8:00 am - 4:30 pm
Wednesday8:00 am - 4:30 pm
Thursday8:00 am - 4:30 pm
Friday8:00 am - 4:30 pm
Note
Closed for lunch from 12:00 to 12:45Â pm.</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</si>
  <si>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Slave Lake 101 3 Street
Whitecourt Provincial Building</t>
  </si>
  <si>
    <t>High Level Learning Store
Address9805 105 Avenue High Level, AlbertaT0H 1Z0
Telephone780-926-3626
Emaildebbiea@fvsd.ab.ca</t>
  </si>
  <si>
    <t>Florence MacDougall Community School
High Level Public School
Spirit of the North Community School</t>
  </si>
  <si>
    <t>High Level Learning Store</t>
  </si>
  <si>
    <t>Service Providers May Includeregistered nurses (RNs)
EligibilityAdults 65 years of age and older with depression, anxiety and / or cognitive disorders.
Service Healthcare providers should consult the Alberta Referral Directory for service referral information.
Wait TimesAn estimated wait time will be provided at the time of appointment booking.
Service LanguagesInterpreter/Translation services</t>
  </si>
  <si>
    <t xml:space="preserve">The Geriatric Psychiatry Outreach Assessment service offers assessment and treatment for clients 65 years of age and older  with depression, anxiety and cognitive disorders.This outpatient service provides assessment and treatment for clients 65 years of age and older with depression, anxiety and cognitive disorders using a multidisciplinary approach. The service also provides referral to a service or program as necessary.
</t>
  </si>
  <si>
    <t>Medicine Hat Provincial Building
Address346 3 Street SEMedicine Hat, AlbertaT1A 0G7
Telephone403-529-3582
Tollfree1-866-332-2322  (24 Hour Help Line)
Fax403-529-3130
Emailmedicinehat@albertahealthservices.ca</t>
  </si>
  <si>
    <t>Brooks 403  2 Avenue W
Cardston Provincial Building 
Crowsnest Pass Provincial Building
Melcor Centre
Oyen Community Health Services
Taber Health Centre</t>
  </si>
  <si>
    <t>Stone Brook
Address4902 59 Street Grimshaw, AlbertaT0H 1W0
Telephone780-332-4183
Tollfree1-855-371-4122 (Continuing Care Access)
Fax1-855-776-3805 (Continuing Care Access)</t>
  </si>
  <si>
    <t>Bar-V-Nook Manor
Edson Healthcare Centre
Grande Prairie Care Centre
Heimstaed Lodge
Hinton Continuing Care Centre
J. B. Wood Continuing Care Centre
Manoir du Lac 
Points West Living Cold Lake
Points West Living Grande Prairie
Points West Living Lac La Biche
Points West Living Peace River
Points West Living Slave Lake
Wild Rose Assisted Living</t>
  </si>
  <si>
    <t>Stone Brook</t>
  </si>
  <si>
    <t>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Whitecourt Healthcare Centre
William J. Cadzow - Lac La Biche Healthcare Centre</t>
  </si>
  <si>
    <t>Foothills Medical Centre
Address1403 29 Street NWCalgary, AlbertaT2N 2T9
Telephone403-944-8298 Unit 23 for Adolescents 13 to 17 years, 403-944-1282 Unit 26, 403-943-1500 Access Mental Health
Tollfree1-844-943-1500 Access Mental Health
Getting ThereParking available
Parking map</t>
  </si>
  <si>
    <t>High Level Public School
Address9701 105 Avenue High Level, AlbertaT0H 1Z0
Telephone780-926-3706
Fax780-926-2726
Emailalexendram@fvsd.ab.ca</t>
  </si>
  <si>
    <t>Florence MacDougall Community School
High Level Learning Store
Spirit of the North Community School</t>
  </si>
  <si>
    <t>High Level Public School</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</si>
  <si>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Okotoks Health and Wellness Centre
Ranchlands Village Mall
Shaganappi Complex
South Calgary Health Centre
Strathmore Public Health Office
Thornhill Community Health Centre
Village Square Leisure Centre
Vulcan Community Health Centre</t>
  </si>
  <si>
    <t>Vulcan Community Health Centre
Address610 Elizabeth Street SVulcan, AlbertaT0L 2B0
Telephone403-485-3333
Fax403-485-2336</t>
  </si>
  <si>
    <t>Available
24 hour service
Note
The ministers come for Sunday service and are on call for individual needs. Â Please call the hospital switchboard for further information.</t>
  </si>
  <si>
    <t>Alberta Children's Hospital
Canmore General Hospital
Claresholm General Hospital
Foothills Medical Centre
High River General Hospital
Mineral Springs Hospital
Oilfields General Hospital
Peter Lougheed Centre
Rockyview General Hospital
South Health Campus
Tom Baker Cancer Centre</t>
  </si>
  <si>
    <t>High Prairie Health Complex
Address5101 38 Street High Prairie, AlbertaT0G 1E0
Telephone780-342-2383
Fax780-342-3348</t>
  </si>
  <si>
    <t>Athabasca Community Health Services
Barrhead Healthcare Centre
Beaverlodge Community Health Services
Bonnyville New Park Place
Central Peace Health Complex
Cold Lake Healthcare Centre
Edson Healthcare Centre
Fairview Health Complex
Fox Creek Healthcare Centre
George McDougall - Smoky Lake Healthcare Centre
Grande Prairie Nordic Court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</si>
  <si>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Leisure Way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</si>
  <si>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Masterpiece Southland Meadows
Meadow Ridge Seniors Village
Piyami Place
River Ridge Seniors Village
St. Michael's Health Centre
St. Therese Villa
Sunny South Lodge
Sunrise Gardens</t>
  </si>
  <si>
    <t>Leisure Way</t>
  </si>
  <si>
    <t>Whitecourt Healthcare Centre
Address20 Sunset Boulevard Whitecourt, AlbertaT7S 1M8
Telephone780-778-2285
Fax780-778-5161
Getting ThereSouth of Highway 43</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</si>
  <si>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Westlock Healthcare Centre
William J. Cadzow - Lac La Biche Healthcare Centre</t>
  </si>
  <si>
    <t>Didsbury District Health Services
Address1210 20 Avenue Didsbury, AlbertaT0M 0W0
Telephone403-335-7285
Tollfree1-877-652-4700 (Intake Line)
AccessibilityElevator</t>
  </si>
  <si>
    <t>Addiction and Mental Health Clinic - Strathmore
Airdrie Provincial Building
Banff Community Health Centre
Canmore Boardwalk Building
Chestermere Community Health Centre
Claresholm Addiction and Mental Health Clinic
Cochrane Addiction and Mental Health Clinic 
High River Addiction and Mental Health Clinic 
Nanton Community Health Centre
Oilfields General Hospital
Okotoks Mental Health Centre</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</si>
  <si>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Seton - Jasper Healthcare Centre
St. Paul Provincial Building
Whitecourt Provincial Building</t>
  </si>
  <si>
    <t>Hinton Community Health Services
Lac La Biche Provincial Building
Seton - Jasper Healthcare Centre
St. Therese - St. Paul Healthcare Centre
Whitecourt Healthcare Centre</t>
  </si>
  <si>
    <t>Canmore General Hospital
Address1100 Hospital Place Canmore, AlbertaT1W 1N2
Telephone403-678-5536
Fax403-679-7312</t>
  </si>
  <si>
    <t>Available
24 hour service
Note
Available on on-call basis.</t>
  </si>
  <si>
    <t>Alberta Children's Hospital
Claresholm General Hospital
Foothills Medical Centre
High River General Hospital
Mineral Springs Hospital
Oilfields General Hospital
Peter Lougheed Centre
Rockyview General Hospital
South Health Campus
Tom Baker Cancer Centre
Vulcan Community Health Centre</t>
  </si>
  <si>
    <t>Chinook Regional Hospital
Address960 19 Street SLethbridge, AlbertaT1J 1W5
Telephone403-388-6623
Getting ThereParking map</t>
  </si>
  <si>
    <t>Bassano Health Centre
Big Country Hospital
Bow Island Health Centre
Brooks Health Centre
Cardston Health Centre
Coaldale Health Centre
Crowsnest Pass Health Centre
Fort Macleod Health Centre
Medicine Hat Regional Hospital
Melcor Centre
Milk River Health Centre
Pincher Creek Health Centre
Raymond Health Centre
Taber Health Centre</t>
  </si>
  <si>
    <t>Village Square Leisure Centre
Address2623 56  Street NECalgary, AlbertaT1Y 6E7
Telephone403-944-7000
Fax403-285-6304
AccessibilityWheelchair ramp on east side of building.
Accessible parking in east parking lot.
Water wheelchair available.
Ramp access into hot tub.
Accessible fitness equipment.Barrier free washrooms and change rooms.
Visit website for more information on accessibility.</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</si>
  <si>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Vulcan Community Health Centre</t>
  </si>
  <si>
    <t>Village Square Leisure Centre</t>
  </si>
  <si>
    <t>Fairview Health Complex
Address10628 110 Street Fairview, AlbertaT0H 1L0
Telephone780-835-6171</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</si>
  <si>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</si>
  <si>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John J. Bowlen Building
Address620 7  Avenue SWCalgary, AlbertaT2P 0Y8
AccessibilityElevators located at main entry doors. Wheelchair access at doors located on west side of building. Requires staff member to pass through security at that location.</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</si>
  <si>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</si>
  <si>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John J. Bowlen Building</t>
  </si>
  <si>
    <t>Radway Continuing Care Centre 
AddressHwy 28  Range Road 205  Radway, AlbertaT0A 2V0
Telephone780-736-3740
Fax780-736-2353
Getting ThereLocated South off Highway 28 on Range Road 205.</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</si>
  <si>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Redwater Health Centre 
Sacred Heart Community Health Centre
Shepherd's Care Barrhead
Slave Lake Healthcare Centre
Smoky Lake Continuing Care Centre
St. Therese - St. Paul Healthcare Centre
Valleyview Health Centre
Westlock Continuing Care Centre
William J. Cadzow - Lac La Biche Healthcare Centre</t>
  </si>
  <si>
    <t xml:space="preserve">Radway Continuing Care Centre </t>
  </si>
  <si>
    <t>Pine Plaza Building
Address702 Pine Plaza  NWGrande Cache, AlbertaT0E 0Y0
Telephone780-827-4998
Tollfree310-0000 780-827-4998, 1-877-303-2642 (24 hr Help Line)
Fax780-827-7207</t>
  </si>
  <si>
    <t>Days of the Week
Monday8:15 am - 4:30 pm
Tuesday8:15 am - 4:30 pm
Wednesday8:15 am - 4:30 pm
Thursday8:15 am - 4:30 pm
Friday8:15 am - 4:30 pm
Note
Closed 12:00 PM (noon) to 12:45 PM, and statutory holidays.</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</si>
  <si>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Rainbow Lake Community Health Services
Seton - Jasper Healthcare Centre
Slave Lake 101 3 Street
St. Paul Provincial Building
Whitecourt Provincial Building</t>
  </si>
  <si>
    <t>Barrhead Community Health Services
Address6203 49 Street Barrhead, AlbertaT7N 1A1
Telephone780-674-3941
Fax780-674-3408</t>
  </si>
  <si>
    <t>Athabasca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</si>
  <si>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Cold Lake Healthcare Centre
Address314 25 Street Cold Lake, AlbertaT9M 1G6
Telephone780-342-2383
Fax780-342-3348</t>
  </si>
  <si>
    <t>Days of the Week
Monday8:30 am - 4:30 pm
Tuesday8:30 am - 4:30 pm
Wednesday8:30 am - 4:30 pm
Thursday8:30 am - 4:30 pm
Friday8:30 am - 4:30 pm
Note
Closed stat holidays and lunch hours.</t>
  </si>
  <si>
    <t>Athabasca Community Health Services
Barrhead Healthcare Centre
Beaverlodge Community Health Services
Bonnyville New Park Place
Central Peace Health Complex
Edson Healthcare Centre
Fairview Health Complex
Fox Creek Healthcare Centre
George McDougall - Smoky Lake Healthcare Centre
Grande Prairie Nordic Court 
High Prairie Health Complex
Hinton Community Health Services
Lac La Biche Provincial Building
Manning Community Health Centre
Mayerthorpe Healthcare Centre
Northern Lights Regional Health Centre
Northwest Health Centre 
Onoway Mental Health Services
Peace River Community Health Centre
Pine Plaza Building
Sacred Heart Community Health Centre
Seton - Jasper Healthcare Centre
Slave Lake Healthcare Centre
St. Theresa General Hospital 
St. Therese - St. Paul Healthcare Centre
Swan Hills Healthcare Centre
Valleyview Community Health Services
Westlock Community Health Services
Whitecourt Healthcare Centre</t>
  </si>
  <si>
    <t>Service Providers May Includepsychologists, urologists
EligibilityOpen to men and their partners who have received treatment for prostate cancer in the past 5 years (no hormone therapy within the past 6 months).
Service An afternoon workshop through the Prostate Cancer Centre - workshops are offered a few times per year and there is often a waitlist.
Wait TimesThere is often a waitlist.
Service LanguagesInterpreter/Translation services</t>
  </si>
  <si>
    <t>Rockyview General Hospital
Address7007 14 Street SWCalgary, AlbertaT2V 1P9
Telephone403-943-8958 (Registration)
Websitehttps://myhealth.alberta.ca/HealthTopics/cancer-and-sexuality/Pages/male-anatomy-overview.aspx 
Getting ThereParking available
Parking map</t>
  </si>
  <si>
    <t xml:space="preserve">Offers workshops about sex after cancer treatment.Provides information workshops on several topics relating to:
how to understand your sexual values as a couple
how to have satisfying sex after treatment
specific skills and options for maintaining satisfying sexual intimacy
</t>
  </si>
  <si>
    <t>Service Providers May Includebereavement coordinators, mental health therapists, psychologists
EligibilityService targeted to:
Any woman with a mental health issue related to their reproductive health issue
Wait TimesAn estimated wait time will be provided at the time of appointment booking.
Service LanguagesInterpreter/Translation services</t>
  </si>
  <si>
    <t>Lois Hole Hospital for Women
Address10240 Kingsway Avenue Edmonton, AlbertaT5H 3V9
Telephone780-735-6785
Fax780-735-5611
AccessibilityFront entranceElevators and washrooms</t>
  </si>
  <si>
    <t xml:space="preserve">Provides short term (up to 6 sessions) counselling and consultation services to support mental health concerns for women who are going through or have gone through a reproductive issue.Provides consultation for mental health issues.
Counselling and coping strategiesÂ provided for:
anxiety (related to the reproductive event)
depression (related to the reproductive event)
managing stress (related to the reproductive event)
grief and bereavement (loss of a pregnancy)
</t>
  </si>
  <si>
    <t>Vegreville Provincial Building 
Address4809 50 Street Vegreville, AlbertaT9C 1R1
Telephone780-632-6617
Fax 780-632-6618
Emailvegaldrug@digitalweb.net
Getting ThereParking available</t>
  </si>
  <si>
    <t>Days of the Week
Monday8:15 am - 4:30 pm
Tuesday8:15 am - 4:30 pm
Wednesday8:15 am - 4:30 pm
Thursday8:15 am - 4:30 pm
Friday8:15 am - 4:30 pm
Note
Please call to arrange your prevention activity</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</si>
  <si>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Three Hills Provincial Building
Wainwright 905A 3 Avenue
Wetaskiwin Provincial Building</t>
  </si>
  <si>
    <t xml:space="preserve">Vegreville Provincial Building </t>
  </si>
  <si>
    <t>Boyle Street Community Services
Address10116 105 Avenue Edmonton, AlbertaT5H 0K2
Telephone780-424-4106
Fax780-425-2205
Emailinfo@boylestreet.org 
Websitehttp://www.boylestreet.org
AccessibilityMain floor</t>
  </si>
  <si>
    <t>Bissell Centre East
Edmonton 108 Street Building</t>
  </si>
  <si>
    <t>Boyle Street Community Services</t>
  </si>
  <si>
    <t>Service Providers May Includepsychologists
Referral NeededA doctor from the Alberta Children's Hospital must refer.
Wait TimesVariable. Some clinics have waits for the full team service. There are also some psychology waits within services for assessment and treatment.
Service LanguagesFrench, Hindi, Interpreter/Translation services</t>
  </si>
  <si>
    <t>Days of the Week
Monday8:00 am - 4:15 pm
Tuesday8:00 am - 4:15 pm
Wednesday8:00 am - 4:15 pm
Thursday8:00 am - 4:15 pm
Friday8:00 am - 4:15 pm
Note
Flexible hours can be arranged to meet child/parent needs. There are late afternoon groups for children/parents. 
Psychology and social work jointly operate an on-call service after hours and weekends year round.</t>
  </si>
  <si>
    <t xml:space="preserve">Psychological assessment for your child and family.This service provides:
assessment: intellectual / cognitive, interpersonal, emotional, and behavioural functioning of child, parents, and family
consultation: to other service providers within Child Health and to the community
treatment: individual, group, parent, family therapy, behaviour management, play therapy, counselling to help adjust to handicaps and medical conditions
For more information visit our website.
</t>
  </si>
  <si>
    <t>Service Providers May Includedoctors, family counsellors, nurse practitioners (NPs), psychiatrists, psychologists
EligibilityFor adolescents and their parents/guardians between 13 and 21 years withÂ both psychiatric and addictive disorders.
Service Healthcare providers should consult the Alberta Referral Directory for service referral information.
Wait TimesAn estimated wait time will be provided at the time of appointment booking.
Service LanguagesInterpreter/Translation services</t>
  </si>
  <si>
    <t>Foothills Medical Centre
Address1403 29 Street NWCalgary, AlbertaT2N 2T9
Telephone403-944-2025, 403-943-1500 (Access Mental Health)
Fax403-944-2056
Getting ThereParking available
Parking map</t>
  </si>
  <si>
    <t>Days of the Week
Monday8:00 am - 5:00 pm
Tuesday8:00 am - 5:00 pm
Wednesday8:00 am - 5:00 pm
Thursday8:00 am - 5:00 pm
Friday8:00 am - 5:00 pm
Note
Assessments ClinicsÂ held Tuesday morningsÂ or Wednesday afternoons</t>
  </si>
  <si>
    <t>/affiliations
University of Calgary</t>
  </si>
  <si>
    <t xml:space="preserve">Provides assessment and treatment for adolescents and their families with both psychiatric and addictive disorders.Provides assessment and treatment of teens aged 13 to 21 with substance abuse and mental health issues and involves the family or other people important to the adolescent.Services include:
assessment
treatment
referrals
</t>
  </si>
  <si>
    <t>Service Providers May Includedietitians, doctors, occupational therapists (OTs), physiotherapists (PTs), psychiatric aids, psychologists, registered nurses (RNs), social workers, volunteers
EligibilityFor people generally 65 years and older.
Referral NeededA referral from a doctor or psychiatrist is needed. People can also be referred after an assessment by a Seniorâ€™s Outreach Nurse in the Community Mental Health Centre. Referrals need to include a medical work-up, medication list, and copies of mental status or psychiatric assessments.
Wait TimesWait time varies.
Service LanguagesInterpreter/Translation services</t>
  </si>
  <si>
    <t>Centennial Centre for Mental Health and Brain Injury
AddressBox 1000 46  Street SPonoka, AlbertaT4J 1R8
Telephone403-783-7600
AccessibilityMain entrance</t>
  </si>
  <si>
    <t>Days of the Week
Monday8:00 am - 4:30 pm
Tuesday8:00 am - 4:30 pm
Wednesday8:00 am - 4:30 pm
Thursday8:00 am - 4:30 pm
Friday8:00 am - 4:30 pm
Note
Follow signage Handicap Access &amp; Designated Visitor Parking</t>
  </si>
  <si>
    <t xml:space="preserve">Assesses and treats older adults who have mental health concerns.Assesses and treats people who are in the hospital with mental health concerns, including:
mood disorders (depression, bipolar, anxiety)
psychotic disorders (Schizophrenia, delusional disorders)
dementia
</t>
  </si>
  <si>
    <t>Sturgeon Community Hospital
Address201 Boudreau Road St. Albert, AlbertaT8N 6C4
Telephone780-418-8266
Getting ThereAt Intersection of St. Albert Trail and Boudreau Rd.
Parking map</t>
  </si>
  <si>
    <t>Alberta Hospital Edmonton
Cross Cancer Institute
Devon General Hospital
Glenrose Rehabilitation Hospital 
Grey Nuns Community Hospital
Lois Hole Hospital for Women
Mazankowski Alberta Heart Institute
Misericordia Community Hospital 
Redwater Health Centre 
Royal Alexandra Hospital
St. Joseph's Auxiliary Hospital
Stollery Children's Hospital
University of Alberta Hospital
WestView Health Centre - Stony Plain
Youville Home</t>
  </si>
  <si>
    <t>Elk Point Healthcare Centre
Address5310 50 Avenue Elk Point, AlbertaT0A 1A0
Telephone780-724-3532
Fax780-724-2867</t>
  </si>
  <si>
    <t>Athabasca Community Health Services
Barrhead Community Health Services
Bonnyville Community Health Services
Boyle Healthcare Centre
Cold Lake Community Health Services
Edson Healthcare Centre
Elizabeth Settlement Community Hall
Fishing Lake Metis Settlement Community Health Services
George McDougall - Smoky Lake Healthcare Centre
Hinton Community Health Services
Lac La Biche Provincial Building
Mayerthorpe Healthcare Centre
Onoway Community Health Services
Slave Lake Healthcare Centre
St. Paul Community Health Services
Swan Hills Healthcare Centre
Thorhild Community Health Services
Trout / Peerless Lake Health Centre
Wabasca / Desmarais Community Health Services
Westlock Community Health Services
Whitecourt Healthcare Centre</t>
  </si>
  <si>
    <t>Centre Hope Building 
Address4906 49 Avenue Leduc, AlbertaT9E 6W6
Telephone780-986-2660
Fax780-986-9292</t>
  </si>
  <si>
    <t>Beaumont Public Health Centre
Devon General Hospital
Fort Saskatchewan Community Hospital
Gibbons Health Unit
Good Samaritan Pembina Village
Morinville Provincial Building
Redwater Health Centre 
St. Albert Provincial Building
Stan Woloshyn Building
Strathcona Community Hospital
Thorsby Public Health Centre
WestView Health Centre - Stony Plain</t>
  </si>
  <si>
    <t>CapitalCare Norwood
Address10410 111 Avenue Edmonton, AlbertaT5G 3A2
Telephone780-496-1300 (Community Care Access),  780-944-8662 (Facility)
Fax780-944-8677
Emailinfo@capitalcare.net
Websitehttp://www.capitalcare.net/Page159.aspx</t>
  </si>
  <si>
    <t>CapitalCare CHOICE Mental Health
CapitalCare CHOICE Norwood
CapitalCare Dickinsfield
Good Samaritan Dr. Gerald Zetter Care Centre
Good Samaritan Place</t>
  </si>
  <si>
    <t>CapitalCare Norwood</t>
  </si>
  <si>
    <t>Sundre Hospital and Care Centre
Address709 1 Street NESundre, AlbertaT0M 1X0
Telephone403-638-3033</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</si>
  <si>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</si>
  <si>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Athabasca Community Health Services
Address3401 48 Avenue Athabasca, AlbertaT9S 1M7
Telephone780-675-5404
Tollfree780-310-0000 780-675-5404, 1-877-303-2642 (24 hr Help Line)
Fax780-675-3994
Getting ThereSouth of Highway 55</t>
  </si>
  <si>
    <t>Days of the Week
Monday8:00 am - 4:30 pm
Tuesday8:00 am - 4:30 pm
Wednesday8:00 am - 4:30 pm
Thursday8:00 am - 4:30 pm
Friday8:00 am - 4:30 pm
Note
Closed_x000D_
12:00 PM (noon) to 1:00 PM and statutory holidays.</t>
  </si>
  <si>
    <t>Barrhead Healthcare Centre
Beaverlodge Community Health Services
Bonnyville New Park Place
Cold Lake Healthcare Centre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</si>
  <si>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Three Hills Provincial Building
Address128 3 Avenue SEThree Hills, AlbertaT0M 2A0
Telephone403-443-8532
Tollfree24 Hour Addiction Help Line 1 877-332-2322, 24 Hour Mental Health Help Line 1 877-303-2642
Fax403-443-8541</t>
  </si>
  <si>
    <t>Consort Hospital and Care Centre
Coronation Hospital and Care Centre
Drayton Valley Community Health Centre
Drumheller Health Centre
Hanna Provincial Building
Innisfail Health Centre
Lacombe Mental Health Centre
Olds Provincial Building (South)
Our Lady of the Rosary Hospital 
Provost Provincial Building
Red Deer Provincial Building
Rocky Mountain House Health Centre
Stettler Hospital and Care Centre
Sundre Hospital and Care Centre
Sylvan Lake Community Health Centre
Vegreville Provincial Building 
Wainwright 905A 3 Avenue
Wetaskiwin Provincial Building</t>
  </si>
  <si>
    <t>Service Providers May Includefamily counsellors, nurse practitioners, occupational therapists, physicians, psychiatrists, psychologists, registered nurses (RNs), social workers
EligibilityAdults (18 years of age and over) withÂ both psychiatric and addictive disorders.Â 
Service Healthcare providers should consult the Alberta Referral Directory for service referral information.
Wait TimesAn estimated wait time will be provided at the time of appointment booking.
Service LanguagesInterpreter/Translation services</t>
  </si>
  <si>
    <t>Foothills Medical Centre
Address1403 29 Street NWCalgary, AlbertaT2N 2T9
Telephone (403) 943-1500 (Access Mental Health for Referral), 403-944-2025
Fax403-944-2056
Getting ThereParking available
Parking map</t>
  </si>
  <si>
    <t>Days of the Week
Monday8:00 am - 5:00 pm
Tuesday8:00 am - 5:00 pm
Wednesday8:00 am - 5:00 pm
Thursday8:00 am - 5:00 pm
Friday8:00 am - 5:00 pm
Note
The hours listed are general clinic hours.Â  Assessment Clinics held at a variety of times Monday to Friday; Individual and Group Therapy available at various times Monday to Friday.Â  Please call for information.</t>
  </si>
  <si>
    <t xml:space="preserve">Outpatient treatment of adults with both psychiatric and addictive disorders.Services provided include:
assessment, treatment and referrals
care may inlcude individual therapy, group therapy, family therapy, couples therapy
group therapy is a major component of this program
</t>
  </si>
  <si>
    <t>Aurora Elementary School
Address3901 55 Avenue Drayton Valley, AlbertaT7A 1N9
Telephone780-542-9355
Fax780-542-7315
Websitehttp://www.iamempoweredconference.ca/, http://www.aimforsuccess.ca/</t>
  </si>
  <si>
    <t>Drayton Christian School
Drayton Valley Community Outreach School
Eldorado Elementary School
Frank Maddock High School
H W Pickup Junior High School
Wild Rose School Division</t>
  </si>
  <si>
    <t>Aurora Elementary School</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</si>
  <si>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</si>
  <si>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Northgate Centre
Address9499 137 Avenue Edmonton, AlbertaT5E 5R8
Telephone780-342-7754
Emailcara.weir@ahs.ca
Getting ThereParking and Public transportation available</t>
  </si>
  <si>
    <t>Alex Taylor School
Baker Centre, The
Bonnie Doon Shopping Centre
Community Centre
Edmonton 10608 105 Avenue
Edmonton 108 Street Building 
Edmonton 5215 87 Street
Edmonton Mennonite Centre for Newcomers
First Edmonton Place
GB Building
Harcourt House
Ledgeview Business Centre
McDougall House
Our House Addiction Recovery Centre
Royal Alex Place
Transition Place
WSP Place</t>
  </si>
  <si>
    <t>Mannville Care Centre
Address5007 46 Street Mannville, AlbertaT0B 2W0
Telephone780-763-3989
Fax780-763-3678</t>
  </si>
  <si>
    <t>Bashaw Community Health Centre
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</si>
  <si>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Mannville Care Centre</t>
  </si>
  <si>
    <t>Days of the Week
Monday8:00 am - 4:30 pm
Tuesday8:00 am - 4:30 pm
Wednesday8:00 am - 4:30 pm
Thursday8:00 am - 4:30 pm
Friday8:00 am - 4:30 pm
Note
Please call ahead to arrange your prevention and education activity.</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</si>
  <si>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Peace River Provincial Building  
Pine Plaza Building
Rainbow Lake Community Health Services
Seton - Jasper Healthcare Centre
Slave Lake 101 3 Street
St. Paul Provincial Building
Whitecourt Provincial Building</t>
  </si>
  <si>
    <t>Service Providers May Includeaddiction counsellors, social workers, occupational therapists (OTs), teachers
EligibilityYouth grades 7-12 in an educational program who have parent/guardian consent to attend the program.
Referral NeededStudents are referred through their designated school in consultation with the student's parent/guardian.
Service This program is by referral only.
Wait TimesAs this is a specialized service, wait times can vary.</t>
  </si>
  <si>
    <t>Regional Resource Centre - Medicine Hat Regional Hospital
Address631 Prospect Drive SWMedicine Hat, AlbertaT1A 4C2
Telephone403-529-8903
Getting TherePublic transportation available</t>
  </si>
  <si>
    <t>/affiliations
Medicine Hat School Division 76, Prairie Rose School Division 8, Medicine Hat Catholic Board of Education.</t>
  </si>
  <si>
    <t xml:space="preserve">Voluntary day program for youth grades 7-12, experiencing mental health and/or addictions concerns.In the developmental stage of adolescence, there can be many different changes and challenges along with societal pressures and misinformation that can impact a youth's mental health and family system. These challenges can be compounded by addiction and/or mental health issues.
Â 
The PAS program is a voluntary, day program for youth in Grades 7-12 that consists of a six week commitment with a multi-disciplinary team including: education experts to support youth in having a successful school career, as well as health professionals that provide opportunities for individual, family and group treatment. In these six weeks, the youth and their family will have the opportunity to reflect and develop strategies to enhance their strengths and skills to cope with change and stress.
Â 
The PAS program is a Tri-district partnership with Prairie Rose School District, Medicine Hat Catholic School Division, Medicine Hat Public School Division, as well as Alberta Health Services.
Â 
Students are referred through their designated school in consultation with the student's parent/guardian.
</t>
  </si>
  <si>
    <t>Bow Island Health Centre
Address938 Centre Street Bow Island, AlbertaT0K 0G0
Telephone403-501-3204
Fax403-545-3214</t>
  </si>
  <si>
    <t>Bassano Health Centre
Big Country Hospital
Brooks Health Centre
Cardston Health Centre
Chinook Regional Hospital
Coaldale Health Centre
Crowsnest Pass Health Centre
Fort Macleod Health Centre
Medicine Hat Regional Hospital
Melcor Centre
Milk River Health Centre
Pincher Creek Health Centre
Raymond Health Centre
Taber Health Centre</t>
  </si>
  <si>
    <t>Days of the Week
Monday8:00 am - 4:30 pm
Tuesday8:00 am - 4:30 pm
Wednesday8:00 am - 4:30 pm
Thursday8:00 am - 4:30 pm
Friday8:00 am - 4:30 pm
Note
Closed Saturday, Sunday and Statutory holidays.</t>
  </si>
  <si>
    <t>Camrose Addiction and Mental Health Clinic
Consort Community Health Centre
Coronation Hospital and Care Centre
Drayton Valley Community Health Centre
Drumheller Health Centre
Hanna Health Centre
Hardisty Health Centre
Innisfail Health Centre
Killam 4811 49 Avenue
Lacombe Mental Health Centre
Lamont Health Care Centre
Olds Provincial Building (South)
Our Lady of the Rosary Hospital 
Ponoka Provincial Building
Provost Provincial Building
Rimbey Hospital and Care Centre
Rocky Mountain House Health Centre
Stettler Hospital and Care Centre
Sundre Hospital and Care Centre
Sylvan Lake Community Health Centre
Three Hills Provincial Building
Tofield Health Centre
Vegreville Community Health Centre
Vermilion Provincial Building
Wainwright 905A 3 Avenue
Wetaskiwin Provincial Building</t>
  </si>
  <si>
    <t>Service Providers May Includepostpartum coordinators, program facilitators
EligibilityClient must be experiencing postpartum mood disorder.
Service Register on line at www.fsca.caÂ 
FeesPre registration is required to ensure that adequate child care is booked. One time fee $15 per family. Subsidy is available upon request
Service LanguagesInterpreter/Translation services</t>
  </si>
  <si>
    <t>Family Services of Central Alberta
Address5409 50 Avenue Red Deer, AlbertaT4N 4B7
Telephone403-343-6400
Websitehttp://www.fsca.ca
AccessibilityFront door wheelchair accessible with ramp and automatic doors.Â  Accessible washroom facilities and lift.
Getting ThereClose to public transportation.</t>
  </si>
  <si>
    <t>Days of the Week
Monday8:00 am - 4:00 pm
Tuesday8:00 am - 4:00 pm
Wednesday8:00 am - 4:00 pm
Thursday1:15 pm - 2:45 pm
Friday8:00 am - 4:00 pm
Note
This service is not offered during July and August.</t>
  </si>
  <si>
    <t>/affiliations
Family Services of Central Alberta (FSCA)</t>
  </si>
  <si>
    <t>Family Services of Central Alberta</t>
  </si>
  <si>
    <t xml:space="preserve">Mindful connections is a support group for new moms who may need help as they adapt and transition into motherhood.The emotional experience throughout pregnancy and after deliver is different for every woman. Hormones, sleep, nutrition and stress can impact your abiltiy to cope and feel like yourself again. It is normal to feel overwhemed with all the changes, whether you were prepared for them or not. Having support is important for moms, their baby and the rest of the family.Â The sooner you start, the more quickly you will bounce back.For mothers with children 3 weeks to 14 months of age who are struggling with adapting to motherhood during the post partum period. This is an 8 week series of rotating topics and women can join the group at any time.Topics and discussion include:
understanding postpartum mood disorders
self awareness, self care
coping measures and support
Child care is available at no cost.
</t>
  </si>
  <si>
    <t>Service Providers May Includeaddiction counselors, family counselors
EligibilityYouth 12 - 18; parents of youth or other collaterals.
Wait TimesAn estimated wait time will be provided at the time of appointment booking.
Service LanguagesInterpreter/Translation services</t>
  </si>
  <si>
    <t>Edmonton 12325 140 Street
Address12325 140 Street NWEdmonton, AlbertaT5L 2C9
Telephone780-422-7383
Getting ThereParking available</t>
  </si>
  <si>
    <t xml:space="preserve">Provides outpatient services, Day Treatment programs, and Family Counseling for youth experiencing addiction concerns.Includes screening, assesment and treatment for adolescents.
</t>
  </si>
  <si>
    <t>Vermilion Elementary School
Address4837 44 Street Vermilion, AlbertaT9X 1G3
Telephone780-853-5444</t>
  </si>
  <si>
    <t>Clandonald School
J.R. Robson High School
Kitscoty Elementary School
Kitscoty High School
Mannville School
School of Hope
St. Jerome's School
Vermilion Outreach School</t>
  </si>
  <si>
    <t>Vermilion Elementary School</t>
  </si>
  <si>
    <t>Service Providers May Includedietitians, doctors, education consultants, occupational therapists (OTs), personal care attendants, pharmacists, psychiatrists, psychologists, physical therapists (PTs), recreational therapists (RTs), registered nurses (RNs), social workers
EligibilityAdults aged 65 and older with mental health concerns that are stable and responding well to treatment, but who need a little more time before they are discharged. Those who would benefit from an extended period of time to improve function, and integrate back into their communities.
Wait TimesAn estimated wait time will be provided at the time of appointment booking.
Service LanguagesInterpreter/Translation services</t>
  </si>
  <si>
    <t>Carewest Glenmore Park
Address6909 14 Street SWCalgary, AlbertaT2V 1P8
Telephone403-258-7672</t>
  </si>
  <si>
    <t>Carewest Glenmore Park</t>
  </si>
  <si>
    <t xml:space="preserve">Offers inpatient assessment and rehabilitation for people with mental health concerns who do not require acute care services or require longer time to recover before they are discharged.Offers assessment and rehabilitation for people who no longer require inpatient acute care services in the hospital.
Treatment includes managing medications, assesses and treats mental health concerns by a variety of therapies and takes into account each clientâ€™s goals and life situation.
</t>
  </si>
  <si>
    <t>Spirit River Community Health Services
Address5003 45 Avenue Spirit River, AlbertaT0H 3G0
Telephone780-864-4187
Fax780-864-3063</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</si>
  <si>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Fox Creek Healthcare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St. Paul Community Health Services
Swan Hills Healthcare Centre
Thorhild Community Health Services
Valleyview Community Health Services
Wabasca / Desmarais Community Health Services
Westlock Community Health Services
Whitecourt Healthcare Centre</t>
  </si>
  <si>
    <t>Pine Plaza Building
Address702 Pine Plaza  NWGrande Cache, AlbertaT0E 0Y0
Telephone780-827-4998
Fax780-827-7207</t>
  </si>
  <si>
    <t>Fairview Health Complex
Grande Prairie Nordic Court 
High Prairie Health Complex
Northern Lights Regional Health Centre
Northwest Health Centre 
Peace River Mental Health Clinic
St. Therese - St. Paul Healthcare Centre</t>
  </si>
  <si>
    <t>Bashaw Community Health Centre
Address5308 53 Street Bashaw, AlbertaT0B 0H0
Telephone780-372-3731</t>
  </si>
  <si>
    <t>Bentley Care Centre
Breton Health Centre
Camrose Home Care 
Castor Community Health Centre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</si>
  <si>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Bashaw Community Health Centre</t>
  </si>
  <si>
    <t>Lethbridge Provincial Building
Regional Resource Centre - Medicine Hat Regional Hospital</t>
  </si>
  <si>
    <t>Queen Elizabeth II Hospital
Address10409 98 Street Grande Prairie, AlbertaT8V 2E8
Telephone780-538-7250
Fax780-538-7600
Getting ThereParking map</t>
  </si>
  <si>
    <t>Northern Lights Regional Health Centre
St. Therese - St. Paul Healthcare Centre</t>
  </si>
  <si>
    <t>Manoir du Lac 
Address164  3 Avenue NWMcLennan, AlbertaT0H 2L0
Telephone780-786-2211 (Switchboard)
Tollfree1-855-371-4122 (Continuing Care Access)
Fax1-855-776-3805 (Continuing Care Access)</t>
  </si>
  <si>
    <t>Bar-V-Nook Manor
Edson Healthcare Centre
Grande Prairie Care Centre
Heimstaed Lodge
Hinton Continuing Care Centre
J. B. Wood Continuing Care Centre
Points West Living Cold Lake
Points West Living Grande Prairie
Points West Living Lac La Biche
Points West Living Peace River
Points West Living Slave Lake
Stone Brook
Wild Rose Assisted Living</t>
  </si>
  <si>
    <t xml:space="preserve">Manoir du Lac </t>
  </si>
  <si>
    <t>Westlock Healthcare Centre
Address10220 93 Street Westlock, AlbertaT7P 2G4
Telephone780-349-3301</t>
  </si>
  <si>
    <t>Athabasca Healthcare Centre
Barrhead Healthcare Centre
Bonnyville Healthcare Centre 
Central Peace Health Complex
Cold Lake Healthcare Centre
Edson Healthcare Centre
Fairview Health Complex
George McDougall - Smoky Lake Healthcare Centre
Grande Cache Community Health Complex
High Prairie Health Complex
Hinton Healthcare Centre
Hythe Continuing Care Centre
La Crete Community Health Centre
Manning Community Health Centre
Northern Lights Regional Health Centre
Northwest Health Centre 
Queen Elizabeth II Hospital
Slave Lake Healthcare Centre
St. Theresa General Hospital 
St. Therese - St. Paul Healthcare Centre
Whitecourt Healthcare Centre
William J. Cadzow - Lac La Biche Healthcare Centre</t>
  </si>
  <si>
    <t>Westlock Healthcare Centre</t>
  </si>
  <si>
    <t>Fox Creek Healthcare Centre
Address600 3 Street Fox Creek, AlbertaT0H 1P0
Telephone780-622-3474
Fax780-622-3730</t>
  </si>
  <si>
    <t>Athabasca Community Health Services
Barrhead Community Health Services
Beaverlodge Community Health Services
Bonnyville Healthcare Centre 
Boyle Healthcare Centre
Cold Lake Community Health Services
Elk Point Healthcare Centre
Fairview Health Complex
Fort McMurray Community Health Services
Fort Vermilion Community Health Centre
George McDougall - Smoky Lake Healthcare Centre
Grande Cache Provincial Building
Grande Prairie Provincial Building
Grimshaw / Berwyn and District Community Health Centre
High Prairie Health Complex
Hinton Healthcare Centre
La Crete Public Health and Home Care Building
Lac La Biche Provincial Building
Manning Community Health Centre
Mayerthorpe Healthcare Centre
Northwest Health Centre 
Onoway Community Health Services
Peace River Community Health Centre
Sacred Heart Community Health Centre
Seton - Jasper Healthcare Centre
Slave Lake Healthcare Centre
Spirit River Community Health Services
St. Paul Community Health Services
Swan Hills Healthcare Centre
Thorhild Community Health Services
Valleyview Community Health Services
Wabasca / Desmarais Community Health Services
Westlock Community Health Services
Whitecourt Healthcare Centre</t>
  </si>
  <si>
    <t>Foothills Medical Centre
Address1403 29 Street NWCalgary, AlbertaT2N 2T9
Telephone403-955-7700
Getting ThereParking available
Parking map</t>
  </si>
  <si>
    <t>Alberta Children's Hospital
Richmond Road Diagnostic and Treatment Centre</t>
  </si>
  <si>
    <t>Vulcan Community Health Centre
Address610 Elizabeth Street SVulcan, AlbertaT0L 2B0
Telephone403-485-2285
Fax403-485-2336</t>
  </si>
  <si>
    <t>Acadia Community Health Centre
Airdrie Community Health Centre
Banff Community Health Centre
Canmore Provincial Building
Claresholm Community Health Centre
Cochrane Community Health Centre
Cremona Community Health Centre
Didsbury District Health Services
East Calgary Health Centre
High River Public Health Centre
Nanton Community Health Centre
Oilfields General Hospital
Okotoks Health and Wellness Centre
Ranchlands Village Mall
Shaganappi Complex
South Calgary Health Centre
Strathmore Public Health Office
Thornhill Community Health Centre
Village Square Leisure Centre</t>
  </si>
  <si>
    <t>Athabasca Community Health Services
Barrhead Healthcare Centre
Beaverlodge Community Health Services
Bonnyville New Park Place
Central Peace Health Complex
Cold Lake Healthcare Centre
Edson Provincial Building
Fairview Health Complex
Grande Prairie Nordic Court 
High Prairie Health Complex
Hinton Community Health Services
Lac La Biche Provincial Building
Mayerthorpe Healthcare Centre
Northern Lights Regional Health Centre
Onoway Mental Health Services
Peace River Mental Health Clinic
Pine Plaza Building
Seton - Jasper Healthcare Centre
Slave Lake 101 3 Street
St. Theresa General Hospital 
St. Therese - St. Paul Healthcare Centre
Swan Hills Healthcare Centre
Valleyview Community Health Services
Westlock Provincial Building
Whitecourt Healthcare Centre</t>
  </si>
  <si>
    <t>Westmount Shopping Centre
Telephone780-643-4303, 780-643-4304</t>
  </si>
  <si>
    <t>Days of the Week
Monday9:00 am - 4:30 pm
Tuesday9:00 am - 4:30 pm
Wednesday9:00 am - 4:30 pm
Thursday9:00 am - 4:30 pm
Friday9:00 am - 4:30 pm</t>
  </si>
  <si>
    <t>Service Providers May Includechild and family services assessors, doctors, registered nurses (RNs)
EligibilityChildren 17 years and younger from central and northern Alberta. Based on medical and forensic assessments.
Service Healthcare providers should consult the Alberta Referral Directory for service referral information.
Referrals are accepted from Child and Family Services, the police, doctors, and Alberta Health Services.
Wait TimesAn estimated wait time will be provided at the time of appointment booking.
Service LanguagesInterpreter/Translation services</t>
  </si>
  <si>
    <t>Stollery Children's Hospital
Address8440 112 Street Edmonton, AlbertaT6G 2B7
Telephone780-407-1240
Getting ThereParking and Public transportation available</t>
  </si>
  <si>
    <t>/affiliations
Children's Services - Edmonton and area, Edmonton Police Services, Royal Canadian Mounted Police</t>
  </si>
  <si>
    <t xml:space="preserve">A healthcare team that offers care to children who have been or are at risk for physical, sexual, or emotional abuse or neglect.Offers care to children who have been or are at risk for physical, sexual, or emotional abuse or neglect. Services include:
consults
diagnosis and treatments
healthcare team assessment of the child who has been abused and his or her family
medical evaluation, intervention, and collection of forensic evidence (if needed)
phone consults with other healthcare providers (regarding abuse or suspected abuse
referrals to other healthcare providers or agencies (as needed)
education to healthcare providers about child abuse
community child abuse prevention activities (e.g., resource development and distribution)
</t>
  </si>
  <si>
    <t>St. Jerome's School
Address4820 46 Street Vermilion, AlbertaT9X 1G2
Telephone780-853-5251</t>
  </si>
  <si>
    <t>Clandonald School
J.R. Robson High School
Kitscoty Elementary School
Kitscoty High School
Mannville School
School of Hope
Vermilion Elementary School
Vermilion Outreach School</t>
  </si>
  <si>
    <t>St. Jerome's School</t>
  </si>
  <si>
    <t>Claresholm General Hospital
Address221 43 Avenue WClaresholm, AlbertaT0L 0T0
Telephone403-682-3700
Fax403-682-3789</t>
  </si>
  <si>
    <t>Note
Monday-Friday mornings as needed.</t>
  </si>
  <si>
    <t>Alberta Children's Hospital
Canmore General Hospital
Foothills Medical Centre
High River General Hospital
Mineral Springs Hospital
Oilfields General Hospital
Peter Lougheed Centre
Rockyview General Hospital
South Health Campus
Tom Baker Cancer Centre
Vulcan Community Health Centre</t>
  </si>
  <si>
    <t>Claresholm General Hospital</t>
  </si>
  <si>
    <t>Service Providers May Includedietitians, doctors, licensed practical nurses (LPNs), mental health aides, occupational therapists (OTs), psychiatrists, psychologists, recreation therapists, registered nurses (RNs), social workers, therapy assistants
Service Healthcare providers should consult Admissions and Referral information for service referral guidelines and referral forms.
Wait TimesAn estimated wait time will be provided at the time of appointment booking.
Service LanguagesInterpreter/Translation services</t>
  </si>
  <si>
    <t>Claresholm Centre for Mental Health &amp; Addictions 
Address139 43 Avenue WClaresholm, AlbertaT0L 0T0
Telephone403-682-3540
Fax403-625-4318
Emailclaresholmcentre@albertahealthservices.ca
Websitehttp://www.ahs.ca/claresholmcentre
Getting ThereParking available</t>
  </si>
  <si>
    <t xml:space="preserve">Provides treatment and intervention for adults experiencing treatment resistant psychiatric illness.Services include:
group therapy
crisis management
discharge planning
recreation / activity therapy
medication management
symptom management
daily living skills management
</t>
  </si>
  <si>
    <t>Westlock Provincial Building
Address10003 100 Street Westlock, AlbertaT7P 2E8
Telephone780-349-5246 
Tollfree1-877-303-2642 (24 hr Help Line)
Fax780-349-5846</t>
  </si>
  <si>
    <t>Days of the Week
Monday8:00 am - 4:30 pm
Tuesday8:00 am - 4:30 pm
Wednesday8:00 am - 4:30 pm
Thursday8:00 am - 4:30 pm
Friday8:00 am - 4:30 pm
Note
Closed 12:00 PM (noon) to 1:00 PM, and Statutory holidays.</t>
  </si>
  <si>
    <t>Athabasca Community Health Services
Barrhead Healthcare Centre
Beaverlodge Community Health Services
Bonnyville New Park Place
Cold Lake Healthcare Centre
Edson Healthcare Centre
Fairview Health Complex
Fort Vermilion Community Health Centre
Grande Prairie Nordic Court 
High Prairie Health Complex
Hinton Community Health Services
La Crete Community Health Centre
Lac La Biche Provincial Building
Mayerthorpe Healthcare Centre
Northern Lights Regional Health Centre
Northwest Health Centre 
Onoway Mental Health Services
Peace River Community Mental Health Services
Pine Plaza Building
Rainbow Lake Community Health Services
Seton - Jasper Healthcare Centre
Slave Lake Healthcare Centre
Slave Lake Lakeland Centre
Spirit River Community Health Services
St. Theresa General Hospital 
St. Therese - St. Paul Healthcare Centre
Swan Hills Healthcare Centre
Valleyview Community Health Services
Whitecourt Community Health Services</t>
  </si>
  <si>
    <t>Castor Community Health Centre
Address4909 50 Avenue Castor, AlbertaT0C 0X0
Telephone403-882-3404</t>
  </si>
  <si>
    <t>Bashaw Community Health Centre
Bentley Care Centre
Breton Health Centre
Camrose Home Care 
Consort Community Health Centre
Consort Hospital and Care Centre
Coronation Community Health Centre
Coronation Hospital and Care Centre
Drayton Valley Community Health Centre
Drayton Valley Hospital and Care Centre
Drumheller Health Centre
Eckville Community Health Centre
Hanna Health Centre
Innisfail Health Centre
Islay Assisted Living
Lacombe Community Health Centre
Lacombe Hospital and Care Centre
Lamont Health Care Centre
Mannville Care Centre
Olds Hospital and Care Centre
Olds Provincial Building (North)
Our Lady of the Rosary Hospital 
Ponoka Community Health Centre
Ponoka Hospital and Care Centre
Provost Provincial Building
Red Deer Bremner Ave Community Health Centre
Rimbey Community Health Centre
Rimbey Hospital and Care Centre
Rocky Mountain House Health Centre
Sedgewick Community Health Centre
St. Mary's Health Care Centre
Stettler Community Health Centre
Stettler Hospital and Care Centre
Sundre Community Health Centre
Sundre Hospital and Care Centre
Sylvan Lake Community Health Centre
Three Hills Health Centre
Tofield Health Centre
Two Hills Health Centre
Vegreville Community Health Centre
Vermilion Provincial Building
Viking Community Health Centre
Wainwright Health Centre
Wetaskiwin Hospital and Care Centre
Winfield Community Health Centre</t>
  </si>
  <si>
    <t>Castor Community Health Centre</t>
  </si>
  <si>
    <t>Grande Prairie and Area - Information / Registration / Appointments
Telephone780-539-6680 (Coordinator)
Websitehttp://www.sp-rc.ca/</t>
  </si>
  <si>
    <t>Banff and Area - Information / Registration / Appointments
Calgary 1406 Centre Street NE
Calgary Zone - Information / Registration / Appointments
Cochrane - Information / Registration / Appointments
Cold Lake and Area - Information / Registration / Appointments
Edmonton Zone - Information / Registration / Appointments
Fort McMurray and Area - Information / Registration / Appointments
Gateway Centre
High Level and Area - Information / Registration / Appointments
Jasper - Information / Registration / Appointments
Lac La Biche and Area - Information / Registration / Appointments
Lethbridge and Area - Information / Registration / Appointments
Medicine Hat and Area - Information / Registration / Appointments
Red Deer College
Red Deer and Area - Information / Registration / Appointments
Slave Lake - Information / Registration / Appointments
Southland Park III - Southport Atrium
University of Alberta - Administration Building</t>
  </si>
  <si>
    <t>Grande Prairie and Area - Information / Registration / Appointments</t>
  </si>
  <si>
    <t>Wetaskiwin Provincial Building
Address5201 50 Avenue Wetaskiwin, AlbertaT9A 0S7</t>
  </si>
  <si>
    <t>Airdrie 125 Main Street NW
Airdrie 209 Centre Avenue West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YW Sheriff King Home</t>
  </si>
  <si>
    <t>Athabasca Community Health Services
Barrhead Healthcare Centre
Beaverlodge Community Health Services
Bonnyville New Park Place
Edson Healthcare Centre
Fairview Health Complex
Grande Prairie Nordic Court 
High Prairie Health Complex
Lac La Biche Provincial Building
Mayerthorpe Healthcare Centre
Northern Lights Regional Health Centre
Northwest Health Centre 
Onoway Mental Health Services
Peace River Community Mental Health Services
Pine Plaza Building
Seton - Jasper Healthcare Centre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</si>
  <si>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River Ridge Seniors Village
Address4 River Ridge Drive NWMedicine Hat, AlbertaT1A 8V1
Tollfree1-866-388-6380 (Home Care Assessment)</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</si>
  <si>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Masterpiece Southland Meadows
Meadow Ridge Seniors Village
Piyami Place
St. Michael's Health Centre
St. Therese Villa
Sunny South Lodge
Sunrise Gardens</t>
  </si>
  <si>
    <t>River Ridge Seniors Village</t>
  </si>
  <si>
    <t>Alpine Summit Seniors Lodge
Athabasca Healthcare Centre
Bonnyville Healthcare Centre 
Cold Lake Healthcare Centre
Dr. W. R. KEIR - Barrhead Continuing Care Centre
Edson Healthcare Centre
Elk Point Healthcare Centre
Extendicare Athabasca
Extendicare Bonnyville
Extendicare Mayerthorpe
Extendicare St. Paul
Fairview Health Complex
George McDougall - Smoky Lake Healthcare Centre
High Prairie Health Complex
Hinton Community Health Services
Hinton Continuing Care Centre
Hythe Continuing Care Centre
Manning Community Health Centre
Mayerthorpe Healthcare Centre
Northwest Health Centre 
Peace River Community Health Centre
Queen Elizabeth II Hospital
Radway Continuing Care Centre 
Redwater Health Centre 
Sacred Heart Community Health Centre
Shepherd's Care Barrhead
Slave Lake Healthcare Centre
Smoky Lake Continuing Care Centre
St. Therese - St. Paul Healthcare Centre
Valleyview Health Centre
Westlock Continuing Care Centre</t>
  </si>
  <si>
    <t>Pine Plaza Building
Address702 Pine Plaza  NWGrande Cache, AlbertaT0E 0Y0
Telephone780-827-4998 
Tollfree301-0000 780-827-4998  , 1-877-303-2642 (24 hr Help Line)
Fax780-827-7207</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</si>
  <si>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</si>
  <si>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Athabasca Community Health Services
Barrhead Healthcare Centre
Beaverlodge Community Health Services
Bonnyville New Park Place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Swan Hills Healthcare Centre
Valleyview Community Health Services
Westlock Provincial Building
Whitecourt Community Health Services</t>
  </si>
  <si>
    <t>Rockyview General Hospital
Address7007 14 Street SWCalgary, AlbertaT2V 1P9
Telephone403-943-3548   Unit 48, 403-943-3849   Unit 49
Websitehttp://www.albertahealthservices.ca
Getting ThereParking available
Parking map</t>
  </si>
  <si>
    <t>St. Albert Provincial Building
Address30 Sir Winston Churchill Avenue St. Albert, AlbertaT8N 3A3
Telephone780-342-1410
Tollfree1-866-332-2322 (24 hr Help Line)
Fax780-460-7152
Getting ThereParking available</t>
  </si>
  <si>
    <t>Days of the Week
Monday8:15 am - 4:30 pm
Tuesday8:15 am - 4:30 pm
Wednesday8:15 am - 4:30 pm
Thursday8:15 am - 4:30 pm
Friday8:15 am - 4:30 pm
Note
Closed 12:00 PM to 1:00 PM, and statutory holidays.
Does NOT accept walk-in clients. Call to book an appointment.</t>
  </si>
  <si>
    <t>Addiction Services Edmonton
Centre Hope Building 
Strathcona Community Hospital
WestView Health Centre - Stony Plain</t>
  </si>
  <si>
    <t>Royal Alexandra Hospital
Address10240 Kingsway  Avenue NWEdmonton, AlbertaT5H 3V9
Telephone780-735-4562
AccessibilityEntrance.Elevators
Getting ThereParking and Public transportation available</t>
  </si>
  <si>
    <t>Alberta Hospital Edmonton
Grey Nuns Community Hospital
Misericordia Community Hospital 
University of Alberta Hospital</t>
  </si>
  <si>
    <t>Days of the Week
Thursday8:15 am - 4:30 pm
Friday8:15 am - 4:30 pm
Note
Open some Wednesdays.</t>
  </si>
  <si>
    <t>Athabasca Community Health Services
Barrhead Administration Building
Bonnyville Provincial Building
Cold Lake 5013 51 Street
Edson Healthcare Centre
Fort McMurray Queen Street Building 
Grande Prairie Aberdeen Centre
High Prairie Health Complex
Hinton Civic Centre Building
Lac La Biche Provincial Building
Northern Addictions Centre
Northwest Health Centre 
Peace River Provincial Building  
Pine Plaza Building
Rainbow Lake Community Health Services
Slave Lake 101 3 Street
St. Paul Provincial Building
Whitecourt Provincial Building</t>
  </si>
  <si>
    <t>Shepherd's Care Greenfield
Address3820 114 Street Edmonton, AlbertaT6J 1M5
Telephone780-496-1300 (Community Care Access)</t>
  </si>
  <si>
    <t>Balwin Villa
CapitalCare McConnell Place North
CapitalCare McConnell Place West
Chartwell Aspen House
Chartwell Griesbach
Chartwell Heritage Valley
Chateau Vitaline
Churchill Retirement Community 
Copper Sky Lodge
Garneau Hall
Good Samaritan Stony Plain Care Centre
Lewis Estates Retirement Residence
Lifestyle Options Leduc
Lifestyle Options Terra Losa
Lifestyle Options Whitemud
Our Parents' Home
Riverbend Retirement Residence
Rutherford Heights Retirement Residence
Saint Thomas Health Centre
Shepherd's Care Kensington
Shepherd's Care Vanguard 
St. Albert Retirement Residence
Summerwood Village Retirement Residence
Villa Marguerite
Wedman Village Homes
West Country Hearth</t>
  </si>
  <si>
    <t>Shepherd's Care Greenfield</t>
  </si>
  <si>
    <t>Fort McMurray Queen Street Building 
Address10217  Queen  Street Fort McMurray, AlbertaT9H 5S5
Telephone780-793-8360
Tollfree1-877-303-2642 (Mental Health Help Line)
Fax780-793-8361</t>
  </si>
  <si>
    <t>Days of the Week
Monday9:00 am - 9:15 pm
Tuesday9:00 am - 9:15 pm
Wednesday9:00 am - 9:15 pm
Thursday9:00 am - 9:15 pm
Friday9:00 am - 9:15 pm
Note
Cut-off time for registering is 8:30 pm.
Closed on statutory holidays.</t>
  </si>
  <si>
    <t>Fairview Health Complex
Grande Prairie Aberdeen Centre
Northwest Health Centre 
Peace River Mental Health Clinic</t>
  </si>
  <si>
    <t>Youth Substance Use and Mental Health Services
Address1005 17 Street NWCalgary, AlbertaT2N 2E5
Telephone403-943-1500 Access Mental Health, 403-297-4664  
Tollfree 24 hour Help Line 1-866-332-2322
Fax403-297-4668
AccessibilityMain floorRamps
Getting TherePublic transportation available</t>
  </si>
  <si>
    <t>Days of the Week
Monday8:15 am - 4:30 pm
Tuesday8:15 am - 4:30 pm
Wednesday8:15 am - 8:00 pm
Thursday8:15 am - 4:30 pm
Friday8:15 am - 4:30 pm
Note
Intake/Counselling- available on a drop in basis Mondays, Wednesdays and Fridays from 8:30 AM - 10:00 AM.
Evening programs run Wednesdays from 6:00Â PMÂ toÂ 8:00 PM.
Please call to confirm availability.</t>
  </si>
  <si>
    <t>Canmore Boardwalk Building
Cascade Plaza 
Cochrane Community Health Centre
High River Addiction and Mental Health Clinic 
Hilton Plaza
Lake Louise 200 Hector Street</t>
  </si>
  <si>
    <t>Service Providers May Includeaddiction counselors, mental health counselors, occupational therapists (OTs), psychiatrists, psychologists, registered nurses (RNs), social workers
EligibilityAdults, aged 18 to 65.
Wait TimesAn estimated wait time will be provided at the time of appointment booking.
Service LanguagesInterpreter/Translation services</t>
  </si>
  <si>
    <t>University of Alberta Hospital
Address8440 112 Street NWEdmonton, AlbertaT6G 2B7
Telephone780-407-6501
Fax780-407-6470
Getting ThereParking and Public transportation available
Parking map</t>
  </si>
  <si>
    <t xml:space="preserve">Specializes in psychotherapy, largely in groups, to address a range of mental health concerns for adults.Psychiatric Treatment Clinic - This clinic specializes in psychotherapy, largely in the group setting, to address a range of mental health and addiction related concerns for adults.
Day Treatment Program - Provides an intensive, 18 week outpatient program with psychodynamic group therapy for adults with mental health concerns. Services include:
group therapy
family interviews
psychiatric care with medication management
exercise
relaxation
recreation groups
support returning to work
follow-up after the program.
Clients are expected to attend the program every day.
Evening Treatment Program - Provides an intensive, 18 week outpatient program with psychodynamic group therapy for adults with mental health concerns. The program takes place in the evening and requires the patient to be involved in a work setting during the program. Services include:
group therapy
family interviews
psychiatric care with medication management
exercise
relaxation
recreation groups
follow-up after the program.
Clients are expected to attend the program every day.
Clinical Psychology - A psychiatry referral based program that provides standardized psychological assessment and testing as well as therapy in both the individual and group setting. This service specializes in Cognitive Behavioral Therapy.
</t>
  </si>
  <si>
    <t>Masterpiece Southland Meadows
Address4401 Southland Drive SEMedicine Hat, AlbertaT1B 0E9
Telephone403-612-3500</t>
  </si>
  <si>
    <t>Extendicare Fairmont Park
Good Samaritan Garden Vista
Good Samaritan Lee Crest
Good Samaritan Linden View
Good Samaritan Park Meadows Village
Good Samaritan Prairie Ridge
Good Samaritan South Ridge Village
Good Samaritan Vista Village 
Good Samaritan West Highlands
Legacy Lodge
Leisure Way
Meadow Ridge Seniors Village
Piyami Place
River Ridge Seniors Village
St. Michael's Health Centre
St. Therese Villa
Sunny South Lodge
Sunrise Gardens</t>
  </si>
  <si>
    <t>Masterpiece Southland Meadows</t>
  </si>
  <si>
    <t>Canmore General Hospital
Address1100 Hospital Place Canmore, AlbertaT1W 1N2
Telephone403-678-7223
Fax403-678-7222</t>
  </si>
  <si>
    <t>Foothills Medical Centre
High River General Hospital
Peter Lougheed Centre
Rockyview General Hospital
South Health Campus</t>
  </si>
  <si>
    <t>Heimstaed Lodge
Address9806 105 Street La Crete, AlbertaT0H 2H0
Telephone780-928-4348
Tollfree1-855-371-4122 (Continuing Care Access)
Fax1-855-776-3805 (Continuing Care Access)</t>
  </si>
  <si>
    <t>Bar-V-Nook Manor
Edson Healthcare Centre
Grande Prairie Care Centre
Hinton Continuing Care Centre
J. B. Wood Continuing Care Centre
Manoir du Lac 
Points West Living Cold Lake
Points West Living Grande Prairie
Points West Living Lac La Biche
Points West Living Peace River
Points West Living Slave Lake
Stone Brook
Wild Rose Assisted Living</t>
  </si>
  <si>
    <t>Heimstaed Lodge</t>
  </si>
  <si>
    <t>Bar-V-Nook Manor
Address4524 52  Avenue Smoky Lake, AlbertaT0A 3C0
Telephone780-656-4217 ext. 3
Fax780-656-4277</t>
  </si>
  <si>
    <t>Edson Healthcare Centre
Grande Prairie Care Centre
Heimstaed Lodge
Hinton Continuing Care Centre
J. B. Wood Continuing Care Centre
Manoir du Lac 
Points West Living Cold Lake
Points West Living Grande Prairie
Points West Living Lac La Biche
Points West Living Peace River
Points West Living Slave Lake
Stone Brook
Wild Rose Assisted Living</t>
  </si>
  <si>
    <t>Bar-V-Nook Manor</t>
  </si>
  <si>
    <t>Athabasca Community Health Services
Barrhead Healthcare Centre
Beaverlodge Community Health Services
Bonnyville New Park Place
Cold Lake Healthcare Centre
Edson Healthcare Centre
Fairview Health Complex
Grande Prairie Nordic Court 
High Prairie Health Complex
Hinton Community Health Services
Lac La Biche Provincial Building
Mayerthorpe Healthcare Centre
Northern Lights Regional Health Centre
Northwest Health Centre 
Onoway Mental Health Services
Peace River Community Mental Health Services
Pine Plaza Building
Slave Lake Healthcare Centre
Slave Lake Lakeland Centre
Spirit River Community Health Services
St. Theresa General Hospital 
St. Therese - St. Paul Healthcare Centre
Swan Hills Healthcare Centre
Valleyview Community Health Services
Westlock Provincial Building
Whitecourt Community Health Services</t>
  </si>
  <si>
    <t>Claresholm Addiction and Mental Health Clinic
Address4901 2 Street WClaresholm, AlbertaT0L 0T0
Telephone403-625-4068
Fax403-625-4177
Getting ThereParking available</t>
  </si>
  <si>
    <t>Banff Community Health Centre
Canmore Boardwalk Building
Cochrane Community Health Centre
Vulcan Community Health Centre</t>
  </si>
  <si>
    <t>Wild Rose School Division
Address4912 43 Street Rocky Mountain House, AlbertaT4T 1P4
Telephone403-845-3376
Emailinfo@aimforsuccess.ca
Websitehttp://www.aimforsuccess.ca, http://wrsd.ca</t>
  </si>
  <si>
    <t>Aurora Elementary School
Drayton Christian School
Drayton Valley Community Outreach School
Eldorado Elementary School
Frank Maddock High School
H W Pickup Junior High School</t>
  </si>
  <si>
    <t>Wild Rose School Division</t>
  </si>
  <si>
    <t>Service Providers May Includerecreation therapists
FeesClients may need to pay for extra equipment, entry to some venues, and/or transportation. Contact program for further information.
Service LanguagesInterpreter/Translation services</t>
  </si>
  <si>
    <t>Mineral Springs Hospital
Address305 Lynx Street Banff, AlbertaT1L 1H7
Telephone403-760-7222 ext 160
Fax403-762-4193</t>
  </si>
  <si>
    <t>Note
as needed</t>
  </si>
  <si>
    <t xml:space="preserve">This service supports adults with mental health issues to re-enter their community-based leisure activities.With emphasis on clients with mental health issues where leisure activities are critical to healthy living, this service provides:
consultations, assessments, interventions, and education
support to mental health and neurorehabilitation programsÂ 
</t>
  </si>
  <si>
    <t>East Calgary Health Centre
Address4715 8 Avenue SECalgary, AlbertaT2A 3N4
Telephone403-943-1500 Ext. 1 (Access Mental Health)
Getting TherePublic transportation available</t>
  </si>
  <si>
    <t>Foothills Professional Building 
South Calgary Health Centre</t>
  </si>
  <si>
    <t>Aventa Addiction Treatment For Women 
Address610 25 Avenue SWCalgary, AlbertaT2S 0L6
Telephone403-245-9050
Fax403-245-9485
Email info@aventa.org
Websitehttp://www.aventa.org
Getting There</t>
  </si>
  <si>
    <t>Available
24 hour service
Note
Treatment Centre and Administration
MondayÂ Â Â Â Â Â Â Â Â Â  8:30 am - 4:30 pm
TuesdayÂ Â Â Â Â Â Â Â Â  8:30 am - 4:30 pm
WednesdayÂ Â Â Â  8:30 am - 4:30 pm
ThursdayÂ Â Â Â Â Â Â Â  8:30 am - 4:30 pm
FridayÂ Â Â Â Â Â Â Â Â Â Â Â  8:30 am - 4:30 pm</t>
  </si>
  <si>
    <t xml:space="preserve">Aventa Addiction Treatment For Women </t>
  </si>
  <si>
    <t>Morinville Provincial Building
Address10008 107 Street Morinville, AlbertaT8R 1L3
Telephone780-342-2701 (Central Intake), 780-342-2620 (Clinic Information)
Getting ThereParking available</t>
  </si>
  <si>
    <t>Centre Hope Building 
Edmonton Peace Hills Trust Tower
Fort Saskatchewan Community Hospital
Northgate Centre
Rutherford Health Centre
St. Albert Provincial Building
Stan Woloshyn Building
Strathcona Community Hospital</t>
  </si>
  <si>
    <t>South Health Campus
Address4448 Front Street SECalgary, AlbertaT3M 1M4
Telephone403-943-1500 Access Mental Health 
Tollfree1-866-943-1500 Access Mental Health
Getting ThereParking available
Parking map</t>
  </si>
  <si>
    <t>Days of the Week
Monday8:00 am - 7:00 pm
Tuesday8:00 am - 7:00 pm
Wednesday8:00 am - 7:00 pm
Thursday8:00 am - 7:00 pm
Friday8:00 am - 4:15 pm
Note
Closed on weekends and statutory holidays.</t>
  </si>
  <si>
    <t>Foothills Professional Building 
Sheldon M. Chumir Health Centre
Sunridge Medical Gallery</t>
  </si>
  <si>
    <t>Airdrie 209 Centre Avenue West
Address209 Centre Avenue WAirdrie, AlbertaT4B 3L8
Tollfree1-877-652-4700</t>
  </si>
  <si>
    <t>Airdrie 125 Main Street NW
Associates Counselling Services Office
Brooks Community Cultural Centre
Calgary 707 10 Avenue SW
Calgary Zone - Information / Registration / Appointments
Cantara House  (Brooks Shelter)
Cochrane Community Health Centre
Drumheller Health Centre
Edmonton 9303 34 Avenue
Edson Healthcare Centre
Forensic Assessment &amp; Community Services
Fort McMurray Queen Street Building 
Fort McMurray and Area - Information / Registration / Appointments
Grande Prairie 10135 101 Avenue
Grande Prairie Aberdeen Centre
Hinton Centre
John J. Bowlen Building
Kahanoff Centre
Lethbridge Provincial Building
Medicine Hat Provincial Building
Peace River 9613 100 Street
Peace River Provincial Building  
Red Deer 4101 54 Avenue
Red Deer Provincial Building
Red Deer and Area - Information / Registration / Appointments
Rocky Mountain House Health Centre
Rocky Mountain House and Area - Information / Registration / Appointments
St. Paul Provincial Building
St. Paul and Area - Information / Registration / Appointments
Stettler 4837 50 Main Street
Stettler and Area - Information / Registration / Appointments
Sunridge Professional Building 
Transition Place
Wetaskiwin 5010 50 Avenue
Wetaskiwin Provincial Building
YW Sheriff King Home</t>
  </si>
  <si>
    <t>Airdrie 209 Centre Avenue West</t>
  </si>
  <si>
    <t>Swan Hills Healthcare Centre
Address29 Freeman Drive Swan Hills, AlbertaT0G 2C0
Telephone780-333-4241
Tollfree310-0000 780-333-4241, 1-877-303-2642 (24 hr Help Line) 
Fax780-333-7009</t>
  </si>
  <si>
    <t>Days of the Week
Monday8:30 am - 4:30 pm
Tuesday8:30 am - 4:30 pm
Wednesday8:30 am - 4:30 pm
Thursday8:30 am - 4:30 pm
Note
Closed 12:00 PM (noon)Â  to 1:00Â PM, and Fridays and statutory holidays.</t>
  </si>
  <si>
    <t>Athabasca Community Health Services
Barrhead Healthcare Centre
Beaverlodge Community Health Services
Bonnyville New Park Place
Cold Lake Healthcare Centre
Edson Healthcare Centre
Fairview Health Complex
Fox Creek Healthcare Centre
George McDougall - Smoky Lake Healthcare Centre
Grande Prairie Nordic Court 
High Prairie Health Complex
Hinton Community Health Services
La Crete Community Health Centre
Lac La Biche Provincial Building
Manning Community Health Centre
Mayerthorpe Healthcare Centre
Northern Lights Regional Health Centre
Northwest Health Centre 
Onoway Mental Health Services
Peace River Community Mental Health Services
Pine Plaza Building
Rainbow Lake Community Health Services
Sacred Heart Community Health Centre
Seton - Jasper Healthcare Centre
Slave Lake Government Centre and Library
Spirit River Community Health Services
St. Theresa General Hospital 
St. Therese - St. Paul Healthcare Centre
Valleyview Community Health Services
Westlock Provincial Building
Whitecourt Community Health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</si>
</sst>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1"/>
  <sheetViews>
    <sheetView tabSelected="1" zoomScale="40" zoomScaleNormal="40" workbookViewId="0">
      <selection activeCell="A40" sqref="A40"/>
    </sheetView>
  </sheetViews>
  <sheetFormatPr defaultRowHeight="15" x14ac:dyDescent="0.25"/>
  <cols>
    <col min="1" max="1" width="108.42578125" bestFit="1" customWidth="1"/>
    <col min="2" max="2" width="77.7109375" bestFit="1" customWidth="1"/>
    <col min="3" max="3" width="255.7109375" bestFit="1" customWidth="1"/>
    <col min="4" max="4" width="58" bestFit="1" customWidth="1"/>
    <col min="5" max="5" width="24" bestFit="1" customWidth="1"/>
    <col min="6" max="6" width="30.42578125" bestFit="1" customWidth="1"/>
    <col min="7" max="7" width="229.7109375" bestFit="1" customWidth="1"/>
    <col min="8" max="8" width="55.5703125" bestFit="1" customWidth="1"/>
  </cols>
  <sheetData>
    <row r="1" spans="1:8" ht="28.5" x14ac:dyDescent="0.45">
      <c r="A1" s="3" t="s">
        <v>6</v>
      </c>
      <c r="B1" s="3" t="s">
        <v>5</v>
      </c>
      <c r="C1" s="3" t="s">
        <v>7</v>
      </c>
      <c r="D1" s="3" t="s">
        <v>1</v>
      </c>
      <c r="E1" s="3" t="s">
        <v>3</v>
      </c>
      <c r="F1" s="3" t="s">
        <v>2</v>
      </c>
      <c r="G1" s="3" t="s">
        <v>0</v>
      </c>
      <c r="H1" s="3" t="s">
        <v>4</v>
      </c>
    </row>
    <row r="2" spans="1:8" ht="150" x14ac:dyDescent="0.25">
      <c r="A2" s="4" t="str">
        <f>HYPERLINK("https://www.albertahealthservices.ca/findhealth/Service.aspx?serviceAtFacilityId=1107656","Mental Health Capacity Building - Wainwright On Wellness")</f>
        <v>Mental Health Capacity Building - Wainwright On Wellness</v>
      </c>
      <c r="B2" s="1" t="s">
        <v>12</v>
      </c>
      <c r="C2" s="2" t="s">
        <v>13</v>
      </c>
      <c r="D2" s="2" t="s">
        <v>9</v>
      </c>
      <c r="E2" s="1"/>
      <c r="F2" s="2" t="s">
        <v>10</v>
      </c>
      <c r="G2" s="2" t="s">
        <v>8</v>
      </c>
      <c r="H2" s="2" t="s">
        <v>11</v>
      </c>
    </row>
    <row r="3" spans="1:8" ht="375" x14ac:dyDescent="0.25">
      <c r="A3" s="4" t="str">
        <f>HYPERLINK("https://www.albertahealthservices.ca/findhealth/Service.aspx?serviceAtFacilityId=1102337","Mental Health Information, Promotion and Prevention")</f>
        <v>Mental Health Information, Promotion and Prevention</v>
      </c>
      <c r="B3" s="1" t="s">
        <v>19</v>
      </c>
      <c r="C3" s="2" t="s">
        <v>20</v>
      </c>
      <c r="D3" s="2" t="s">
        <v>15</v>
      </c>
      <c r="E3" s="2" t="s">
        <v>17</v>
      </c>
      <c r="F3" s="2" t="s">
        <v>16</v>
      </c>
      <c r="G3" s="2" t="s">
        <v>14</v>
      </c>
      <c r="H3" s="2" t="s">
        <v>18</v>
      </c>
    </row>
    <row r="4" spans="1:8" ht="270" x14ac:dyDescent="0.25">
      <c r="A4" s="4" t="str">
        <f>HYPERLINK("https://www.albertahealthservices.ca/findhealth/Service.aspx?serviceAtFacilityId=1107458","Designated Supportive Living Level 4 Dementia")</f>
        <v>Designated Supportive Living Level 4 Dementia</v>
      </c>
      <c r="B4" s="1" t="s">
        <v>25</v>
      </c>
      <c r="C4" s="2" t="s">
        <v>26</v>
      </c>
      <c r="D4" s="2" t="s">
        <v>22</v>
      </c>
      <c r="E4" s="1"/>
      <c r="F4" s="2" t="s">
        <v>23</v>
      </c>
      <c r="G4" s="2" t="s">
        <v>21</v>
      </c>
      <c r="H4" s="2" t="s">
        <v>24</v>
      </c>
    </row>
    <row r="5" spans="1:8" ht="270" x14ac:dyDescent="0.25">
      <c r="A5" s="4" t="str">
        <f>HYPERLINK("https://www.albertahealthservices.ca/findhealth/Service.aspx?serviceAtFacilityId=1113512","Designated Supportive Living Level 4 Dementia")</f>
        <v>Designated Supportive Living Level 4 Dementia</v>
      </c>
      <c r="B5" s="1" t="s">
        <v>30</v>
      </c>
      <c r="C5" s="2" t="s">
        <v>31</v>
      </c>
      <c r="D5" s="2" t="s">
        <v>28</v>
      </c>
      <c r="E5" s="1"/>
      <c r="F5" s="2" t="s">
        <v>23</v>
      </c>
      <c r="G5" s="2" t="s">
        <v>27</v>
      </c>
      <c r="H5" s="2" t="s">
        <v>29</v>
      </c>
    </row>
    <row r="6" spans="1:8" ht="409.5" x14ac:dyDescent="0.25">
      <c r="A6" s="4" t="str">
        <f>HYPERLINK("https://www.albertahealthservices.ca/findhealth/Service.aspx?serviceAtFacilityId=1047072","Therapeutic Recreation Services")</f>
        <v>Therapeutic Recreation Services</v>
      </c>
      <c r="B6" s="1" t="s">
        <v>36</v>
      </c>
      <c r="C6" s="2" t="s">
        <v>37</v>
      </c>
      <c r="D6" s="2" t="s">
        <v>33</v>
      </c>
      <c r="E6" s="1"/>
      <c r="F6" s="1" t="s">
        <v>34</v>
      </c>
      <c r="G6" s="2" t="s">
        <v>32</v>
      </c>
      <c r="H6" s="2" t="s">
        <v>35</v>
      </c>
    </row>
    <row r="7" spans="1:8" ht="255" x14ac:dyDescent="0.25">
      <c r="A7" s="4" t="str">
        <f>HYPERLINK("https://www.albertahealthservices.ca/findhealth/Service.aspx?serviceAtFacilityId=1104649","Designated Supportive Living Level 4 Dementia")</f>
        <v>Designated Supportive Living Level 4 Dementia</v>
      </c>
      <c r="B7" s="1" t="s">
        <v>42</v>
      </c>
      <c r="C7" s="2" t="s">
        <v>43</v>
      </c>
      <c r="D7" s="2" t="s">
        <v>39</v>
      </c>
      <c r="E7" s="1"/>
      <c r="F7" s="2" t="s">
        <v>40</v>
      </c>
      <c r="G7" s="2" t="s">
        <v>38</v>
      </c>
      <c r="H7" s="2" t="s">
        <v>41</v>
      </c>
    </row>
    <row r="8" spans="1:8" ht="409.5" x14ac:dyDescent="0.25">
      <c r="A8" s="4" t="str">
        <f>HYPERLINK("https://www.albertahealthservices.ca/findhealth/Service.aspx?serviceAtFacilityId=1050503","Therapeutic Recreation Services")</f>
        <v>Therapeutic Recreation Services</v>
      </c>
      <c r="B8" s="1" t="s">
        <v>46</v>
      </c>
      <c r="C8" s="2" t="s">
        <v>37</v>
      </c>
      <c r="D8" s="2" t="s">
        <v>44</v>
      </c>
      <c r="E8" s="1"/>
      <c r="F8" s="1" t="s">
        <v>34</v>
      </c>
      <c r="G8" s="2" t="s">
        <v>32</v>
      </c>
      <c r="H8" s="2" t="s">
        <v>45</v>
      </c>
    </row>
    <row r="9" spans="1:8" ht="180" x14ac:dyDescent="0.25">
      <c r="A9" s="4" t="str">
        <f>HYPERLINK("https://www.albertahealthservices.ca/findhealth/Service.aspx?serviceAtFacilityId=1018206","Mental Health Walk-in")</f>
        <v>Mental Health Walk-in</v>
      </c>
      <c r="B9" s="1" t="s">
        <v>50</v>
      </c>
      <c r="C9" s="2" t="s">
        <v>51</v>
      </c>
      <c r="D9" s="2" t="s">
        <v>48</v>
      </c>
      <c r="E9" s="1"/>
      <c r="F9" s="2" t="s">
        <v>49</v>
      </c>
      <c r="G9" s="2" t="s">
        <v>47</v>
      </c>
      <c r="H9" s="1"/>
    </row>
    <row r="10" spans="1:8" ht="390" x14ac:dyDescent="0.25">
      <c r="A10" s="4" t="str">
        <f>HYPERLINK("https://www.albertahealthservices.ca/findhealth/Service.aspx?serviceAtFacilityId=1104600","Designated Supportive Living Level 4 Dementia")</f>
        <v>Designated Supportive Living Level 4 Dementia</v>
      </c>
      <c r="B10" s="1" t="s">
        <v>55</v>
      </c>
      <c r="C10" s="2" t="s">
        <v>31</v>
      </c>
      <c r="D10" s="2" t="s">
        <v>53</v>
      </c>
      <c r="E10" s="1"/>
      <c r="F10" s="2" t="s">
        <v>23</v>
      </c>
      <c r="G10" s="2" t="s">
        <v>52</v>
      </c>
      <c r="H10" s="2" t="s">
        <v>54</v>
      </c>
    </row>
    <row r="11" spans="1:8" ht="225" x14ac:dyDescent="0.25">
      <c r="A11" s="4" t="str">
        <f>HYPERLINK("https://www.albertahealthservices.ca/findhealth/Service.aspx?serviceAtFacilityId=1111397","Addiction and Mental Health - Wellness Recovery Services, Adult")</f>
        <v>Addiction and Mental Health - Wellness Recovery Services, Adult</v>
      </c>
      <c r="B11" s="1" t="s">
        <v>57</v>
      </c>
      <c r="C11" s="2" t="s">
        <v>58</v>
      </c>
      <c r="D11" s="2" t="s">
        <v>56</v>
      </c>
      <c r="E11" s="1"/>
      <c r="F11" s="1" t="s">
        <v>34</v>
      </c>
      <c r="G11" s="1"/>
      <c r="H11" s="1"/>
    </row>
    <row r="12" spans="1:8" ht="255" x14ac:dyDescent="0.25">
      <c r="A12" s="4" t="str">
        <f>HYPERLINK("https://www.albertahealthservices.ca/findhealth/Service.aspx?serviceAtFacilityId=1104643","Designated Supportive Living Level 4 Dementia")</f>
        <v>Designated Supportive Living Level 4 Dementia</v>
      </c>
      <c r="B12" s="1" t="s">
        <v>61</v>
      </c>
      <c r="C12" s="2" t="s">
        <v>43</v>
      </c>
      <c r="D12" s="2" t="s">
        <v>59</v>
      </c>
      <c r="E12" s="1"/>
      <c r="F12" s="2" t="s">
        <v>40</v>
      </c>
      <c r="G12" s="2" t="s">
        <v>38</v>
      </c>
      <c r="H12" s="2" t="s">
        <v>60</v>
      </c>
    </row>
    <row r="13" spans="1:8" ht="225" x14ac:dyDescent="0.25">
      <c r="A13" s="4" t="str">
        <f>HYPERLINK("https://www.albertahealthservices.ca/findhealth/Service.aspx?serviceAtFacilityId=1102424","Psychogeriatric Consultation")</f>
        <v>Psychogeriatric Consultation</v>
      </c>
      <c r="B13" s="1" t="s">
        <v>65</v>
      </c>
      <c r="C13" s="2" t="s">
        <v>66</v>
      </c>
      <c r="D13" s="2" t="s">
        <v>63</v>
      </c>
      <c r="E13" s="1"/>
      <c r="F13" s="1" t="s">
        <v>34</v>
      </c>
      <c r="G13" s="2" t="s">
        <v>62</v>
      </c>
      <c r="H13" s="2" t="s">
        <v>64</v>
      </c>
    </row>
    <row r="14" spans="1:8" ht="165" x14ac:dyDescent="0.25">
      <c r="A14" s="4" t="str">
        <f>HYPERLINK("https://www.albertahealthservices.ca/findhealth/Service.aspx?serviceAtFacilityId=1033402","Community Addiction and Mental Health Services - Rural")</f>
        <v>Community Addiction and Mental Health Services - Rural</v>
      </c>
      <c r="B14" s="1" t="s">
        <v>71</v>
      </c>
      <c r="C14" s="2" t="s">
        <v>72</v>
      </c>
      <c r="D14" s="2" t="s">
        <v>68</v>
      </c>
      <c r="E14" s="1"/>
      <c r="F14" s="2" t="s">
        <v>69</v>
      </c>
      <c r="G14" s="2" t="s">
        <v>67</v>
      </c>
      <c r="H14" s="2" t="s">
        <v>70</v>
      </c>
    </row>
    <row r="15" spans="1:8" ht="255" x14ac:dyDescent="0.25">
      <c r="A15" s="4" t="str">
        <f>HYPERLINK("https://www.albertahealthservices.ca/findhealth/Service.aspx?serviceAtFacilityId=1117902","Addiction and Mental Health - Adult and Youth Intake")</f>
        <v>Addiction and Mental Health - Adult and Youth Intake</v>
      </c>
      <c r="B15" s="1" t="s">
        <v>77</v>
      </c>
      <c r="C15" s="2" t="s">
        <v>78</v>
      </c>
      <c r="D15" s="2" t="s">
        <v>74</v>
      </c>
      <c r="E15" s="1"/>
      <c r="F15" s="2" t="s">
        <v>75</v>
      </c>
      <c r="G15" s="2" t="s">
        <v>73</v>
      </c>
      <c r="H15" s="2" t="s">
        <v>76</v>
      </c>
    </row>
    <row r="16" spans="1:8" ht="390" x14ac:dyDescent="0.25">
      <c r="A16" s="4" t="str">
        <f>HYPERLINK("https://www.albertahealthservices.ca/findhealth/Service.aspx?serviceAtFacilityId=1102362","Children's Mental Health Treatment Services")</f>
        <v>Children's Mental Health Treatment Services</v>
      </c>
      <c r="B16" s="1" t="s">
        <v>19</v>
      </c>
      <c r="C16" s="2" t="s">
        <v>84</v>
      </c>
      <c r="D16" s="2" t="s">
        <v>80</v>
      </c>
      <c r="E16" s="2" t="s">
        <v>82</v>
      </c>
      <c r="F16" s="2" t="s">
        <v>81</v>
      </c>
      <c r="G16" s="2" t="s">
        <v>79</v>
      </c>
      <c r="H16" s="2" t="s">
        <v>83</v>
      </c>
    </row>
    <row r="17" spans="1:8" ht="90" x14ac:dyDescent="0.25">
      <c r="A17" s="4" t="str">
        <f>HYPERLINK("https://www.albertahealthservices.ca/findhealth/Service.aspx?serviceAtFacilityId=1047539","Community Services Walk In Single Session Counselling Service")</f>
        <v>Community Services Walk In Single Session Counselling Service</v>
      </c>
      <c r="B17" s="1" t="s">
        <v>87</v>
      </c>
      <c r="C17" s="2" t="s">
        <v>88</v>
      </c>
      <c r="D17" s="2" t="s">
        <v>85</v>
      </c>
      <c r="E17" s="1"/>
      <c r="F17" s="2" t="s">
        <v>86</v>
      </c>
      <c r="G17" s="1"/>
      <c r="H17" s="1"/>
    </row>
    <row r="18" spans="1:8" ht="285" x14ac:dyDescent="0.25">
      <c r="A18" s="4" t="str">
        <f>HYPERLINK("https://www.albertahealthservices.ca/findhealth/Service.aspx?serviceAtFacilityId=1051993","School Health Program")</f>
        <v>School Health Program</v>
      </c>
      <c r="B18" s="1" t="s">
        <v>92</v>
      </c>
      <c r="C18" s="2" t="s">
        <v>93</v>
      </c>
      <c r="D18" s="2" t="s">
        <v>90</v>
      </c>
      <c r="E18" s="1"/>
      <c r="F18" s="1" t="s">
        <v>34</v>
      </c>
      <c r="G18" s="1" t="s">
        <v>89</v>
      </c>
      <c r="H18" s="2" t="s">
        <v>91</v>
      </c>
    </row>
    <row r="19" spans="1:8" ht="409.5" x14ac:dyDescent="0.25">
      <c r="A19" s="4" t="str">
        <f>HYPERLINK("https://www.albertahealthservices.ca/findhealth/Service.aspx?serviceAtFacilityId=1102270","Mental Health Services")</f>
        <v>Mental Health Services</v>
      </c>
      <c r="B19" s="1" t="s">
        <v>97</v>
      </c>
      <c r="C19" s="2" t="s">
        <v>98</v>
      </c>
      <c r="D19" s="2" t="s">
        <v>95</v>
      </c>
      <c r="E19" s="1"/>
      <c r="F19" s="1" t="s">
        <v>34</v>
      </c>
      <c r="G19" s="2" t="s">
        <v>94</v>
      </c>
      <c r="H19" s="2" t="s">
        <v>96</v>
      </c>
    </row>
    <row r="20" spans="1:8" ht="135" x14ac:dyDescent="0.25">
      <c r="A20" s="4" t="str">
        <f>HYPERLINK("https://www.albertahealthservices.ca/findhealth/Service.aspx?serviceAtFacilityId=1021732","Emergency Room Outreach Team - Mental Health")</f>
        <v>Emergency Room Outreach Team - Mental Health</v>
      </c>
      <c r="B20" s="1" t="s">
        <v>103</v>
      </c>
      <c r="C20" s="2" t="s">
        <v>104</v>
      </c>
      <c r="D20" s="2" t="s">
        <v>100</v>
      </c>
      <c r="E20" s="1"/>
      <c r="F20" s="2" t="s">
        <v>101</v>
      </c>
      <c r="G20" s="2" t="s">
        <v>99</v>
      </c>
      <c r="H20" s="2" t="s">
        <v>102</v>
      </c>
    </row>
    <row r="21" spans="1:8" ht="255" x14ac:dyDescent="0.25">
      <c r="A21" s="4" t="str">
        <f>HYPERLINK("https://www.albertahealthservices.ca/findhealth/Service.aspx?serviceAtFacilityId=1097483","Labour and Delivery Services, Postpartum and Newborn Care")</f>
        <v>Labour and Delivery Services, Postpartum and Newborn Care</v>
      </c>
      <c r="B21" s="1" t="s">
        <v>108</v>
      </c>
      <c r="C21" s="2" t="s">
        <v>109</v>
      </c>
      <c r="D21" s="2" t="s">
        <v>106</v>
      </c>
      <c r="E21" s="1"/>
      <c r="F21" s="2" t="s">
        <v>23</v>
      </c>
      <c r="G21" s="2" t="s">
        <v>105</v>
      </c>
      <c r="H21" s="2" t="s">
        <v>107</v>
      </c>
    </row>
    <row r="22" spans="1:8" ht="315" x14ac:dyDescent="0.25">
      <c r="A22" s="4" t="str">
        <f>HYPERLINK("https://www.albertahealthservices.ca/findhealth/Service.aspx?serviceAtFacilityId=1094284","Postpartum Depression Support")</f>
        <v>Postpartum Depression Support</v>
      </c>
      <c r="B22" s="1" t="s">
        <v>113</v>
      </c>
      <c r="C22" s="2" t="s">
        <v>114</v>
      </c>
      <c r="D22" s="2" t="s">
        <v>110</v>
      </c>
      <c r="E22" s="1"/>
      <c r="F22" s="2" t="s">
        <v>111</v>
      </c>
      <c r="G22" s="1"/>
      <c r="H22" s="2" t="s">
        <v>112</v>
      </c>
    </row>
    <row r="23" spans="1:8" ht="375" x14ac:dyDescent="0.25">
      <c r="A23" s="4" t="str">
        <f>HYPERLINK("https://www.albertahealthservices.ca/findhealth/Service.aspx?serviceAtFacilityId=1115412","Community Helpers Program")</f>
        <v>Community Helpers Program</v>
      </c>
      <c r="B23" s="1" t="s">
        <v>119</v>
      </c>
      <c r="C23" s="2" t="s">
        <v>120</v>
      </c>
      <c r="D23" s="2" t="s">
        <v>116</v>
      </c>
      <c r="E23" s="1"/>
      <c r="F23" s="2" t="s">
        <v>117</v>
      </c>
      <c r="G23" s="2" t="s">
        <v>115</v>
      </c>
      <c r="H23" s="2" t="s">
        <v>118</v>
      </c>
    </row>
    <row r="24" spans="1:8" ht="409.5" x14ac:dyDescent="0.25">
      <c r="A24" s="4" t="str">
        <f>HYPERLINK("https://www.albertahealthservices.ca/findhealth/Service.aspx?serviceAtFacilityId=1102308","Adult Mental Health Treatment Services")</f>
        <v>Adult Mental Health Treatment Services</v>
      </c>
      <c r="B24" s="1" t="s">
        <v>124</v>
      </c>
      <c r="C24" s="2" t="s">
        <v>125</v>
      </c>
      <c r="D24" s="2" t="s">
        <v>122</v>
      </c>
      <c r="E24" s="1"/>
      <c r="F24" s="1" t="s">
        <v>34</v>
      </c>
      <c r="G24" s="2" t="s">
        <v>121</v>
      </c>
      <c r="H24" s="2" t="s">
        <v>123</v>
      </c>
    </row>
    <row r="25" spans="1:8" ht="409.5" x14ac:dyDescent="0.25">
      <c r="A25" s="4" t="str">
        <f>HYPERLINK("https://www.albertahealthservices.ca/findhealth/Service.aspx?serviceAtFacilityId=1006611","Therapeutic Recreation Services")</f>
        <v>Therapeutic Recreation Services</v>
      </c>
      <c r="B25" s="1" t="s">
        <v>128</v>
      </c>
      <c r="C25" s="2" t="s">
        <v>37</v>
      </c>
      <c r="D25" s="2" t="s">
        <v>126</v>
      </c>
      <c r="E25" s="1"/>
      <c r="F25" s="1" t="s">
        <v>34</v>
      </c>
      <c r="G25" s="2" t="s">
        <v>32</v>
      </c>
      <c r="H25" s="2" t="s">
        <v>127</v>
      </c>
    </row>
    <row r="26" spans="1:8" ht="405" x14ac:dyDescent="0.25">
      <c r="A26" s="4" t="str">
        <f>HYPERLINK("https://www.albertahealthservices.ca/findhealth/Service.aspx?serviceAtFacilityId=1116182","Community Addiction &amp; Mental Health - Adult &amp; Youth Services")</f>
        <v>Community Addiction &amp; Mental Health - Adult &amp; Youth Services</v>
      </c>
      <c r="B26" s="1" t="s">
        <v>132</v>
      </c>
      <c r="C26" s="2" t="s">
        <v>133</v>
      </c>
      <c r="D26" s="2" t="s">
        <v>130</v>
      </c>
      <c r="E26" s="1"/>
      <c r="F26" s="1" t="s">
        <v>34</v>
      </c>
      <c r="G26" s="2" t="s">
        <v>129</v>
      </c>
      <c r="H26" s="2" t="s">
        <v>131</v>
      </c>
    </row>
    <row r="27" spans="1:8" ht="390" x14ac:dyDescent="0.25">
      <c r="A27" s="4" t="str">
        <f>HYPERLINK("https://www.albertahealthservices.ca/findhealth/Service.aspx?serviceAtFacilityId=1117811","Designated Supportive Living Level 4 Dementia")</f>
        <v>Designated Supportive Living Level 4 Dementia</v>
      </c>
      <c r="B27" s="1" t="s">
        <v>136</v>
      </c>
      <c r="C27" s="2" t="s">
        <v>31</v>
      </c>
      <c r="D27" s="2" t="s">
        <v>134</v>
      </c>
      <c r="E27" s="1"/>
      <c r="F27" s="2" t="s">
        <v>23</v>
      </c>
      <c r="G27" s="2" t="s">
        <v>52</v>
      </c>
      <c r="H27" s="2" t="s">
        <v>135</v>
      </c>
    </row>
    <row r="28" spans="1:8" ht="270" x14ac:dyDescent="0.25">
      <c r="A28" s="4" t="str">
        <f>HYPERLINK("https://www.albertahealthservices.ca/findhealth/Service.aspx?serviceAtFacilityId=1104662","Designated Supportive Living Level 4 Dementia")</f>
        <v>Designated Supportive Living Level 4 Dementia</v>
      </c>
      <c r="B28" s="1" t="s">
        <v>139</v>
      </c>
      <c r="C28" s="2" t="s">
        <v>26</v>
      </c>
      <c r="D28" s="2" t="s">
        <v>137</v>
      </c>
      <c r="E28" s="1"/>
      <c r="F28" s="2" t="s">
        <v>23</v>
      </c>
      <c r="G28" s="2" t="s">
        <v>21</v>
      </c>
      <c r="H28" s="2" t="s">
        <v>138</v>
      </c>
    </row>
    <row r="29" spans="1:8" ht="225" x14ac:dyDescent="0.25">
      <c r="A29" s="4" t="str">
        <f>HYPERLINK("https://www.albertahealthservices.ca/findhealth/Service.aspx?serviceAtFacilityId=1111334","Addiction and Mental Health - Suburban Community Assessment and Treatment Services, Adult")</f>
        <v>Addiction and Mental Health - Suburban Community Assessment and Treatment Services, Adult</v>
      </c>
      <c r="B29" s="1" t="s">
        <v>144</v>
      </c>
      <c r="C29" s="2" t="s">
        <v>145</v>
      </c>
      <c r="D29" s="2" t="s">
        <v>141</v>
      </c>
      <c r="E29" s="1"/>
      <c r="F29" s="2" t="s">
        <v>142</v>
      </c>
      <c r="G29" s="2" t="s">
        <v>140</v>
      </c>
      <c r="H29" s="2" t="s">
        <v>143</v>
      </c>
    </row>
    <row r="30" spans="1:8" ht="375" x14ac:dyDescent="0.25">
      <c r="A30" s="4" t="str">
        <f>HYPERLINK("https://www.albertahealthservices.ca/findhealth/Service.aspx?serviceAtFacilityId=1102332","Mental Health Information, Promotion and Prevention")</f>
        <v>Mental Health Information, Promotion and Prevention</v>
      </c>
      <c r="B30" s="1" t="s">
        <v>148</v>
      </c>
      <c r="C30" s="2" t="s">
        <v>20</v>
      </c>
      <c r="D30" s="2" t="s">
        <v>146</v>
      </c>
      <c r="E30" s="2" t="s">
        <v>17</v>
      </c>
      <c r="F30" s="1" t="s">
        <v>34</v>
      </c>
      <c r="G30" s="2" t="s">
        <v>14</v>
      </c>
      <c r="H30" s="2" t="s">
        <v>147</v>
      </c>
    </row>
    <row r="31" spans="1:8" ht="135" x14ac:dyDescent="0.25">
      <c r="A31" s="4" t="str">
        <f>HYPERLINK("https://www.albertahealthservices.ca/findhealth/Service.aspx?serviceAtFacilityId=1116863","Addiction and Mental Health - Diversion Services")</f>
        <v>Addiction and Mental Health - Diversion Services</v>
      </c>
      <c r="B31" s="1" t="s">
        <v>97</v>
      </c>
      <c r="C31" s="2" t="s">
        <v>154</v>
      </c>
      <c r="D31" s="2" t="s">
        <v>150</v>
      </c>
      <c r="E31" s="2" t="s">
        <v>152</v>
      </c>
      <c r="F31" s="2" t="s">
        <v>151</v>
      </c>
      <c r="G31" s="2" t="s">
        <v>149</v>
      </c>
      <c r="H31" s="2" t="s">
        <v>153</v>
      </c>
    </row>
    <row r="32" spans="1:8" ht="409.5" x14ac:dyDescent="0.25">
      <c r="A32" s="4" t="str">
        <f>HYPERLINK("https://www.albertahealthservices.ca/findhealth/Service.aspx?serviceAtFacilityId=1102303","Adult Mental Health Treatment Services")</f>
        <v>Adult Mental Health Treatment Services</v>
      </c>
      <c r="B32" s="1" t="s">
        <v>157</v>
      </c>
      <c r="C32" s="2" t="s">
        <v>125</v>
      </c>
      <c r="D32" s="2" t="s">
        <v>155</v>
      </c>
      <c r="E32" s="1"/>
      <c r="F32" s="1" t="s">
        <v>34</v>
      </c>
      <c r="G32" s="2" t="s">
        <v>121</v>
      </c>
      <c r="H32" s="2" t="s">
        <v>156</v>
      </c>
    </row>
    <row r="33" spans="1:8" ht="409.5" x14ac:dyDescent="0.25">
      <c r="A33" s="4" t="str">
        <f>HYPERLINK("https://www.albertahealthservices.ca/findhealth/Service.aspx?serviceAtFacilityId=1004623","Continuing Care Counselling")</f>
        <v>Continuing Care Counselling</v>
      </c>
      <c r="B33" s="1" t="s">
        <v>162</v>
      </c>
      <c r="C33" s="2" t="s">
        <v>163</v>
      </c>
      <c r="D33" s="2" t="s">
        <v>159</v>
      </c>
      <c r="E33" s="1"/>
      <c r="F33" s="2" t="s">
        <v>160</v>
      </c>
      <c r="G33" s="2" t="s">
        <v>158</v>
      </c>
      <c r="H33" s="2" t="s">
        <v>161</v>
      </c>
    </row>
    <row r="34" spans="1:8" ht="315" x14ac:dyDescent="0.25">
      <c r="A34" s="4" t="str">
        <f>HYPERLINK("https://www.albertahealthservices.ca/findhealth/Service.aspx?serviceAtFacilityId=1016524","Postpartum Depression Support")</f>
        <v>Postpartum Depression Support</v>
      </c>
      <c r="B34" s="1" t="s">
        <v>124</v>
      </c>
      <c r="C34" s="2" t="s">
        <v>114</v>
      </c>
      <c r="D34" s="2" t="s">
        <v>164</v>
      </c>
      <c r="E34" s="1"/>
      <c r="F34" s="1" t="s">
        <v>34</v>
      </c>
      <c r="G34" s="1"/>
      <c r="H34" s="2" t="s">
        <v>165</v>
      </c>
    </row>
    <row r="35" spans="1:8" ht="390" x14ac:dyDescent="0.25">
      <c r="A35" s="4" t="str">
        <f>HYPERLINK("https://www.albertahealthservices.ca/findhealth/Service.aspx?serviceAtFacilityId=1102349","Children's Mental Health Treatment Services")</f>
        <v>Children's Mental Health Treatment Services</v>
      </c>
      <c r="B35" s="1" t="s">
        <v>168</v>
      </c>
      <c r="C35" s="2" t="s">
        <v>84</v>
      </c>
      <c r="D35" s="2" t="s">
        <v>166</v>
      </c>
      <c r="E35" s="2" t="s">
        <v>82</v>
      </c>
      <c r="F35" s="1" t="s">
        <v>34</v>
      </c>
      <c r="G35" s="2" t="s">
        <v>79</v>
      </c>
      <c r="H35" s="2" t="s">
        <v>167</v>
      </c>
    </row>
    <row r="36" spans="1:8" ht="180" x14ac:dyDescent="0.25">
      <c r="A36" s="4" t="str">
        <f>HYPERLINK("https://www.albertahealthservices.ca/findhealth/Service.aspx?serviceAtFacilityId=1103928","Community Addiction and Mental Health Services - Rural")</f>
        <v>Community Addiction and Mental Health Services - Rural</v>
      </c>
      <c r="B36" s="1" t="s">
        <v>172</v>
      </c>
      <c r="C36" s="2" t="s">
        <v>72</v>
      </c>
      <c r="D36" s="2" t="s">
        <v>169</v>
      </c>
      <c r="E36" s="1"/>
      <c r="F36" s="2" t="s">
        <v>170</v>
      </c>
      <c r="G36" s="2" t="s">
        <v>67</v>
      </c>
      <c r="H36" s="2" t="s">
        <v>171</v>
      </c>
    </row>
    <row r="37" spans="1:8" ht="90" x14ac:dyDescent="0.25">
      <c r="A37" s="4" t="str">
        <f>HYPERLINK("https://www.albertahealthservices.ca/findhealth/Service.aspx?serviceAtFacilityId=1112717","Addiction and Mental Health - Acute Inpatient Services, Child and Adolescent")</f>
        <v>Addiction and Mental Health - Acute Inpatient Services, Child and Adolescent</v>
      </c>
      <c r="B37" s="1" t="s">
        <v>177</v>
      </c>
      <c r="C37" s="2" t="s">
        <v>178</v>
      </c>
      <c r="D37" s="2" t="s">
        <v>174</v>
      </c>
      <c r="E37" s="2" t="s">
        <v>175</v>
      </c>
      <c r="F37" s="2" t="s">
        <v>23</v>
      </c>
      <c r="G37" s="2" t="s">
        <v>173</v>
      </c>
      <c r="H37" s="1" t="s">
        <v>176</v>
      </c>
    </row>
    <row r="38" spans="1:8" ht="270" x14ac:dyDescent="0.25">
      <c r="A38" s="4" t="str">
        <f>HYPERLINK("https://www.albertahealthservices.ca/findhealth/Service.aspx?serviceAtFacilityId=1104415","Designated Supportive Living Level 4 Dementia")</f>
        <v>Designated Supportive Living Level 4 Dementia</v>
      </c>
      <c r="B38" s="1" t="s">
        <v>181</v>
      </c>
      <c r="C38" s="2" t="s">
        <v>26</v>
      </c>
      <c r="D38" s="2" t="s">
        <v>179</v>
      </c>
      <c r="E38" s="1"/>
      <c r="F38" s="2" t="s">
        <v>23</v>
      </c>
      <c r="G38" s="2" t="s">
        <v>21</v>
      </c>
      <c r="H38" s="2" t="s">
        <v>180</v>
      </c>
    </row>
    <row r="39" spans="1:8" ht="345" x14ac:dyDescent="0.25">
      <c r="A39" s="4" t="str">
        <f>HYPERLINK("https://www.albertahealthservices.ca/findhealth/Service.aspx?serviceAtFacilityId=1104487","Designated Supportive Living Level 4 Dementia")</f>
        <v>Designated Supportive Living Level 4 Dementia</v>
      </c>
      <c r="B39" s="1" t="s">
        <v>185</v>
      </c>
      <c r="C39" s="2" t="s">
        <v>31</v>
      </c>
      <c r="D39" s="2" t="s">
        <v>183</v>
      </c>
      <c r="E39" s="1"/>
      <c r="F39" s="2" t="s">
        <v>23</v>
      </c>
      <c r="G39" s="2" t="s">
        <v>182</v>
      </c>
      <c r="H39" s="2" t="s">
        <v>184</v>
      </c>
    </row>
    <row r="40" spans="1:8" ht="375" x14ac:dyDescent="0.25">
      <c r="A40" s="1" t="str">
        <f>HYPERLINK("https://www.albertahealthservices.ca/findhealth/Service.aspx?serviceAtFacilityId=1102333","Mental Health Information, Promotion and Prevention")</f>
        <v>Mental Health Information, Promotion and Prevention</v>
      </c>
      <c r="B40" s="1" t="s">
        <v>188</v>
      </c>
      <c r="C40" s="2" t="s">
        <v>20</v>
      </c>
      <c r="D40" s="2" t="s">
        <v>186</v>
      </c>
      <c r="E40" s="2" t="s">
        <v>17</v>
      </c>
      <c r="F40" s="1" t="s">
        <v>34</v>
      </c>
      <c r="G40" s="2" t="s">
        <v>14</v>
      </c>
      <c r="H40" s="2" t="s">
        <v>187</v>
      </c>
    </row>
    <row r="41" spans="1:8" ht="375" x14ac:dyDescent="0.25">
      <c r="A41" s="1" t="str">
        <f>HYPERLINK("https://www.albertahealthservices.ca/findhealth/Service.aspx?serviceAtFacilityId=1079801","Mental Health Information, Promotion and Prevention")</f>
        <v>Mental Health Information, Promotion and Prevention</v>
      </c>
      <c r="B41" s="1" t="s">
        <v>192</v>
      </c>
      <c r="C41" s="2" t="s">
        <v>20</v>
      </c>
      <c r="D41" s="2" t="s">
        <v>189</v>
      </c>
      <c r="E41" s="2" t="s">
        <v>17</v>
      </c>
      <c r="F41" s="2" t="s">
        <v>190</v>
      </c>
      <c r="G41" s="2" t="s">
        <v>14</v>
      </c>
      <c r="H41" s="2" t="s">
        <v>191</v>
      </c>
    </row>
    <row r="42" spans="1:8" ht="180" x14ac:dyDescent="0.25">
      <c r="A42" s="1" t="str">
        <f>HYPERLINK("https://www.albertahealthservices.ca/findhealth/Service.aspx?serviceAtFacilityId=1102577","Emergency Services - Child and Adolescent Mental Health")</f>
        <v>Emergency Services - Child and Adolescent Mental Health</v>
      </c>
      <c r="B42" s="1" t="s">
        <v>197</v>
      </c>
      <c r="C42" s="2" t="s">
        <v>198</v>
      </c>
      <c r="D42" s="2" t="s">
        <v>194</v>
      </c>
      <c r="E42" s="1"/>
      <c r="F42" s="2" t="s">
        <v>195</v>
      </c>
      <c r="G42" s="2" t="s">
        <v>193</v>
      </c>
      <c r="H42" s="2" t="s">
        <v>196</v>
      </c>
    </row>
    <row r="43" spans="1:8" ht="409.5" x14ac:dyDescent="0.25">
      <c r="A43" s="1" t="str">
        <f>HYPERLINK("https://www.albertahealthservices.ca/findhealth/Service.aspx?serviceAtFacilityId=1118993","School Health Program")</f>
        <v>School Health Program</v>
      </c>
      <c r="B43" s="1" t="s">
        <v>203</v>
      </c>
      <c r="C43" s="2" t="s">
        <v>204</v>
      </c>
      <c r="D43" s="2" t="s">
        <v>200</v>
      </c>
      <c r="E43" s="1"/>
      <c r="F43" s="2" t="s">
        <v>201</v>
      </c>
      <c r="G43" s="2" t="s">
        <v>199</v>
      </c>
      <c r="H43" s="2" t="s">
        <v>202</v>
      </c>
    </row>
    <row r="44" spans="1:8" ht="225" x14ac:dyDescent="0.25">
      <c r="A44" s="1" t="str">
        <f>HYPERLINK("https://www.albertahealthservices.ca/findhealth/Service.aspx?serviceAtFacilityId=1116864","Addiction and Mental Health - Diversion Services")</f>
        <v>Addiction and Mental Health - Diversion Services</v>
      </c>
      <c r="B44" s="1" t="s">
        <v>208</v>
      </c>
      <c r="C44" s="2" t="s">
        <v>154</v>
      </c>
      <c r="D44" s="2" t="s">
        <v>205</v>
      </c>
      <c r="E44" s="2" t="s">
        <v>152</v>
      </c>
      <c r="F44" s="2" t="s">
        <v>206</v>
      </c>
      <c r="G44" s="2" t="s">
        <v>149</v>
      </c>
      <c r="H44" s="2" t="s">
        <v>207</v>
      </c>
    </row>
    <row r="45" spans="1:8" ht="409.5" x14ac:dyDescent="0.25">
      <c r="A45" s="1" t="str">
        <f>HYPERLINK("https://www.albertahealthservices.ca/findhealth/Service.aspx?serviceAtFacilityId=1102502","Eating Disorder Services")</f>
        <v>Eating Disorder Services</v>
      </c>
      <c r="B45" s="1" t="s">
        <v>148</v>
      </c>
      <c r="C45" s="2" t="s">
        <v>212</v>
      </c>
      <c r="D45" s="2" t="s">
        <v>210</v>
      </c>
      <c r="E45" s="1"/>
      <c r="F45" s="1" t="s">
        <v>34</v>
      </c>
      <c r="G45" s="2" t="s">
        <v>209</v>
      </c>
      <c r="H45" s="2" t="s">
        <v>211</v>
      </c>
    </row>
    <row r="46" spans="1:8" ht="165" x14ac:dyDescent="0.25">
      <c r="A46" s="1" t="str">
        <f>HYPERLINK("https://www.albertahealthservices.ca/findhealth/Service.aspx?serviceAtFacilityId=1019729","Autism Clinic")</f>
        <v>Autism Clinic</v>
      </c>
      <c r="B46" s="1" t="s">
        <v>216</v>
      </c>
      <c r="C46" s="2" t="s">
        <v>217</v>
      </c>
      <c r="D46" s="2" t="s">
        <v>214</v>
      </c>
      <c r="E46" s="1"/>
      <c r="F46" s="2" t="s">
        <v>215</v>
      </c>
      <c r="G46" s="2" t="s">
        <v>213</v>
      </c>
      <c r="H46" s="1"/>
    </row>
    <row r="47" spans="1:8" ht="225" x14ac:dyDescent="0.25">
      <c r="A47" s="1" t="str">
        <f>HYPERLINK("https://www.albertahealthservices.ca/findhealth/Service.aspx?serviceAtFacilityId=1111382","Addiction and Mental Health - Housing Services")</f>
        <v>Addiction and Mental Health - Housing Services</v>
      </c>
      <c r="B47" s="1" t="s">
        <v>221</v>
      </c>
      <c r="C47" s="2" t="s">
        <v>222</v>
      </c>
      <c r="D47" s="2" t="s">
        <v>219</v>
      </c>
      <c r="E47" s="1"/>
      <c r="F47" s="2" t="s">
        <v>220</v>
      </c>
      <c r="G47" s="2" t="s">
        <v>218</v>
      </c>
      <c r="H47" s="1"/>
    </row>
    <row r="48" spans="1:8" ht="409.5" x14ac:dyDescent="0.25">
      <c r="A48" s="1" t="str">
        <f>HYPERLINK("https://www.albertahealthservices.ca/findhealth/Service.aspx?serviceAtFacilityId=1082330","Mental Health Services")</f>
        <v>Mental Health Services</v>
      </c>
      <c r="B48" s="1" t="s">
        <v>226</v>
      </c>
      <c r="C48" s="2" t="s">
        <v>98</v>
      </c>
      <c r="D48" s="2" t="s">
        <v>223</v>
      </c>
      <c r="E48" s="1"/>
      <c r="F48" s="2" t="s">
        <v>224</v>
      </c>
      <c r="G48" s="2" t="s">
        <v>94</v>
      </c>
      <c r="H48" s="2" t="s">
        <v>225</v>
      </c>
    </row>
    <row r="49" spans="1:8" ht="409.5" x14ac:dyDescent="0.25">
      <c r="A49" s="1" t="str">
        <f>HYPERLINK("https://www.albertahealthservices.ca/findhealth/Service.aspx?serviceAtFacilityId=1115130","Provincial Family Violence Treatment Program")</f>
        <v>Provincial Family Violence Treatment Program</v>
      </c>
      <c r="B49" s="1" t="s">
        <v>231</v>
      </c>
      <c r="C49" s="2" t="s">
        <v>232</v>
      </c>
      <c r="D49" s="2" t="s">
        <v>228</v>
      </c>
      <c r="E49" s="1"/>
      <c r="F49" s="2" t="s">
        <v>229</v>
      </c>
      <c r="G49" s="2" t="s">
        <v>227</v>
      </c>
      <c r="H49" s="2" t="s">
        <v>230</v>
      </c>
    </row>
    <row r="50" spans="1:8" ht="225" x14ac:dyDescent="0.25">
      <c r="A50" s="1" t="str">
        <f>HYPERLINK("https://www.albertahealthservices.ca/findhealth/Service.aspx?serviceAtFacilityId=1102374","Psychogeriatric Consultation")</f>
        <v>Psychogeriatric Consultation</v>
      </c>
      <c r="B50" s="1" t="s">
        <v>77</v>
      </c>
      <c r="C50" s="2" t="s">
        <v>66</v>
      </c>
      <c r="D50" s="2" t="s">
        <v>233</v>
      </c>
      <c r="E50" s="1"/>
      <c r="F50" s="2" t="s">
        <v>234</v>
      </c>
      <c r="G50" s="2" t="s">
        <v>62</v>
      </c>
      <c r="H50" s="2" t="s">
        <v>235</v>
      </c>
    </row>
    <row r="51" spans="1:8" ht="105" x14ac:dyDescent="0.25">
      <c r="A51" s="1" t="str">
        <f>HYPERLINK("https://www.albertahealthservices.ca/findhealth/Service.aspx?serviceAtFacilityId=1046519","Women's Mental Health Clinic")</f>
        <v>Women's Mental Health Clinic</v>
      </c>
      <c r="B51" s="1" t="s">
        <v>197</v>
      </c>
      <c r="C51" s="2" t="s">
        <v>238</v>
      </c>
      <c r="D51" s="2" t="s">
        <v>237</v>
      </c>
      <c r="E51" s="1"/>
      <c r="F51" s="2" t="s">
        <v>117</v>
      </c>
      <c r="G51" s="2" t="s">
        <v>236</v>
      </c>
      <c r="H51" s="1"/>
    </row>
    <row r="52" spans="1:8" ht="180" x14ac:dyDescent="0.25">
      <c r="A52" s="1" t="str">
        <f>HYPERLINK("https://www.albertahealthservices.ca/findhealth/Service.aspx?serviceAtFacilityId=1120857","Mental Health Diversion Services")</f>
        <v>Mental Health Diversion Services</v>
      </c>
      <c r="B52" s="1" t="s">
        <v>243</v>
      </c>
      <c r="C52" s="2" t="s">
        <v>244</v>
      </c>
      <c r="D52" s="2" t="s">
        <v>240</v>
      </c>
      <c r="E52" s="1"/>
      <c r="F52" s="2" t="s">
        <v>241</v>
      </c>
      <c r="G52" s="2" t="s">
        <v>239</v>
      </c>
      <c r="H52" s="1" t="s">
        <v>242</v>
      </c>
    </row>
    <row r="53" spans="1:8" ht="120" x14ac:dyDescent="0.25">
      <c r="A53" s="1" t="str">
        <f>HYPERLINK("https://www.albertahealthservices.ca/findhealth/Service.aspx?serviceAtFacilityId=1115769","Mental Health Services")</f>
        <v>Mental Health Services</v>
      </c>
      <c r="B53" s="1" t="s">
        <v>248</v>
      </c>
      <c r="C53" s="2" t="s">
        <v>249</v>
      </c>
      <c r="D53" s="2" t="s">
        <v>246</v>
      </c>
      <c r="E53" s="1"/>
      <c r="F53" s="2" t="s">
        <v>201</v>
      </c>
      <c r="G53" s="2" t="s">
        <v>245</v>
      </c>
      <c r="H53" s="2" t="s">
        <v>247</v>
      </c>
    </row>
    <row r="54" spans="1:8" ht="285" x14ac:dyDescent="0.25">
      <c r="A54" s="1" t="str">
        <f>HYPERLINK("https://www.albertahealthservices.ca/findhealth/Service.aspx?serviceAtFacilityId=1051997","School Health Program")</f>
        <v>School Health Program</v>
      </c>
      <c r="B54" s="1" t="s">
        <v>252</v>
      </c>
      <c r="C54" s="2" t="s">
        <v>93</v>
      </c>
      <c r="D54" s="2" t="s">
        <v>250</v>
      </c>
      <c r="E54" s="1"/>
      <c r="F54" s="1" t="s">
        <v>34</v>
      </c>
      <c r="G54" s="1" t="s">
        <v>89</v>
      </c>
      <c r="H54" s="2" t="s">
        <v>251</v>
      </c>
    </row>
    <row r="55" spans="1:8" ht="390" x14ac:dyDescent="0.25">
      <c r="A55" s="1" t="str">
        <f>HYPERLINK("https://www.albertahealthservices.ca/findhealth/Service.aspx?serviceAtFacilityId=1115280","Community Helpers Program")</f>
        <v>Community Helpers Program</v>
      </c>
      <c r="B55" s="1" t="s">
        <v>255</v>
      </c>
      <c r="C55" s="2" t="s">
        <v>120</v>
      </c>
      <c r="D55" s="2" t="s">
        <v>253</v>
      </c>
      <c r="E55" s="1"/>
      <c r="F55" s="2" t="s">
        <v>117</v>
      </c>
      <c r="G55" s="2" t="s">
        <v>115</v>
      </c>
      <c r="H55" s="2" t="s">
        <v>254</v>
      </c>
    </row>
    <row r="56" spans="1:8" ht="405" x14ac:dyDescent="0.25">
      <c r="A56" s="1" t="str">
        <f>HYPERLINK("https://www.albertahealthservices.ca/findhealth/Service.aspx?serviceAtFacilityId=1024551","Community Addiction &amp; Mental Health - Adult &amp; Youth Services")</f>
        <v>Community Addiction &amp; Mental Health - Adult &amp; Youth Services</v>
      </c>
      <c r="B56" s="1" t="s">
        <v>259</v>
      </c>
      <c r="C56" s="2" t="s">
        <v>133</v>
      </c>
      <c r="D56" s="2" t="s">
        <v>256</v>
      </c>
      <c r="E56" s="1"/>
      <c r="F56" s="2" t="s">
        <v>257</v>
      </c>
      <c r="G56" s="2" t="s">
        <v>129</v>
      </c>
      <c r="H56" s="2" t="s">
        <v>258</v>
      </c>
    </row>
    <row r="57" spans="1:8" ht="409.5" x14ac:dyDescent="0.25">
      <c r="A57" s="1" t="str">
        <f>HYPERLINK("https://www.albertahealthservices.ca/findhealth/Service.aspx?serviceAtFacilityId=1043802","Continuing Care Counselling")</f>
        <v>Continuing Care Counselling</v>
      </c>
      <c r="B57" s="1" t="s">
        <v>263</v>
      </c>
      <c r="C57" s="2" t="s">
        <v>163</v>
      </c>
      <c r="D57" s="2" t="s">
        <v>260</v>
      </c>
      <c r="E57" s="1"/>
      <c r="F57" s="2" t="s">
        <v>261</v>
      </c>
      <c r="G57" s="2" t="s">
        <v>158</v>
      </c>
      <c r="H57" s="2" t="s">
        <v>262</v>
      </c>
    </row>
    <row r="58" spans="1:8" ht="285" x14ac:dyDescent="0.25">
      <c r="A58" s="1" t="str">
        <f>HYPERLINK("https://www.albertahealthservices.ca/findhealth/Service.aspx?serviceAtFacilityId=1103871","School Health Program")</f>
        <v>School Health Program</v>
      </c>
      <c r="B58" s="1" t="s">
        <v>267</v>
      </c>
      <c r="C58" s="2" t="s">
        <v>93</v>
      </c>
      <c r="D58" s="2" t="s">
        <v>264</v>
      </c>
      <c r="E58" s="1"/>
      <c r="F58" s="2" t="s">
        <v>265</v>
      </c>
      <c r="G58" s="1" t="s">
        <v>89</v>
      </c>
      <c r="H58" s="2" t="s">
        <v>266</v>
      </c>
    </row>
    <row r="59" spans="1:8" ht="165" x14ac:dyDescent="0.25">
      <c r="A59" s="1" t="str">
        <f>HYPERLINK("https://www.albertahealthservices.ca/findhealth/Service.aspx?serviceAtFacilityId=1103262","Correction Transition Team")</f>
        <v>Correction Transition Team</v>
      </c>
      <c r="B59" s="1" t="s">
        <v>270</v>
      </c>
      <c r="C59" s="2" t="s">
        <v>271</v>
      </c>
      <c r="D59" s="2" t="s">
        <v>269</v>
      </c>
      <c r="E59" s="1"/>
      <c r="F59" s="2" t="s">
        <v>190</v>
      </c>
      <c r="G59" s="2" t="s">
        <v>268</v>
      </c>
      <c r="H59" s="1"/>
    </row>
    <row r="60" spans="1:8" ht="150" x14ac:dyDescent="0.25">
      <c r="A60" s="1" t="str">
        <f>HYPERLINK("https://www.albertahealthservices.ca/findhealth/Service.aspx?serviceAtFacilityId=1075752","Complex Kids - Child &amp; Adolescent Addictions &amp; Mental Health")</f>
        <v>Complex Kids - Child &amp; Adolescent Addictions &amp; Mental Health</v>
      </c>
      <c r="B60" s="1" t="s">
        <v>276</v>
      </c>
      <c r="C60" s="2" t="s">
        <v>277</v>
      </c>
      <c r="D60" s="2" t="s">
        <v>273</v>
      </c>
      <c r="E60" s="2" t="s">
        <v>274</v>
      </c>
      <c r="F60" s="1" t="s">
        <v>34</v>
      </c>
      <c r="G60" s="2" t="s">
        <v>272</v>
      </c>
      <c r="H60" s="1" t="s">
        <v>275</v>
      </c>
    </row>
    <row r="61" spans="1:8" ht="135" x14ac:dyDescent="0.25">
      <c r="A61" s="1" t="str">
        <f>HYPERLINK("https://www.albertahealthservices.ca/findhealth/Service.aspx?serviceAtFacilityId=1107990","Mental Health Capacity Building - Developing Educational And Mental Health Supports")</f>
        <v>Mental Health Capacity Building - Developing Educational And Mental Health Supports</v>
      </c>
      <c r="B61" s="1" t="s">
        <v>281</v>
      </c>
      <c r="C61" s="2" t="s">
        <v>282</v>
      </c>
      <c r="D61" s="2" t="s">
        <v>279</v>
      </c>
      <c r="E61" s="2" t="s">
        <v>280</v>
      </c>
      <c r="F61" s="2" t="s">
        <v>117</v>
      </c>
      <c r="G61" s="1" t="s">
        <v>278</v>
      </c>
      <c r="H61" s="1"/>
    </row>
    <row r="62" spans="1:8" ht="409.5" x14ac:dyDescent="0.25">
      <c r="A62" s="1" t="str">
        <f>HYPERLINK("https://www.albertahealthservices.ca/findhealth/Service.aspx?serviceAtFacilityId=1119053","School Health Program")</f>
        <v>School Health Program</v>
      </c>
      <c r="B62" s="1" t="s">
        <v>285</v>
      </c>
      <c r="C62" s="2" t="s">
        <v>204</v>
      </c>
      <c r="D62" s="2" t="s">
        <v>283</v>
      </c>
      <c r="E62" s="1"/>
      <c r="F62" s="2" t="s">
        <v>201</v>
      </c>
      <c r="G62" s="2" t="s">
        <v>199</v>
      </c>
      <c r="H62" s="2" t="s">
        <v>284</v>
      </c>
    </row>
    <row r="63" spans="1:8" ht="165" x14ac:dyDescent="0.25">
      <c r="A63" s="1" t="str">
        <f>HYPERLINK("https://www.albertahealthservices.ca/findhealth/Service.aspx?serviceAtFacilityId=1111307","Addiction and Mental Health - Community Services, Child and Adolescent")</f>
        <v>Addiction and Mental Health - Community Services, Child and Adolescent</v>
      </c>
      <c r="B63" s="1" t="s">
        <v>291</v>
      </c>
      <c r="C63" s="2" t="s">
        <v>292</v>
      </c>
      <c r="D63" s="2" t="s">
        <v>287</v>
      </c>
      <c r="E63" s="2" t="s">
        <v>289</v>
      </c>
      <c r="F63" s="2" t="s">
        <v>288</v>
      </c>
      <c r="G63" s="2" t="s">
        <v>286</v>
      </c>
      <c r="H63" s="2" t="s">
        <v>290</v>
      </c>
    </row>
    <row r="64" spans="1:8" ht="390" x14ac:dyDescent="0.25">
      <c r="A64" s="1" t="str">
        <f>HYPERLINK("https://www.albertahealthservices.ca/findhealth/Service.aspx?serviceAtFacilityId=1104667","Designated Supportive Living Level 4 Dementia")</f>
        <v>Designated Supportive Living Level 4 Dementia</v>
      </c>
      <c r="B64" s="1" t="s">
        <v>295</v>
      </c>
      <c r="C64" s="2" t="s">
        <v>31</v>
      </c>
      <c r="D64" s="2" t="s">
        <v>293</v>
      </c>
      <c r="E64" s="1"/>
      <c r="F64" s="2" t="s">
        <v>23</v>
      </c>
      <c r="G64" s="2" t="s">
        <v>52</v>
      </c>
      <c r="H64" s="2" t="s">
        <v>294</v>
      </c>
    </row>
    <row r="65" spans="1:8" ht="120" x14ac:dyDescent="0.25">
      <c r="A65" s="1" t="str">
        <f>HYPERLINK("https://www.albertahealthservices.ca/findhealth/Service.aspx?serviceAtFacilityId=1117934","Family Connections - Skill Development")</f>
        <v>Family Connections - Skill Development</v>
      </c>
      <c r="B65" s="1" t="s">
        <v>301</v>
      </c>
      <c r="C65" s="2" t="s">
        <v>302</v>
      </c>
      <c r="D65" s="2" t="s">
        <v>297</v>
      </c>
      <c r="E65" s="2" t="s">
        <v>299</v>
      </c>
      <c r="F65" s="2" t="s">
        <v>298</v>
      </c>
      <c r="G65" s="2" t="s">
        <v>296</v>
      </c>
      <c r="H65" s="2" t="s">
        <v>300</v>
      </c>
    </row>
    <row r="66" spans="1:8" ht="180" x14ac:dyDescent="0.25">
      <c r="A66" s="1" t="str">
        <f>HYPERLINK("https://www.albertahealthservices.ca/findhealth/Service.aspx?serviceAtFacilityId=1102679","Adolescent Day Treatment Program")</f>
        <v>Adolescent Day Treatment Program</v>
      </c>
      <c r="B66" s="1" t="s">
        <v>307</v>
      </c>
      <c r="C66" s="2" t="s">
        <v>308</v>
      </c>
      <c r="D66" s="2" t="s">
        <v>304</v>
      </c>
      <c r="E66" s="2" t="s">
        <v>306</v>
      </c>
      <c r="F66" s="2" t="s">
        <v>305</v>
      </c>
      <c r="G66" s="2" t="s">
        <v>303</v>
      </c>
      <c r="H66" s="1"/>
    </row>
    <row r="67" spans="1:8" ht="135" x14ac:dyDescent="0.25">
      <c r="A67" s="1" t="str">
        <f>HYPERLINK("https://www.albertahealthservices.ca/findhealth/Service.aspx?serviceAtFacilityId=1120856","Community Mental Health Service")</f>
        <v>Community Mental Health Service</v>
      </c>
      <c r="B67" s="1" t="s">
        <v>243</v>
      </c>
      <c r="C67" s="2" t="s">
        <v>313</v>
      </c>
      <c r="D67" s="2" t="s">
        <v>310</v>
      </c>
      <c r="E67" s="1"/>
      <c r="F67" s="2" t="s">
        <v>311</v>
      </c>
      <c r="G67" s="2" t="s">
        <v>309</v>
      </c>
      <c r="H67" s="2" t="s">
        <v>312</v>
      </c>
    </row>
    <row r="68" spans="1:8" ht="270" x14ac:dyDescent="0.25">
      <c r="A68" s="1" t="str">
        <f>HYPERLINK("https://www.albertahealthservices.ca/findhealth/Service.aspx?serviceAtFacilityId=1093943","Addiction Services - Adult Residential")</f>
        <v>Addiction Services - Adult Residential</v>
      </c>
      <c r="B68" s="1" t="s">
        <v>317</v>
      </c>
      <c r="C68" s="2" t="s">
        <v>318</v>
      </c>
      <c r="D68" s="2" t="s">
        <v>315</v>
      </c>
      <c r="E68" s="1"/>
      <c r="F68" s="2" t="s">
        <v>23</v>
      </c>
      <c r="G68" s="2" t="s">
        <v>314</v>
      </c>
      <c r="H68" s="2" t="s">
        <v>316</v>
      </c>
    </row>
    <row r="69" spans="1:8" ht="135" x14ac:dyDescent="0.25">
      <c r="A69" s="1" t="str">
        <f>HYPERLINK("https://www.albertahealthservices.ca/findhealth/Service.aspx?serviceAtFacilityId=1005339","Psychiatric Emergency Services")</f>
        <v>Psychiatric Emergency Services</v>
      </c>
      <c r="B69" s="1" t="s">
        <v>103</v>
      </c>
      <c r="C69" s="2" t="s">
        <v>322</v>
      </c>
      <c r="D69" s="2" t="s">
        <v>320</v>
      </c>
      <c r="E69" s="1"/>
      <c r="F69" s="2" t="s">
        <v>321</v>
      </c>
      <c r="G69" s="2" t="s">
        <v>319</v>
      </c>
      <c r="H69" s="2" t="s">
        <v>102</v>
      </c>
    </row>
    <row r="70" spans="1:8" ht="180" x14ac:dyDescent="0.25">
      <c r="A70" s="1" t="str">
        <f>HYPERLINK("https://www.albertahealthservices.ca/findhealth/Service.aspx?serviceAtFacilityId=1120392","Regional Amputation Rehabilitation Clinic")</f>
        <v>Regional Amputation Rehabilitation Clinic</v>
      </c>
      <c r="B70" s="1" t="s">
        <v>216</v>
      </c>
      <c r="C70" s="2" t="s">
        <v>326</v>
      </c>
      <c r="D70" s="2" t="s">
        <v>324</v>
      </c>
      <c r="E70" s="1"/>
      <c r="F70" s="2" t="s">
        <v>325</v>
      </c>
      <c r="G70" s="2" t="s">
        <v>323</v>
      </c>
      <c r="H70" s="1"/>
    </row>
    <row r="71" spans="1:8" ht="255" x14ac:dyDescent="0.25">
      <c r="A71" s="1" t="str">
        <f>HYPERLINK("https://www.albertahealthservices.ca/findhealth/Service.aspx?serviceAtFacilityId=1111305","Addiction and Mental Health - Adult and Youth Intake")</f>
        <v>Addiction and Mental Health - Adult and Youth Intake</v>
      </c>
      <c r="B71" s="1" t="s">
        <v>330</v>
      </c>
      <c r="C71" s="2" t="s">
        <v>78</v>
      </c>
      <c r="D71" s="2" t="s">
        <v>327</v>
      </c>
      <c r="E71" s="1"/>
      <c r="F71" s="2" t="s">
        <v>328</v>
      </c>
      <c r="G71" s="2" t="s">
        <v>73</v>
      </c>
      <c r="H71" s="2" t="s">
        <v>329</v>
      </c>
    </row>
    <row r="72" spans="1:8" ht="409.5" x14ac:dyDescent="0.25">
      <c r="A72" s="1" t="str">
        <f>HYPERLINK("https://www.albertahealthservices.ca/findhealth/Service.aspx?serviceAtFacilityId=1082327","Mental Health Services")</f>
        <v>Mental Health Services</v>
      </c>
      <c r="B72" s="1" t="s">
        <v>148</v>
      </c>
      <c r="C72" s="2" t="s">
        <v>98</v>
      </c>
      <c r="D72" s="2" t="s">
        <v>331</v>
      </c>
      <c r="E72" s="1"/>
      <c r="F72" s="2" t="s">
        <v>332</v>
      </c>
      <c r="G72" s="2" t="s">
        <v>94</v>
      </c>
      <c r="H72" s="2" t="s">
        <v>333</v>
      </c>
    </row>
    <row r="73" spans="1:8" ht="409.5" x14ac:dyDescent="0.25">
      <c r="A73" s="1" t="str">
        <f>HYPERLINK("https://www.albertahealthservices.ca/findhealth/Service.aspx?serviceAtFacilityId=1001811","Continuing Care Counselling")</f>
        <v>Continuing Care Counselling</v>
      </c>
      <c r="B73" s="1" t="s">
        <v>336</v>
      </c>
      <c r="C73" s="2" t="s">
        <v>163</v>
      </c>
      <c r="D73" s="2" t="s">
        <v>334</v>
      </c>
      <c r="E73" s="1"/>
      <c r="F73" s="2" t="s">
        <v>261</v>
      </c>
      <c r="G73" s="2" t="s">
        <v>158</v>
      </c>
      <c r="H73" s="2" t="s">
        <v>335</v>
      </c>
    </row>
    <row r="74" spans="1:8" ht="409.5" x14ac:dyDescent="0.25">
      <c r="A74" s="1" t="str">
        <f>HYPERLINK("https://www.albertahealthservices.ca/findhealth/Service.aspx?serviceAtFacilityId=1108501","Provincial Family Violence Treatment Program")</f>
        <v>Provincial Family Violence Treatment Program</v>
      </c>
      <c r="B74" s="1" t="s">
        <v>208</v>
      </c>
      <c r="C74" s="2" t="s">
        <v>232</v>
      </c>
      <c r="D74" s="2" t="s">
        <v>337</v>
      </c>
      <c r="E74" s="1"/>
      <c r="F74" s="1" t="s">
        <v>34</v>
      </c>
      <c r="G74" s="2" t="s">
        <v>227</v>
      </c>
      <c r="H74" s="2" t="s">
        <v>338</v>
      </c>
    </row>
    <row r="75" spans="1:8" ht="315" x14ac:dyDescent="0.25">
      <c r="A75" s="1" t="str">
        <f>HYPERLINK("https://www.albertahealthservices.ca/findhealth/Service.aspx?serviceAtFacilityId=1001417","Postpartum Depression Support")</f>
        <v>Postpartum Depression Support</v>
      </c>
      <c r="B75" s="1" t="s">
        <v>342</v>
      </c>
      <c r="C75" s="2" t="s">
        <v>114</v>
      </c>
      <c r="D75" s="2" t="s">
        <v>339</v>
      </c>
      <c r="E75" s="1"/>
      <c r="F75" s="2" t="s">
        <v>340</v>
      </c>
      <c r="G75" s="1"/>
      <c r="H75" s="2" t="s">
        <v>341</v>
      </c>
    </row>
    <row r="76" spans="1:8" ht="409.5" x14ac:dyDescent="0.25">
      <c r="A76" s="1" t="str">
        <f>HYPERLINK("https://www.albertahealthservices.ca/findhealth/Service.aspx?serviceAtFacilityId=1113623","School Health Program")</f>
        <v>School Health Program</v>
      </c>
      <c r="B76" s="1" t="s">
        <v>345</v>
      </c>
      <c r="C76" s="2" t="s">
        <v>204</v>
      </c>
      <c r="D76" s="2" t="s">
        <v>343</v>
      </c>
      <c r="E76" s="1"/>
      <c r="F76" s="2" t="s">
        <v>201</v>
      </c>
      <c r="G76" s="2" t="s">
        <v>199</v>
      </c>
      <c r="H76" s="2" t="s">
        <v>344</v>
      </c>
    </row>
    <row r="77" spans="1:8" ht="375" x14ac:dyDescent="0.25">
      <c r="A77" s="1" t="str">
        <f>HYPERLINK("https://www.albertahealthservices.ca/findhealth/Service.aspx?serviceAtFacilityId=1076058","Sexual and Reproductive Health")</f>
        <v>Sexual and Reproductive Health</v>
      </c>
      <c r="B77" s="1" t="s">
        <v>350</v>
      </c>
      <c r="C77" s="2" t="s">
        <v>351</v>
      </c>
      <c r="D77" s="2" t="s">
        <v>347</v>
      </c>
      <c r="E77" s="1"/>
      <c r="F77" s="2" t="s">
        <v>348</v>
      </c>
      <c r="G77" s="2" t="s">
        <v>346</v>
      </c>
      <c r="H77" s="2" t="s">
        <v>349</v>
      </c>
    </row>
    <row r="78" spans="1:8" ht="405" x14ac:dyDescent="0.25">
      <c r="A78" s="1" t="str">
        <f>HYPERLINK("https://www.albertahealthservices.ca/findhealth/Service.aspx?serviceAtFacilityId=1112604","Community Addiction &amp; Mental Health - Adult &amp; Youth Services")</f>
        <v>Community Addiction &amp; Mental Health - Adult &amp; Youth Services</v>
      </c>
      <c r="B78" s="1" t="s">
        <v>355</v>
      </c>
      <c r="C78" s="2" t="s">
        <v>133</v>
      </c>
      <c r="D78" s="2" t="s">
        <v>352</v>
      </c>
      <c r="E78" s="1"/>
      <c r="F78" s="2" t="s">
        <v>353</v>
      </c>
      <c r="G78" s="2" t="s">
        <v>129</v>
      </c>
      <c r="H78" s="2" t="s">
        <v>354</v>
      </c>
    </row>
    <row r="79" spans="1:8" ht="195" x14ac:dyDescent="0.25">
      <c r="A79" s="1" t="str">
        <f>HYPERLINK("https://www.albertahealthservices.ca/findhealth/Service.aspx?serviceAtFacilityId=1099659","Mental Health Urgent Care")</f>
        <v>Mental Health Urgent Care</v>
      </c>
      <c r="B79" s="1" t="s">
        <v>50</v>
      </c>
      <c r="C79" s="2" t="s">
        <v>360</v>
      </c>
      <c r="D79" s="2" t="s">
        <v>357</v>
      </c>
      <c r="E79" s="1"/>
      <c r="F79" s="2" t="s">
        <v>358</v>
      </c>
      <c r="G79" s="2" t="s">
        <v>356</v>
      </c>
      <c r="H79" s="2" t="s">
        <v>359</v>
      </c>
    </row>
    <row r="80" spans="1:8" ht="409.5" x14ac:dyDescent="0.25">
      <c r="A80" s="1" t="str">
        <f>HYPERLINK("https://www.albertahealthservices.ca/findhealth/Service.aspx?serviceAtFacilityId=1044063","Continuing Care Counselling")</f>
        <v>Continuing Care Counselling</v>
      </c>
      <c r="B80" s="1" t="s">
        <v>363</v>
      </c>
      <c r="C80" s="2" t="s">
        <v>163</v>
      </c>
      <c r="D80" s="2" t="s">
        <v>361</v>
      </c>
      <c r="E80" s="1"/>
      <c r="F80" s="2" t="s">
        <v>261</v>
      </c>
      <c r="G80" s="2" t="s">
        <v>158</v>
      </c>
      <c r="H80" s="2" t="s">
        <v>362</v>
      </c>
    </row>
    <row r="81" spans="1:8" ht="390" x14ac:dyDescent="0.25">
      <c r="A81" s="1" t="str">
        <f>HYPERLINK("https://www.albertahealthservices.ca/findhealth/Service.aspx?serviceAtFacilityId=1102356","Children's Mental Health Treatment Services")</f>
        <v>Children's Mental Health Treatment Services</v>
      </c>
      <c r="B81" s="1" t="s">
        <v>148</v>
      </c>
      <c r="C81" s="2" t="s">
        <v>84</v>
      </c>
      <c r="D81" s="2" t="s">
        <v>364</v>
      </c>
      <c r="E81" s="2" t="s">
        <v>82</v>
      </c>
      <c r="F81" s="1" t="s">
        <v>34</v>
      </c>
      <c r="G81" s="2" t="s">
        <v>79</v>
      </c>
      <c r="H81" s="2" t="s">
        <v>365</v>
      </c>
    </row>
    <row r="82" spans="1:8" ht="120" x14ac:dyDescent="0.25">
      <c r="A82" s="1" t="str">
        <f>HYPERLINK("https://www.albertahealthservices.ca/findhealth/Service.aspx?serviceAtFacilityId=1093578","Psychiatry - Inpatient")</f>
        <v>Psychiatry - Inpatient</v>
      </c>
      <c r="B82" s="1" t="s">
        <v>108</v>
      </c>
      <c r="C82" s="2" t="s">
        <v>369</v>
      </c>
      <c r="D82" s="2" t="s">
        <v>367</v>
      </c>
      <c r="E82" s="1"/>
      <c r="F82" s="1" t="s">
        <v>34</v>
      </c>
      <c r="G82" s="2" t="s">
        <v>366</v>
      </c>
      <c r="H82" s="2" t="s">
        <v>368</v>
      </c>
    </row>
    <row r="83" spans="1:8" ht="210" x14ac:dyDescent="0.25">
      <c r="A83" s="1" t="str">
        <f>HYPERLINK("https://www.albertahealthservices.ca/findhealth/Service.aspx?serviceAtFacilityId=1120068","Community Geriatric Mental Health Service")</f>
        <v>Community Geriatric Mental Health Service</v>
      </c>
      <c r="B83" s="1" t="s">
        <v>374</v>
      </c>
      <c r="C83" s="2" t="s">
        <v>375</v>
      </c>
      <c r="D83" s="2" t="s">
        <v>371</v>
      </c>
      <c r="E83" s="1"/>
      <c r="F83" s="2" t="s">
        <v>372</v>
      </c>
      <c r="G83" s="2" t="s">
        <v>370</v>
      </c>
      <c r="H83" s="2" t="s">
        <v>373</v>
      </c>
    </row>
    <row r="84" spans="1:8" ht="180" x14ac:dyDescent="0.25">
      <c r="A84" s="1" t="str">
        <f>HYPERLINK("https://www.albertahealthservices.ca/findhealth/Service.aspx?serviceAtFacilityId=1032829","Emergency Services - Child and Adolescent Mental Health")</f>
        <v>Emergency Services - Child and Adolescent Mental Health</v>
      </c>
      <c r="B84" s="1" t="s">
        <v>378</v>
      </c>
      <c r="C84" s="2" t="s">
        <v>198</v>
      </c>
      <c r="D84" s="2" t="s">
        <v>376</v>
      </c>
      <c r="E84" s="1"/>
      <c r="F84" s="2" t="s">
        <v>195</v>
      </c>
      <c r="G84" s="2" t="s">
        <v>193</v>
      </c>
      <c r="H84" s="2" t="s">
        <v>377</v>
      </c>
    </row>
    <row r="85" spans="1:8" ht="409.5" x14ac:dyDescent="0.25">
      <c r="A85" s="1" t="str">
        <f>HYPERLINK("https://www.albertahealthservices.ca/findhealth/Service.aspx?serviceAtFacilityId=1102300","Adult Mental Health Treatment Services")</f>
        <v>Adult Mental Health Treatment Services</v>
      </c>
      <c r="B85" s="1" t="s">
        <v>168</v>
      </c>
      <c r="C85" s="2" t="s">
        <v>125</v>
      </c>
      <c r="D85" s="2" t="s">
        <v>166</v>
      </c>
      <c r="E85" s="1"/>
      <c r="F85" s="1" t="s">
        <v>34</v>
      </c>
      <c r="G85" s="2" t="s">
        <v>121</v>
      </c>
      <c r="H85" s="2" t="s">
        <v>379</v>
      </c>
    </row>
    <row r="86" spans="1:8" ht="270" x14ac:dyDescent="0.25">
      <c r="A86" s="1" t="str">
        <f>HYPERLINK("https://www.albertahealthservices.ca/findhealth/Service.aspx?serviceAtFacilityId=1118573","Adult Addiction Services")</f>
        <v>Adult Addiction Services</v>
      </c>
      <c r="B86" s="1" t="s">
        <v>383</v>
      </c>
      <c r="C86" s="2" t="s">
        <v>384</v>
      </c>
      <c r="D86" s="2" t="s">
        <v>381</v>
      </c>
      <c r="E86" s="1"/>
      <c r="F86" s="2" t="s">
        <v>382</v>
      </c>
      <c r="G86" s="2" t="s">
        <v>380</v>
      </c>
      <c r="H86" s="1"/>
    </row>
    <row r="87" spans="1:8" ht="409.5" x14ac:dyDescent="0.25">
      <c r="A87" s="1" t="str">
        <f>HYPERLINK("https://www.albertahealthservices.ca/findhealth/Service.aspx?serviceAtFacilityId=1102504","Eating Disorder Services")</f>
        <v>Eating Disorder Services</v>
      </c>
      <c r="B87" s="1" t="s">
        <v>387</v>
      </c>
      <c r="C87" s="2" t="s">
        <v>212</v>
      </c>
      <c r="D87" s="2" t="s">
        <v>385</v>
      </c>
      <c r="E87" s="1"/>
      <c r="F87" s="1" t="s">
        <v>34</v>
      </c>
      <c r="G87" s="2" t="s">
        <v>209</v>
      </c>
      <c r="H87" s="2" t="s">
        <v>386</v>
      </c>
    </row>
    <row r="88" spans="1:8" ht="409.5" x14ac:dyDescent="0.25">
      <c r="A88" s="1" t="str">
        <f>HYPERLINK("https://www.albertahealthservices.ca/findhealth/Service.aspx?serviceAtFacilityId=1119071","School Health Program")</f>
        <v>School Health Program</v>
      </c>
      <c r="B88" s="1" t="s">
        <v>390</v>
      </c>
      <c r="C88" s="2" t="s">
        <v>204</v>
      </c>
      <c r="D88" s="2" t="s">
        <v>388</v>
      </c>
      <c r="E88" s="1"/>
      <c r="F88" s="2" t="s">
        <v>201</v>
      </c>
      <c r="G88" s="2" t="s">
        <v>199</v>
      </c>
      <c r="H88" s="2" t="s">
        <v>389</v>
      </c>
    </row>
    <row r="89" spans="1:8" ht="409.5" x14ac:dyDescent="0.25">
      <c r="A89" s="1" t="str">
        <f>HYPERLINK("https://www.albertahealthservices.ca/findhealth/Service.aspx?serviceAtFacilityId=1004790","Mental Health Services")</f>
        <v>Mental Health Services</v>
      </c>
      <c r="B89" s="1" t="s">
        <v>394</v>
      </c>
      <c r="C89" s="2" t="s">
        <v>98</v>
      </c>
      <c r="D89" s="2" t="s">
        <v>391</v>
      </c>
      <c r="E89" s="1"/>
      <c r="F89" s="2" t="s">
        <v>392</v>
      </c>
      <c r="G89" s="2" t="s">
        <v>94</v>
      </c>
      <c r="H89" s="2" t="s">
        <v>393</v>
      </c>
    </row>
    <row r="90" spans="1:8" ht="315" x14ac:dyDescent="0.25">
      <c r="A90" s="1" t="str">
        <f>HYPERLINK("https://www.albertahealthservices.ca/findhealth/Service.aspx?serviceAtFacilityId=1088153","Postpartum Depression Support")</f>
        <v>Postpartum Depression Support</v>
      </c>
      <c r="B90" s="1" t="s">
        <v>397</v>
      </c>
      <c r="C90" s="2" t="s">
        <v>114</v>
      </c>
      <c r="D90" s="2" t="s">
        <v>395</v>
      </c>
      <c r="E90" s="1"/>
      <c r="F90" s="1" t="s">
        <v>34</v>
      </c>
      <c r="G90" s="1"/>
      <c r="H90" s="2" t="s">
        <v>396</v>
      </c>
    </row>
    <row r="91" spans="1:8" ht="195" x14ac:dyDescent="0.25">
      <c r="A91" s="1" t="str">
        <f>HYPERLINK("https://www.albertahealthservices.ca/findhealth/Service.aspx?serviceAtFacilityId=1005216","Addiction and Mental Health - Eating Disorder Program")</f>
        <v>Addiction and Mental Health - Eating Disorder Program</v>
      </c>
      <c r="B91" s="1" t="s">
        <v>401</v>
      </c>
      <c r="C91" s="2" t="s">
        <v>402</v>
      </c>
      <c r="D91" s="2" t="s">
        <v>399</v>
      </c>
      <c r="E91" s="2" t="s">
        <v>400</v>
      </c>
      <c r="F91" s="2" t="s">
        <v>23</v>
      </c>
      <c r="G91" s="2" t="s">
        <v>398</v>
      </c>
      <c r="H91" s="1"/>
    </row>
    <row r="92" spans="1:8" ht="75" x14ac:dyDescent="0.25">
      <c r="A92" s="1" t="str">
        <f>HYPERLINK("https://www.albertahealthservices.ca/findhealth/Service.aspx?serviceAtFacilityId=1040606","Sexually Transmitted Infection and Birth Control Clinic")</f>
        <v>Sexually Transmitted Infection and Birth Control Clinic</v>
      </c>
      <c r="B92" s="1" t="s">
        <v>406</v>
      </c>
      <c r="C92" s="2" t="s">
        <v>407</v>
      </c>
      <c r="D92" s="2" t="s">
        <v>404</v>
      </c>
      <c r="E92" s="1"/>
      <c r="F92" s="2" t="s">
        <v>405</v>
      </c>
      <c r="G92" s="2" t="s">
        <v>403</v>
      </c>
      <c r="H92" s="1"/>
    </row>
    <row r="93" spans="1:8" ht="315" x14ac:dyDescent="0.25">
      <c r="A93" s="1" t="str">
        <f>HYPERLINK("https://www.albertahealthservices.ca/findhealth/Service.aspx?serviceAtFacilityId=1090172","Postpartum Depression Support")</f>
        <v>Postpartum Depression Support</v>
      </c>
      <c r="B93" s="1" t="s">
        <v>410</v>
      </c>
      <c r="C93" s="2" t="s">
        <v>114</v>
      </c>
      <c r="D93" s="2" t="s">
        <v>408</v>
      </c>
      <c r="E93" s="1"/>
      <c r="F93" s="1" t="s">
        <v>34</v>
      </c>
      <c r="G93" s="1"/>
      <c r="H93" s="2" t="s">
        <v>409</v>
      </c>
    </row>
    <row r="94" spans="1:8" ht="255" x14ac:dyDescent="0.25">
      <c r="A94" s="1" t="str">
        <f>HYPERLINK("https://www.albertahealthservices.ca/findhealth/Service.aspx?serviceAtFacilityId=1112963","Community Addiction and Mental Health Services - Rural")</f>
        <v>Community Addiction and Mental Health Services - Rural</v>
      </c>
      <c r="B94" s="1" t="s">
        <v>248</v>
      </c>
      <c r="C94" s="2" t="s">
        <v>72</v>
      </c>
      <c r="D94" s="2" t="s">
        <v>246</v>
      </c>
      <c r="E94" s="1"/>
      <c r="F94" s="2" t="s">
        <v>411</v>
      </c>
      <c r="G94" s="2" t="s">
        <v>67</v>
      </c>
      <c r="H94" s="2" t="s">
        <v>412</v>
      </c>
    </row>
    <row r="95" spans="1:8" ht="390" x14ac:dyDescent="0.25">
      <c r="A95" s="1" t="str">
        <f>HYPERLINK("https://www.albertahealthservices.ca/findhealth/Service.aspx?serviceAtFacilityId=1104627","Designated Supportive Living Level 4 Dementia")</f>
        <v>Designated Supportive Living Level 4 Dementia</v>
      </c>
      <c r="B95" s="1" t="s">
        <v>415</v>
      </c>
      <c r="C95" s="2" t="s">
        <v>31</v>
      </c>
      <c r="D95" s="2" t="s">
        <v>413</v>
      </c>
      <c r="E95" s="1"/>
      <c r="F95" s="2" t="s">
        <v>23</v>
      </c>
      <c r="G95" s="2" t="s">
        <v>52</v>
      </c>
      <c r="H95" s="2" t="s">
        <v>414</v>
      </c>
    </row>
    <row r="96" spans="1:8" ht="390" x14ac:dyDescent="0.25">
      <c r="A96" s="1" t="str">
        <f>HYPERLINK("https://www.albertahealthservices.ca/findhealth/Service.aspx?serviceAtFacilityId=1102367","Children's Mental Health Treatment Services")</f>
        <v>Children's Mental Health Treatment Services</v>
      </c>
      <c r="B96" s="1" t="s">
        <v>113</v>
      </c>
      <c r="C96" s="2" t="s">
        <v>84</v>
      </c>
      <c r="D96" s="2" t="s">
        <v>416</v>
      </c>
      <c r="E96" s="2" t="s">
        <v>82</v>
      </c>
      <c r="F96" s="2" t="s">
        <v>417</v>
      </c>
      <c r="G96" s="2" t="s">
        <v>79</v>
      </c>
      <c r="H96" s="2" t="s">
        <v>418</v>
      </c>
    </row>
    <row r="97" spans="1:8" ht="330" x14ac:dyDescent="0.25">
      <c r="A97" s="1" t="str">
        <f>HYPERLINK("https://www.albertahealthservices.ca/findhealth/Service.aspx?serviceAtFacilityId=1106113","Pastoral Care Services")</f>
        <v>Pastoral Care Services</v>
      </c>
      <c r="B97" s="1" t="s">
        <v>422</v>
      </c>
      <c r="C97" s="2" t="s">
        <v>423</v>
      </c>
      <c r="D97" s="2" t="s">
        <v>420</v>
      </c>
      <c r="E97" s="1"/>
      <c r="F97" s="1" t="s">
        <v>34</v>
      </c>
      <c r="G97" s="2" t="s">
        <v>419</v>
      </c>
      <c r="H97" s="2" t="s">
        <v>421</v>
      </c>
    </row>
    <row r="98" spans="1:8" ht="330" x14ac:dyDescent="0.25">
      <c r="A98" s="1" t="str">
        <f>HYPERLINK("https://www.albertahealthservices.ca/findhealth/Service.aspx?serviceAtFacilityId=1049274","Pastoral Care Services")</f>
        <v>Pastoral Care Services</v>
      </c>
      <c r="B98" s="1" t="s">
        <v>427</v>
      </c>
      <c r="C98" s="2" t="s">
        <v>423</v>
      </c>
      <c r="D98" s="2" t="s">
        <v>424</v>
      </c>
      <c r="E98" s="1"/>
      <c r="F98" s="2" t="s">
        <v>425</v>
      </c>
      <c r="G98" s="2" t="s">
        <v>419</v>
      </c>
      <c r="H98" s="2" t="s">
        <v>426</v>
      </c>
    </row>
    <row r="99" spans="1:8" ht="210" x14ac:dyDescent="0.25">
      <c r="A99" s="1" t="str">
        <f>HYPERLINK("https://www.albertahealthservices.ca/findhealth/Service.aspx?serviceAtFacilityId=1102251","Community Geographic Team Resources - Mental Health")</f>
        <v>Community Geographic Team Resources - Mental Health</v>
      </c>
      <c r="B99" s="1" t="s">
        <v>431</v>
      </c>
      <c r="C99" s="2" t="s">
        <v>432</v>
      </c>
      <c r="D99" s="2" t="s">
        <v>429</v>
      </c>
      <c r="E99" s="1"/>
      <c r="F99" s="2" t="s">
        <v>430</v>
      </c>
      <c r="G99" s="2" t="s">
        <v>428</v>
      </c>
      <c r="H99" s="1"/>
    </row>
    <row r="100" spans="1:8" ht="255" x14ac:dyDescent="0.25">
      <c r="A100" s="1" t="str">
        <f>HYPERLINK("https://www.albertahealthservices.ca/findhealth/Service.aspx?serviceAtFacilityId=1041912","Labour and Delivery Services, Postpartum and Newborn Care")</f>
        <v>Labour and Delivery Services, Postpartum and Newborn Care</v>
      </c>
      <c r="B100" s="1" t="s">
        <v>103</v>
      </c>
      <c r="C100" s="2" t="s">
        <v>109</v>
      </c>
      <c r="D100" s="2" t="s">
        <v>433</v>
      </c>
      <c r="E100" s="1"/>
      <c r="F100" s="2" t="s">
        <v>23</v>
      </c>
      <c r="G100" s="2" t="s">
        <v>105</v>
      </c>
      <c r="H100" s="2" t="s">
        <v>434</v>
      </c>
    </row>
    <row r="101" spans="1:8" ht="255" x14ac:dyDescent="0.25">
      <c r="A101" s="1" t="str">
        <f>HYPERLINK("https://www.albertahealthservices.ca/findhealth/Service.aspx?serviceAtFacilityId=1118682","Designated Supportive Living Level 4 Dementia")</f>
        <v>Designated Supportive Living Level 4 Dementia</v>
      </c>
      <c r="B101" s="1" t="s">
        <v>437</v>
      </c>
      <c r="C101" s="2" t="s">
        <v>43</v>
      </c>
      <c r="D101" s="2" t="s">
        <v>435</v>
      </c>
      <c r="E101" s="1"/>
      <c r="F101" s="2" t="s">
        <v>40</v>
      </c>
      <c r="G101" s="2" t="s">
        <v>38</v>
      </c>
      <c r="H101" s="2" t="s">
        <v>436</v>
      </c>
    </row>
    <row r="102" spans="1:8" ht="225" x14ac:dyDescent="0.25">
      <c r="A102" s="1" t="str">
        <f>HYPERLINK("https://www.albertahealthservices.ca/findhealth/Service.aspx?serviceAtFacilityId=1047129","AlbertaQuits Helpline")</f>
        <v>AlbertaQuits Helpline</v>
      </c>
      <c r="B102" s="1" t="s">
        <v>441</v>
      </c>
      <c r="C102" s="2" t="s">
        <v>442</v>
      </c>
      <c r="D102" s="2" t="s">
        <v>439</v>
      </c>
      <c r="E102" s="1"/>
      <c r="F102" s="2" t="s">
        <v>440</v>
      </c>
      <c r="G102" s="2" t="s">
        <v>438</v>
      </c>
      <c r="H102" s="1"/>
    </row>
    <row r="103" spans="1:8" ht="315" x14ac:dyDescent="0.25">
      <c r="A103" s="1" t="str">
        <f>HYPERLINK("https://www.albertahealthservices.ca/findhealth/Service.aspx?serviceAtFacilityId=1001420","Postpartum Depression Support")</f>
        <v>Postpartum Depression Support</v>
      </c>
      <c r="B103" s="1" t="s">
        <v>445</v>
      </c>
      <c r="C103" s="2" t="s">
        <v>114</v>
      </c>
      <c r="D103" s="2" t="s">
        <v>443</v>
      </c>
      <c r="E103" s="1"/>
      <c r="F103" s="2" t="s">
        <v>340</v>
      </c>
      <c r="G103" s="1"/>
      <c r="H103" s="2" t="s">
        <v>444</v>
      </c>
    </row>
    <row r="104" spans="1:8" ht="330" x14ac:dyDescent="0.25">
      <c r="A104" s="1" t="str">
        <f>HYPERLINK("https://www.albertahealthservices.ca/findhealth/Service.aspx?serviceAtFacilityId=1048513","Pastoral Care Services")</f>
        <v>Pastoral Care Services</v>
      </c>
      <c r="B104" s="1" t="s">
        <v>448</v>
      </c>
      <c r="C104" s="2" t="s">
        <v>423</v>
      </c>
      <c r="D104" s="2" t="s">
        <v>446</v>
      </c>
      <c r="E104" s="1"/>
      <c r="F104" s="1" t="s">
        <v>34</v>
      </c>
      <c r="G104" s="2" t="s">
        <v>419</v>
      </c>
      <c r="H104" s="2" t="s">
        <v>447</v>
      </c>
    </row>
    <row r="105" spans="1:8" ht="120" x14ac:dyDescent="0.25">
      <c r="A105" s="1" t="str">
        <f>HYPERLINK("https://www.albertahealthservices.ca/findhealth/Service.aspx?serviceAtFacilityId=1115864","Spiritual Care Services")</f>
        <v>Spiritual Care Services</v>
      </c>
      <c r="B105" s="1" t="s">
        <v>452</v>
      </c>
      <c r="C105" s="2" t="s">
        <v>453</v>
      </c>
      <c r="D105" s="2" t="s">
        <v>450</v>
      </c>
      <c r="E105" s="1"/>
      <c r="F105" s="1" t="s">
        <v>34</v>
      </c>
      <c r="G105" s="2" t="s">
        <v>449</v>
      </c>
      <c r="H105" s="2" t="s">
        <v>451</v>
      </c>
    </row>
    <row r="106" spans="1:8" ht="120" x14ac:dyDescent="0.25">
      <c r="A106" s="1" t="str">
        <f>HYPERLINK("https://www.albertahealthservices.ca/findhealth/Service.aspx?serviceAtFacilityId=1023513","Pediatric Neuropsychology Service")</f>
        <v>Pediatric Neuropsychology Service</v>
      </c>
      <c r="B106" s="1" t="s">
        <v>456</v>
      </c>
      <c r="C106" s="2" t="s">
        <v>457</v>
      </c>
      <c r="D106" s="2" t="s">
        <v>455</v>
      </c>
      <c r="E106" s="1"/>
      <c r="F106" s="2" t="s">
        <v>311</v>
      </c>
      <c r="G106" s="2" t="s">
        <v>454</v>
      </c>
      <c r="H106" s="1"/>
    </row>
    <row r="107" spans="1:8" ht="150" x14ac:dyDescent="0.25">
      <c r="A107" s="1" t="str">
        <f>HYPERLINK("https://www.albertahealthservices.ca/findhealth/Service.aspx?serviceAtFacilityId=1107406","Mental Health Capacity Building - Together We're Better")</f>
        <v>Mental Health Capacity Building - Together We're Better</v>
      </c>
      <c r="B107" s="1" t="s">
        <v>461</v>
      </c>
      <c r="C107" s="2" t="s">
        <v>462</v>
      </c>
      <c r="D107" s="2" t="s">
        <v>459</v>
      </c>
      <c r="E107" s="1"/>
      <c r="F107" s="2" t="s">
        <v>117</v>
      </c>
      <c r="G107" s="2" t="s">
        <v>458</v>
      </c>
      <c r="H107" s="2" t="s">
        <v>460</v>
      </c>
    </row>
    <row r="108" spans="1:8" ht="330" x14ac:dyDescent="0.25">
      <c r="A108" s="1" t="str">
        <f>HYPERLINK("https://www.albertahealthservices.ca/findhealth/Service.aspx?serviceAtFacilityId=1032037","Adult Psychosis Program")</f>
        <v>Adult Psychosis Program</v>
      </c>
      <c r="B108" s="1" t="s">
        <v>197</v>
      </c>
      <c r="C108" s="2" t="s">
        <v>466</v>
      </c>
      <c r="D108" s="2" t="s">
        <v>464</v>
      </c>
      <c r="E108" s="1"/>
      <c r="F108" s="2" t="s">
        <v>465</v>
      </c>
      <c r="G108" s="2" t="s">
        <v>463</v>
      </c>
      <c r="H108" s="1"/>
    </row>
    <row r="109" spans="1:8" ht="150" x14ac:dyDescent="0.25">
      <c r="A109" s="1" t="str">
        <f>HYPERLINK("https://www.albertahealthservices.ca/findhealth/Service.aspx?serviceAtFacilityId=1110314","Seniors Mental Health Program Community Services, Seniors Outreach Nurses")</f>
        <v>Seniors Mental Health Program Community Services, Seniors Outreach Nurses</v>
      </c>
      <c r="B109" s="1" t="s">
        <v>470</v>
      </c>
      <c r="C109" s="2" t="s">
        <v>471</v>
      </c>
      <c r="D109" s="2" t="s">
        <v>468</v>
      </c>
      <c r="E109" s="1"/>
      <c r="F109" s="2" t="s">
        <v>311</v>
      </c>
      <c r="G109" s="2" t="s">
        <v>467</v>
      </c>
      <c r="H109" s="2" t="s">
        <v>469</v>
      </c>
    </row>
    <row r="110" spans="1:8" ht="105" x14ac:dyDescent="0.25">
      <c r="A110" s="1" t="str">
        <f>HYPERLINK("https://www.albertahealthservices.ca/findhealth/Service.aspx?serviceAtFacilityId=1119397","Mental Health Capacity Building - Aim For Success")</f>
        <v>Mental Health Capacity Building - Aim For Success</v>
      </c>
      <c r="B110" s="1" t="s">
        <v>476</v>
      </c>
      <c r="C110" s="2" t="s">
        <v>477</v>
      </c>
      <c r="D110" s="2" t="s">
        <v>473</v>
      </c>
      <c r="E110" s="2" t="s">
        <v>474</v>
      </c>
      <c r="F110" s="1" t="s">
        <v>34</v>
      </c>
      <c r="G110" s="2" t="s">
        <v>472</v>
      </c>
      <c r="H110" s="2" t="s">
        <v>475</v>
      </c>
    </row>
    <row r="111" spans="1:8" ht="409.5" x14ac:dyDescent="0.25">
      <c r="A111" s="1" t="str">
        <f>HYPERLINK("https://www.albertahealthservices.ca/findhealth/Service.aspx?serviceAtFacilityId=1050505","Therapeutic Recreation Services")</f>
        <v>Therapeutic Recreation Services</v>
      </c>
      <c r="B111" s="1" t="s">
        <v>394</v>
      </c>
      <c r="C111" s="2" t="s">
        <v>37</v>
      </c>
      <c r="D111" s="2" t="s">
        <v>478</v>
      </c>
      <c r="E111" s="1"/>
      <c r="F111" s="1" t="s">
        <v>34</v>
      </c>
      <c r="G111" s="2" t="s">
        <v>32</v>
      </c>
      <c r="H111" s="2" t="s">
        <v>479</v>
      </c>
    </row>
    <row r="112" spans="1:8" ht="409.5" x14ac:dyDescent="0.25">
      <c r="A112" s="1" t="str">
        <f>HYPERLINK("https://www.albertahealthservices.ca/findhealth/Service.aspx?serviceAtFacilityId=1102312","Adult Mental Health Treatment Services")</f>
        <v>Adult Mental Health Treatment Services</v>
      </c>
      <c r="B112" s="1" t="s">
        <v>19</v>
      </c>
      <c r="C112" s="2" t="s">
        <v>125</v>
      </c>
      <c r="D112" s="2" t="s">
        <v>80</v>
      </c>
      <c r="E112" s="1"/>
      <c r="F112" s="2" t="s">
        <v>81</v>
      </c>
      <c r="G112" s="2" t="s">
        <v>121</v>
      </c>
      <c r="H112" s="2" t="s">
        <v>480</v>
      </c>
    </row>
    <row r="113" spans="1:8" ht="409.5" x14ac:dyDescent="0.25">
      <c r="A113" s="1" t="str">
        <f>HYPERLINK("https://www.albertahealthservices.ca/findhealth/Service.aspx?serviceAtFacilityId=1089804","Eating Disorder Services")</f>
        <v>Eating Disorder Services</v>
      </c>
      <c r="B113" s="1" t="s">
        <v>484</v>
      </c>
      <c r="C113" s="2" t="s">
        <v>212</v>
      </c>
      <c r="D113" s="2" t="s">
        <v>481</v>
      </c>
      <c r="E113" s="1"/>
      <c r="F113" s="2" t="s">
        <v>482</v>
      </c>
      <c r="G113" s="2" t="s">
        <v>209</v>
      </c>
      <c r="H113" s="2" t="s">
        <v>483</v>
      </c>
    </row>
    <row r="114" spans="1:8" ht="409.5" x14ac:dyDescent="0.25">
      <c r="A114" s="1" t="str">
        <f>HYPERLINK("https://www.albertahealthservices.ca/findhealth/Service.aspx?serviceAtFacilityId=1001822","Continuing Care Counselling")</f>
        <v>Continuing Care Counselling</v>
      </c>
      <c r="B114" s="1" t="s">
        <v>488</v>
      </c>
      <c r="C114" s="2" t="s">
        <v>163</v>
      </c>
      <c r="D114" s="2" t="s">
        <v>485</v>
      </c>
      <c r="E114" s="1"/>
      <c r="F114" s="2" t="s">
        <v>486</v>
      </c>
      <c r="G114" s="2" t="s">
        <v>158</v>
      </c>
      <c r="H114" s="2" t="s">
        <v>487</v>
      </c>
    </row>
    <row r="115" spans="1:8" ht="270" x14ac:dyDescent="0.25">
      <c r="A115" s="1" t="str">
        <f>HYPERLINK("https://www.albertahealthservices.ca/findhealth/Service.aspx?serviceAtFacilityId=1120101","Addiction Services - Prevention")</f>
        <v>Addiction Services - Prevention</v>
      </c>
      <c r="B115" s="1" t="s">
        <v>492</v>
      </c>
      <c r="C115" s="2" t="s">
        <v>493</v>
      </c>
      <c r="D115" s="2" t="s">
        <v>490</v>
      </c>
      <c r="E115" s="1"/>
      <c r="F115" s="2" t="s">
        <v>201</v>
      </c>
      <c r="G115" s="2" t="s">
        <v>489</v>
      </c>
      <c r="H115" s="2" t="s">
        <v>491</v>
      </c>
    </row>
    <row r="116" spans="1:8" ht="195" x14ac:dyDescent="0.25">
      <c r="A116" s="1" t="str">
        <f>HYPERLINK("https://www.albertahealthservices.ca/findhealth/Service.aspx?serviceAtFacilityId=1093788","Addiction Services - Youth Outpatient Counselling")</f>
        <v>Addiction Services - Youth Outpatient Counselling</v>
      </c>
      <c r="B116" s="1" t="s">
        <v>498</v>
      </c>
      <c r="C116" s="2" t="s">
        <v>499</v>
      </c>
      <c r="D116" s="2" t="s">
        <v>495</v>
      </c>
      <c r="E116" s="1"/>
      <c r="F116" s="2" t="s">
        <v>496</v>
      </c>
      <c r="G116" s="2" t="s">
        <v>494</v>
      </c>
      <c r="H116" s="2" t="s">
        <v>497</v>
      </c>
    </row>
    <row r="117" spans="1:8" ht="240" x14ac:dyDescent="0.25">
      <c r="A117" s="1" t="str">
        <f>HYPERLINK("https://www.albertahealthservices.ca/findhealth/Service.aspx?serviceAtFacilityId=1110637","Abortion Health Services")</f>
        <v>Abortion Health Services</v>
      </c>
      <c r="B117" s="1" t="s">
        <v>503</v>
      </c>
      <c r="C117" s="2" t="s">
        <v>504</v>
      </c>
      <c r="D117" s="2" t="s">
        <v>501</v>
      </c>
      <c r="E117" s="1"/>
      <c r="F117" s="2" t="s">
        <v>502</v>
      </c>
      <c r="G117" s="2" t="s">
        <v>500</v>
      </c>
      <c r="H117" s="1" t="s">
        <v>378</v>
      </c>
    </row>
    <row r="118" spans="1:8" ht="345" x14ac:dyDescent="0.25">
      <c r="A118" s="1" t="str">
        <f>HYPERLINK("https://www.albertahealthservices.ca/findhealth/Service.aspx?serviceAtFacilityId=1104478","Designated Supportive Living Level 4 Dementia")</f>
        <v>Designated Supportive Living Level 4 Dementia</v>
      </c>
      <c r="B118" s="1" t="s">
        <v>507</v>
      </c>
      <c r="C118" s="2" t="s">
        <v>31</v>
      </c>
      <c r="D118" s="2" t="s">
        <v>505</v>
      </c>
      <c r="E118" s="1"/>
      <c r="F118" s="2" t="s">
        <v>23</v>
      </c>
      <c r="G118" s="2" t="s">
        <v>182</v>
      </c>
      <c r="H118" s="2" t="s">
        <v>506</v>
      </c>
    </row>
    <row r="119" spans="1:8" ht="135" x14ac:dyDescent="0.25">
      <c r="A119" s="1" t="str">
        <f>HYPERLINK("https://www.albertahealthservices.ca/findhealth/Service.aspx?serviceAtFacilityId=1055454","Sexual Assault Response Team")</f>
        <v>Sexual Assault Response Team</v>
      </c>
      <c r="B119" s="1" t="s">
        <v>511</v>
      </c>
      <c r="C119" s="2" t="s">
        <v>512</v>
      </c>
      <c r="D119" s="2" t="s">
        <v>509</v>
      </c>
      <c r="E119" s="1"/>
      <c r="F119" s="2" t="s">
        <v>23</v>
      </c>
      <c r="G119" s="2" t="s">
        <v>508</v>
      </c>
      <c r="H119" s="2" t="s">
        <v>510</v>
      </c>
    </row>
    <row r="120" spans="1:8" ht="405" x14ac:dyDescent="0.25">
      <c r="A120" s="1" t="str">
        <f>HYPERLINK("https://www.albertahealthservices.ca/findhealth/Service.aspx?serviceAtFacilityId=1000795","Community Addiction &amp; Mental Health - Adult &amp; Youth Services")</f>
        <v>Community Addiction &amp; Mental Health - Adult &amp; Youth Services</v>
      </c>
      <c r="B120" s="1" t="s">
        <v>515</v>
      </c>
      <c r="C120" s="2" t="s">
        <v>133</v>
      </c>
      <c r="D120" s="2" t="s">
        <v>513</v>
      </c>
      <c r="E120" s="1"/>
      <c r="F120" s="2" t="s">
        <v>257</v>
      </c>
      <c r="G120" s="2" t="s">
        <v>129</v>
      </c>
      <c r="H120" s="2" t="s">
        <v>514</v>
      </c>
    </row>
    <row r="121" spans="1:8" ht="409.5" x14ac:dyDescent="0.25">
      <c r="A121" s="1" t="str">
        <f>HYPERLINK("https://www.albertahealthservices.ca/findhealth/Service.aspx?serviceAtFacilityId=1082251","Therapeutic Recreation Services")</f>
        <v>Therapeutic Recreation Services</v>
      </c>
      <c r="B121" s="1" t="s">
        <v>519</v>
      </c>
      <c r="C121" s="2" t="s">
        <v>37</v>
      </c>
      <c r="D121" s="2" t="s">
        <v>516</v>
      </c>
      <c r="E121" s="1"/>
      <c r="F121" s="2" t="s">
        <v>517</v>
      </c>
      <c r="G121" s="2" t="s">
        <v>32</v>
      </c>
      <c r="H121" s="2" t="s">
        <v>518</v>
      </c>
    </row>
    <row r="122" spans="1:8" ht="210" x14ac:dyDescent="0.25">
      <c r="A122" s="1" t="str">
        <f>HYPERLINK("https://www.albertahealthservices.ca/findhealth/Service.aspx?serviceAtFacilityId=1047264","Therapeutic Recreation - Community &amp; Outpatient")</f>
        <v>Therapeutic Recreation - Community &amp; Outpatient</v>
      </c>
      <c r="B122" s="1" t="s">
        <v>523</v>
      </c>
      <c r="C122" s="2" t="s">
        <v>524</v>
      </c>
      <c r="D122" s="2" t="s">
        <v>521</v>
      </c>
      <c r="E122" s="1"/>
      <c r="F122" s="2" t="s">
        <v>201</v>
      </c>
      <c r="G122" s="2" t="s">
        <v>520</v>
      </c>
      <c r="H122" s="2" t="s">
        <v>522</v>
      </c>
    </row>
    <row r="123" spans="1:8" ht="409.5" x14ac:dyDescent="0.25">
      <c r="A123" s="1" t="str">
        <f>HYPERLINK("https://www.albertahealthservices.ca/findhealth/Service.aspx?serviceAtFacilityId=1024613","School Health Program")</f>
        <v>School Health Program</v>
      </c>
      <c r="B123" s="1" t="s">
        <v>527</v>
      </c>
      <c r="C123" s="2" t="s">
        <v>204</v>
      </c>
      <c r="D123" s="2" t="s">
        <v>525</v>
      </c>
      <c r="E123" s="1"/>
      <c r="F123" s="2" t="s">
        <v>201</v>
      </c>
      <c r="G123" s="2" t="s">
        <v>199</v>
      </c>
      <c r="H123" s="2" t="s">
        <v>526</v>
      </c>
    </row>
    <row r="124" spans="1:8" ht="330" x14ac:dyDescent="0.25">
      <c r="A124" s="1" t="str">
        <f>HYPERLINK("https://www.albertahealthservices.ca/findhealth/Service.aspx?serviceAtFacilityId=1048110","Pastoral Care Services")</f>
        <v>Pastoral Care Services</v>
      </c>
      <c r="B124" s="1" t="s">
        <v>410</v>
      </c>
      <c r="C124" s="2" t="s">
        <v>423</v>
      </c>
      <c r="D124" s="2" t="s">
        <v>528</v>
      </c>
      <c r="E124" s="1"/>
      <c r="F124" s="1" t="s">
        <v>34</v>
      </c>
      <c r="G124" s="2" t="s">
        <v>419</v>
      </c>
      <c r="H124" s="2" t="s">
        <v>529</v>
      </c>
    </row>
    <row r="125" spans="1:8" ht="409.5" x14ac:dyDescent="0.25">
      <c r="A125" s="1" t="str">
        <f>HYPERLINK("https://www.albertahealthservices.ca/findhealth/Service.aspx?serviceAtFacilityId=1090154","Continuing Care Counselling")</f>
        <v>Continuing Care Counselling</v>
      </c>
      <c r="B125" s="1" t="s">
        <v>355</v>
      </c>
      <c r="C125" s="2" t="s">
        <v>163</v>
      </c>
      <c r="D125" s="2" t="s">
        <v>530</v>
      </c>
      <c r="E125" s="1"/>
      <c r="F125" s="2" t="s">
        <v>261</v>
      </c>
      <c r="G125" s="2" t="s">
        <v>158</v>
      </c>
      <c r="H125" s="2" t="s">
        <v>531</v>
      </c>
    </row>
    <row r="126" spans="1:8" ht="409.5" x14ac:dyDescent="0.25">
      <c r="A126" s="1" t="str">
        <f>HYPERLINK("https://www.albertahealthservices.ca/findhealth/Service.aspx?serviceAtFacilityId=1119073","School Health Program")</f>
        <v>School Health Program</v>
      </c>
      <c r="B126" s="1" t="s">
        <v>65</v>
      </c>
      <c r="C126" s="2" t="s">
        <v>204</v>
      </c>
      <c r="D126" s="2" t="s">
        <v>532</v>
      </c>
      <c r="E126" s="1"/>
      <c r="F126" s="2" t="s">
        <v>201</v>
      </c>
      <c r="G126" s="2" t="s">
        <v>199</v>
      </c>
      <c r="H126" s="2" t="s">
        <v>533</v>
      </c>
    </row>
    <row r="127" spans="1:8" ht="180" x14ac:dyDescent="0.25">
      <c r="A127" s="1" t="str">
        <f>HYPERLINK("https://www.albertahealthservices.ca/findhealth/Service.aspx?serviceAtFacilityId=1030582","Community Addiction and Mental Health Services - Rural")</f>
        <v>Community Addiction and Mental Health Services - Rural</v>
      </c>
      <c r="B127" s="1" t="s">
        <v>537</v>
      </c>
      <c r="C127" s="2" t="s">
        <v>72</v>
      </c>
      <c r="D127" s="2" t="s">
        <v>534</v>
      </c>
      <c r="E127" s="1"/>
      <c r="F127" s="2" t="s">
        <v>535</v>
      </c>
      <c r="G127" s="2" t="s">
        <v>67</v>
      </c>
      <c r="H127" s="2" t="s">
        <v>536</v>
      </c>
    </row>
    <row r="128" spans="1:8" ht="409.5" x14ac:dyDescent="0.25">
      <c r="A128" s="1" t="str">
        <f>HYPERLINK("https://www.albertahealthservices.ca/findhealth/Service.aspx?serviceAtFacilityId=1119062","School Health Program")</f>
        <v>School Health Program</v>
      </c>
      <c r="B128" s="1" t="s">
        <v>445</v>
      </c>
      <c r="C128" s="2" t="s">
        <v>204</v>
      </c>
      <c r="D128" s="2" t="s">
        <v>538</v>
      </c>
      <c r="E128" s="1"/>
      <c r="F128" s="2" t="s">
        <v>201</v>
      </c>
      <c r="G128" s="2" t="s">
        <v>199</v>
      </c>
      <c r="H128" s="2" t="s">
        <v>539</v>
      </c>
    </row>
    <row r="129" spans="1:8" ht="90" x14ac:dyDescent="0.25">
      <c r="A129" s="1" t="str">
        <f>HYPERLINK("https://www.albertahealthservices.ca/findhealth/Service.aspx?serviceAtFacilityId=1112861","Mental Health Capacity Building - Stepping Stones to Mental Health")</f>
        <v>Mental Health Capacity Building - Stepping Stones to Mental Health</v>
      </c>
      <c r="B129" s="1" t="s">
        <v>541</v>
      </c>
      <c r="C129" s="2" t="s">
        <v>542</v>
      </c>
      <c r="D129" s="2" t="s">
        <v>540</v>
      </c>
      <c r="E129" s="1"/>
      <c r="F129" s="1" t="s">
        <v>34</v>
      </c>
      <c r="G129" s="1"/>
      <c r="H129" s="1"/>
    </row>
    <row r="130" spans="1:8" ht="90" x14ac:dyDescent="0.25">
      <c r="A130" s="1" t="str">
        <f>HYPERLINK("https://www.albertahealthservices.ca/findhealth/Service.aspx?serviceAtFacilityId=1631","Managing Dementia with Expertise (MDE)")</f>
        <v>Managing Dementia with Expertise (MDE)</v>
      </c>
      <c r="B130" s="1" t="s">
        <v>545</v>
      </c>
      <c r="C130" s="2" t="s">
        <v>546</v>
      </c>
      <c r="D130" s="2" t="s">
        <v>544</v>
      </c>
      <c r="E130" s="1"/>
      <c r="F130" s="2" t="s">
        <v>23</v>
      </c>
      <c r="G130" s="2" t="s">
        <v>543</v>
      </c>
      <c r="H130" s="1"/>
    </row>
    <row r="131" spans="1:8" ht="105" x14ac:dyDescent="0.25">
      <c r="A131" s="1" t="str">
        <f>HYPERLINK("https://www.albertahealthservices.ca/findhealth/Service.aspx?serviceAtFacilityId=1110056","Pediatric Psychiatry - Inpatient")</f>
        <v>Pediatric Psychiatry - Inpatient</v>
      </c>
      <c r="B131" s="1" t="s">
        <v>108</v>
      </c>
      <c r="C131" s="2" t="s">
        <v>549</v>
      </c>
      <c r="D131" s="2" t="s">
        <v>367</v>
      </c>
      <c r="E131" s="1"/>
      <c r="F131" s="2" t="s">
        <v>23</v>
      </c>
      <c r="G131" s="2" t="s">
        <v>547</v>
      </c>
      <c r="H131" s="2" t="s">
        <v>548</v>
      </c>
    </row>
    <row r="132" spans="1:8" ht="105" x14ac:dyDescent="0.25">
      <c r="A132" s="1" t="str">
        <f>HYPERLINK("https://www.albertahealthservices.ca/findhealth/Service.aspx?serviceAtFacilityId=1004681","Adult Inpatient Program")</f>
        <v>Adult Inpatient Program</v>
      </c>
      <c r="B132" s="1" t="s">
        <v>552</v>
      </c>
      <c r="C132" s="2" t="s">
        <v>553</v>
      </c>
      <c r="D132" s="2" t="s">
        <v>551</v>
      </c>
      <c r="E132" s="1"/>
      <c r="F132" s="2" t="s">
        <v>23</v>
      </c>
      <c r="G132" s="2" t="s">
        <v>550</v>
      </c>
      <c r="H132" s="1" t="s">
        <v>301</v>
      </c>
    </row>
    <row r="133" spans="1:8" ht="270" x14ac:dyDescent="0.25">
      <c r="A133" s="1" t="str">
        <f>HYPERLINK("https://www.albertahealthservices.ca/findhealth/Service.aspx?serviceAtFacilityId=1118836","Addiction Services - Prevention")</f>
        <v>Addiction Services - Prevention</v>
      </c>
      <c r="B133" s="1" t="s">
        <v>556</v>
      </c>
      <c r="C133" s="2" t="s">
        <v>493</v>
      </c>
      <c r="D133" s="2" t="s">
        <v>554</v>
      </c>
      <c r="E133" s="1"/>
      <c r="F133" s="2" t="s">
        <v>311</v>
      </c>
      <c r="G133" s="2" t="s">
        <v>489</v>
      </c>
      <c r="H133" s="2" t="s">
        <v>555</v>
      </c>
    </row>
    <row r="134" spans="1:8" ht="135" x14ac:dyDescent="0.25">
      <c r="A134" s="1" t="str">
        <f>HYPERLINK("https://www.albertahealthservices.ca/findhealth/Service.aspx?serviceAtFacilityId=1033407","Walk-in Crisis Service")</f>
        <v>Walk-in Crisis Service</v>
      </c>
      <c r="B134" s="1" t="s">
        <v>561</v>
      </c>
      <c r="C134" s="2" t="s">
        <v>562</v>
      </c>
      <c r="D134" s="2" t="s">
        <v>558</v>
      </c>
      <c r="E134" s="1"/>
      <c r="F134" s="2" t="s">
        <v>559</v>
      </c>
      <c r="G134" s="2" t="s">
        <v>557</v>
      </c>
      <c r="H134" s="2" t="s">
        <v>560</v>
      </c>
    </row>
    <row r="135" spans="1:8" ht="135" x14ac:dyDescent="0.25">
      <c r="A135" s="1" t="str">
        <f>HYPERLINK("https://www.albertahealthservices.ca/findhealth/Service.aspx?serviceAtFacilityId=1102764","Child and Adolescent Addiction and Mental Health Services - Outpatient Services")</f>
        <v>Child and Adolescent Addiction and Mental Health Services - Outpatient Services</v>
      </c>
      <c r="B135" s="1" t="s">
        <v>108</v>
      </c>
      <c r="C135" s="2" t="s">
        <v>566</v>
      </c>
      <c r="D135" s="2" t="s">
        <v>564</v>
      </c>
      <c r="E135" s="1"/>
      <c r="F135" s="2" t="s">
        <v>565</v>
      </c>
      <c r="G135" s="2" t="s">
        <v>563</v>
      </c>
      <c r="H135" s="1"/>
    </row>
    <row r="136" spans="1:8" ht="180" x14ac:dyDescent="0.25">
      <c r="A136" s="1" t="str">
        <f>HYPERLINK("https://www.albertahealthservices.ca/findhealth/Service.aspx?serviceAtFacilityId=1038302","Adult Day Program - Addiction and Mental Health")</f>
        <v>Adult Day Program - Addiction and Mental Health</v>
      </c>
      <c r="B136" s="1" t="s">
        <v>197</v>
      </c>
      <c r="C136" s="2" t="s">
        <v>570</v>
      </c>
      <c r="D136" s="2" t="s">
        <v>568</v>
      </c>
      <c r="E136" s="1"/>
      <c r="F136" s="2" t="s">
        <v>569</v>
      </c>
      <c r="G136" s="2" t="s">
        <v>567</v>
      </c>
      <c r="H136" s="1" t="s">
        <v>103</v>
      </c>
    </row>
    <row r="137" spans="1:8" ht="180" x14ac:dyDescent="0.25">
      <c r="A137" s="1" t="str">
        <f>HYPERLINK("https://www.albertahealthservices.ca/findhealth/Service.aspx?serviceAtFacilityId=1107776","Addiction and Mental Health - Outpatient Counseling Services, Adult")</f>
        <v>Addiction and Mental Health - Outpatient Counseling Services, Adult</v>
      </c>
      <c r="B137" s="1" t="s">
        <v>575</v>
      </c>
      <c r="C137" s="2" t="s">
        <v>576</v>
      </c>
      <c r="D137" s="2" t="s">
        <v>572</v>
      </c>
      <c r="E137" s="1"/>
      <c r="F137" s="2" t="s">
        <v>573</v>
      </c>
      <c r="G137" s="2" t="s">
        <v>571</v>
      </c>
      <c r="H137" s="2" t="s">
        <v>574</v>
      </c>
    </row>
    <row r="138" spans="1:8" ht="409.5" x14ac:dyDescent="0.25">
      <c r="A138" s="1" t="str">
        <f>HYPERLINK("https://www.albertahealthservices.ca/findhealth/Service.aspx?serviceAtFacilityId=1039467","Eating Disorder Services")</f>
        <v>Eating Disorder Services</v>
      </c>
      <c r="B138" s="1" t="s">
        <v>168</v>
      </c>
      <c r="C138" s="2" t="s">
        <v>212</v>
      </c>
      <c r="D138" s="2" t="s">
        <v>577</v>
      </c>
      <c r="E138" s="1"/>
      <c r="F138" s="1" t="s">
        <v>34</v>
      </c>
      <c r="G138" s="2" t="s">
        <v>209</v>
      </c>
      <c r="H138" s="2" t="s">
        <v>578</v>
      </c>
    </row>
    <row r="139" spans="1:8" ht="409.5" x14ac:dyDescent="0.25">
      <c r="A139" s="1" t="str">
        <f>HYPERLINK("https://www.albertahealthservices.ca/findhealth/Service.aspx?serviceAtFacilityId=1119215","Provincial Family Violence Treatment Program")</f>
        <v>Provincial Family Violence Treatment Program</v>
      </c>
      <c r="B139" s="1" t="s">
        <v>383</v>
      </c>
      <c r="C139" s="2" t="s">
        <v>232</v>
      </c>
      <c r="D139" s="2" t="s">
        <v>579</v>
      </c>
      <c r="E139" s="1"/>
      <c r="F139" s="2" t="s">
        <v>580</v>
      </c>
      <c r="G139" s="2" t="s">
        <v>227</v>
      </c>
      <c r="H139" s="2" t="s">
        <v>581</v>
      </c>
    </row>
    <row r="140" spans="1:8" ht="409.5" x14ac:dyDescent="0.25">
      <c r="A140" s="1" t="str">
        <f>HYPERLINK("https://www.albertahealthservices.ca/findhealth/Service.aspx?serviceAtFacilityId=1094111","Adult Mental Health Treatment Services")</f>
        <v>Adult Mental Health Treatment Services</v>
      </c>
      <c r="B140" s="1" t="s">
        <v>585</v>
      </c>
      <c r="C140" s="2" t="s">
        <v>125</v>
      </c>
      <c r="D140" s="2" t="s">
        <v>582</v>
      </c>
      <c r="E140" s="1"/>
      <c r="F140" s="2" t="s">
        <v>583</v>
      </c>
      <c r="G140" s="2" t="s">
        <v>121</v>
      </c>
      <c r="H140" s="2" t="s">
        <v>584</v>
      </c>
    </row>
    <row r="141" spans="1:8" ht="60" x14ac:dyDescent="0.25">
      <c r="A141" s="1" t="str">
        <f>HYPERLINK("https://www.albertahealthservices.ca/findhealth/Service.aspx?serviceAtFacilityId=1047128","Addiction Helpline")</f>
        <v>Addiction Helpline</v>
      </c>
      <c r="B141" s="1" t="s">
        <v>441</v>
      </c>
      <c r="C141" s="2" t="s">
        <v>588</v>
      </c>
      <c r="D141" s="2" t="s">
        <v>587</v>
      </c>
      <c r="E141" s="1"/>
      <c r="F141" s="2" t="s">
        <v>23</v>
      </c>
      <c r="G141" s="2" t="s">
        <v>586</v>
      </c>
      <c r="H141" s="1"/>
    </row>
    <row r="142" spans="1:8" ht="150" x14ac:dyDescent="0.25">
      <c r="A142" s="1" t="str">
        <f>HYPERLINK("https://www.albertahealthservices.ca/findhealth/Service.aspx?serviceAtFacilityId=1107404","Mental Health Capacity Building - Together We're Better")</f>
        <v>Mental Health Capacity Building - Together We're Better</v>
      </c>
      <c r="B142" s="1" t="s">
        <v>591</v>
      </c>
      <c r="C142" s="2" t="s">
        <v>462</v>
      </c>
      <c r="D142" s="2" t="s">
        <v>589</v>
      </c>
      <c r="E142" s="1"/>
      <c r="F142" s="2" t="s">
        <v>117</v>
      </c>
      <c r="G142" s="2" t="s">
        <v>458</v>
      </c>
      <c r="H142" s="2" t="s">
        <v>590</v>
      </c>
    </row>
    <row r="143" spans="1:8" ht="180" x14ac:dyDescent="0.25">
      <c r="A143" s="1" t="str">
        <f>HYPERLINK("https://www.albertahealthservices.ca/findhealth/Service.aspx?serviceAtFacilityId=1114401","Oncology And Sexuality, Intimacy and Survivorship Program")</f>
        <v>Oncology And Sexuality, Intimacy and Survivorship Program</v>
      </c>
      <c r="B143" s="1" t="s">
        <v>595</v>
      </c>
      <c r="C143" s="2" t="s">
        <v>596</v>
      </c>
      <c r="D143" s="2" t="s">
        <v>593</v>
      </c>
      <c r="E143" s="1"/>
      <c r="F143" s="2" t="s">
        <v>201</v>
      </c>
      <c r="G143" s="2" t="s">
        <v>592</v>
      </c>
      <c r="H143" s="2" t="s">
        <v>594</v>
      </c>
    </row>
    <row r="144" spans="1:8" ht="409.5" x14ac:dyDescent="0.25">
      <c r="A144" s="1" t="str">
        <f>HYPERLINK("https://www.albertahealthservices.ca/findhealth/Service.aspx?serviceAtFacilityId=1006619","Therapeutic Recreation Services")</f>
        <v>Therapeutic Recreation Services</v>
      </c>
      <c r="B144" s="1" t="s">
        <v>599</v>
      </c>
      <c r="C144" s="2" t="s">
        <v>37</v>
      </c>
      <c r="D144" s="2" t="s">
        <v>597</v>
      </c>
      <c r="E144" s="1"/>
      <c r="F144" s="1" t="s">
        <v>34</v>
      </c>
      <c r="G144" s="2" t="s">
        <v>32</v>
      </c>
      <c r="H144" s="2" t="s">
        <v>598</v>
      </c>
    </row>
    <row r="145" spans="1:8" ht="120" x14ac:dyDescent="0.25">
      <c r="A145" s="1" t="str">
        <f>HYPERLINK("https://www.albertahealthservices.ca/findhealth/Service.aspx?serviceAtFacilityId=1115863","Spiritual Care Services")</f>
        <v>Spiritual Care Services</v>
      </c>
      <c r="B145" s="1" t="s">
        <v>602</v>
      </c>
      <c r="C145" s="2" t="s">
        <v>453</v>
      </c>
      <c r="D145" s="2" t="s">
        <v>600</v>
      </c>
      <c r="E145" s="1"/>
      <c r="F145" s="2" t="s">
        <v>23</v>
      </c>
      <c r="G145" s="2" t="s">
        <v>449</v>
      </c>
      <c r="H145" s="2" t="s">
        <v>601</v>
      </c>
    </row>
    <row r="146" spans="1:8" ht="409.5" x14ac:dyDescent="0.25">
      <c r="A146" s="1" t="str">
        <f>HYPERLINK("https://www.albertahealthservices.ca/findhealth/Service.aspx?serviceAtFacilityId=1004627","Continuing Care Counselling")</f>
        <v>Continuing Care Counselling</v>
      </c>
      <c r="B146" s="1" t="s">
        <v>605</v>
      </c>
      <c r="C146" s="2" t="s">
        <v>163</v>
      </c>
      <c r="D146" s="2" t="s">
        <v>603</v>
      </c>
      <c r="E146" s="1"/>
      <c r="F146" s="2" t="s">
        <v>160</v>
      </c>
      <c r="G146" s="2" t="s">
        <v>158</v>
      </c>
      <c r="H146" s="2" t="s">
        <v>604</v>
      </c>
    </row>
    <row r="147" spans="1:8" ht="330" x14ac:dyDescent="0.25">
      <c r="A147" s="1" t="str">
        <f>HYPERLINK("https://www.albertahealthservices.ca/findhealth/Service.aspx?serviceAtFacilityId=1048112","Pastoral Care Services")</f>
        <v>Pastoral Care Services</v>
      </c>
      <c r="B147" s="1" t="s">
        <v>608</v>
      </c>
      <c r="C147" s="2" t="s">
        <v>423</v>
      </c>
      <c r="D147" s="2" t="s">
        <v>606</v>
      </c>
      <c r="E147" s="1"/>
      <c r="F147" s="1" t="s">
        <v>34</v>
      </c>
      <c r="G147" s="2" t="s">
        <v>419</v>
      </c>
      <c r="H147" s="2" t="s">
        <v>607</v>
      </c>
    </row>
    <row r="148" spans="1:8" ht="240" x14ac:dyDescent="0.25">
      <c r="A148" s="1" t="str">
        <f>HYPERLINK("https://www.albertahealthservices.ca/findhealth/Service.aspx?serviceAtFacilityId=1017613","Spiritual Care")</f>
        <v>Spiritual Care</v>
      </c>
      <c r="B148" s="1" t="s">
        <v>401</v>
      </c>
      <c r="C148" s="2" t="s">
        <v>613</v>
      </c>
      <c r="D148" s="2" t="s">
        <v>610</v>
      </c>
      <c r="E148" s="1"/>
      <c r="F148" s="2" t="s">
        <v>611</v>
      </c>
      <c r="G148" s="2" t="s">
        <v>609</v>
      </c>
      <c r="H148" s="2" t="s">
        <v>612</v>
      </c>
    </row>
    <row r="149" spans="1:8" ht="409.5" x14ac:dyDescent="0.25">
      <c r="A149" s="1" t="str">
        <f>HYPERLINK("https://www.albertahealthservices.ca/findhealth/Service.aspx?serviceAtFacilityId=1115702","Provincial Family Violence Treatment Program")</f>
        <v>Provincial Family Violence Treatment Program</v>
      </c>
      <c r="B149" s="1" t="s">
        <v>616</v>
      </c>
      <c r="C149" s="2" t="s">
        <v>232</v>
      </c>
      <c r="D149" s="2" t="s">
        <v>614</v>
      </c>
      <c r="E149" s="1"/>
      <c r="F149" s="1" t="s">
        <v>34</v>
      </c>
      <c r="G149" s="2" t="s">
        <v>227</v>
      </c>
      <c r="H149" s="2" t="s">
        <v>615</v>
      </c>
    </row>
    <row r="150" spans="1:8" ht="409.5" x14ac:dyDescent="0.25">
      <c r="A150" s="1" t="str">
        <f>HYPERLINK("https://www.albertahealthservices.ca/findhealth/Service.aspx?serviceAtFacilityId=1119067","School Health Program")</f>
        <v>School Health Program</v>
      </c>
      <c r="B150" s="1" t="s">
        <v>619</v>
      </c>
      <c r="C150" s="2" t="s">
        <v>204</v>
      </c>
      <c r="D150" s="2" t="s">
        <v>617</v>
      </c>
      <c r="E150" s="1"/>
      <c r="F150" s="2" t="s">
        <v>201</v>
      </c>
      <c r="G150" s="2" t="s">
        <v>199</v>
      </c>
      <c r="H150" s="2" t="s">
        <v>618</v>
      </c>
    </row>
    <row r="151" spans="1:8" ht="135" x14ac:dyDescent="0.25">
      <c r="A151" s="1" t="str">
        <f>HYPERLINK("https://www.albertahealthservices.ca/findhealth/Service.aspx?serviceAtFacilityId=1092616","Consultation Liaison Service - Mental Health")</f>
        <v>Consultation Liaison Service - Mental Health</v>
      </c>
      <c r="B151" s="1" t="s">
        <v>103</v>
      </c>
      <c r="C151" s="2" t="s">
        <v>623</v>
      </c>
      <c r="D151" s="2" t="s">
        <v>621</v>
      </c>
      <c r="E151" s="1"/>
      <c r="F151" s="2" t="s">
        <v>190</v>
      </c>
      <c r="G151" s="2" t="s">
        <v>620</v>
      </c>
      <c r="H151" s="2" t="s">
        <v>622</v>
      </c>
    </row>
    <row r="152" spans="1:8" ht="409.5" x14ac:dyDescent="0.25">
      <c r="A152" s="1" t="str">
        <f>HYPERLINK("https://www.albertahealthservices.ca/findhealth/Service.aspx?serviceAtFacilityId=1111317","Mental Health Services")</f>
        <v>Mental Health Services</v>
      </c>
      <c r="B152" s="1" t="s">
        <v>330</v>
      </c>
      <c r="C152" s="2" t="s">
        <v>98</v>
      </c>
      <c r="D152" s="2" t="s">
        <v>624</v>
      </c>
      <c r="E152" s="1"/>
      <c r="F152" s="2" t="s">
        <v>625</v>
      </c>
      <c r="G152" s="2" t="s">
        <v>94</v>
      </c>
      <c r="H152" s="2" t="s">
        <v>626</v>
      </c>
    </row>
    <row r="153" spans="1:8" ht="210" x14ac:dyDescent="0.25">
      <c r="A153" s="1" t="str">
        <f>HYPERLINK("https://www.albertahealthservices.ca/findhealth/Service.aspx?serviceAtFacilityId=1047268","Therapeutic Recreation - Community &amp; Outpatient")</f>
        <v>Therapeutic Recreation - Community &amp; Outpatient</v>
      </c>
      <c r="B153" s="1" t="s">
        <v>629</v>
      </c>
      <c r="C153" s="2" t="s">
        <v>524</v>
      </c>
      <c r="D153" s="2" t="s">
        <v>627</v>
      </c>
      <c r="E153" s="1"/>
      <c r="F153" s="2" t="s">
        <v>201</v>
      </c>
      <c r="G153" s="2" t="s">
        <v>520</v>
      </c>
      <c r="H153" s="2" t="s">
        <v>628</v>
      </c>
    </row>
    <row r="154" spans="1:8" ht="180" x14ac:dyDescent="0.25">
      <c r="A154" s="1" t="str">
        <f>HYPERLINK("https://www.albertahealthservices.ca/findhealth/Service.aspx?serviceAtFacilityId=1102651","Addiction Services - Prevention")</f>
        <v>Addiction Services - Prevention</v>
      </c>
      <c r="B154" s="1" t="s">
        <v>634</v>
      </c>
      <c r="C154" s="2" t="s">
        <v>635</v>
      </c>
      <c r="D154" s="2" t="s">
        <v>631</v>
      </c>
      <c r="E154" s="1"/>
      <c r="F154" s="2" t="s">
        <v>632</v>
      </c>
      <c r="G154" s="2" t="s">
        <v>630</v>
      </c>
      <c r="H154" s="2" t="s">
        <v>633</v>
      </c>
    </row>
    <row r="155" spans="1:8" ht="270" x14ac:dyDescent="0.25">
      <c r="A155" s="1" t="str">
        <f>HYPERLINK("https://www.albertahealthservices.ca/findhealth/Service.aspx?serviceAtFacilityId=1107557","School Health Services")</f>
        <v>School Health Services</v>
      </c>
      <c r="B155" s="1" t="s">
        <v>640</v>
      </c>
      <c r="C155" s="2" t="s">
        <v>641</v>
      </c>
      <c r="D155" s="2" t="s">
        <v>637</v>
      </c>
      <c r="E155" s="1"/>
      <c r="F155" s="2" t="s">
        <v>638</v>
      </c>
      <c r="G155" s="2" t="s">
        <v>636</v>
      </c>
      <c r="H155" s="2" t="s">
        <v>639</v>
      </c>
    </row>
    <row r="156" spans="1:8" ht="105" x14ac:dyDescent="0.25">
      <c r="A156" s="1" t="str">
        <f>HYPERLINK("https://www.albertahealthservices.ca/findhealth/Service.aspx?serviceAtFacilityId=1069151","Addiction and Mental Health - Operational Stress Injury Services, Adult")</f>
        <v>Addiction and Mental Health - Operational Stress Injury Services, Adult</v>
      </c>
      <c r="B156" s="1" t="s">
        <v>646</v>
      </c>
      <c r="C156" s="2" t="s">
        <v>647</v>
      </c>
      <c r="D156" s="2" t="s">
        <v>643</v>
      </c>
      <c r="E156" s="2" t="s">
        <v>645</v>
      </c>
      <c r="F156" s="2" t="s">
        <v>644</v>
      </c>
      <c r="G156" s="2" t="s">
        <v>642</v>
      </c>
      <c r="H156" s="1"/>
    </row>
    <row r="157" spans="1:8" ht="255" x14ac:dyDescent="0.25">
      <c r="A157" s="1" t="str">
        <f>HYPERLINK("https://www.albertahealthservices.ca/findhealth/Service.aspx?serviceAtFacilityId=1046468","Addiction and Mental Health - Adult and Youth Intake")</f>
        <v>Addiction and Mental Health - Adult and Youth Intake</v>
      </c>
      <c r="B157" s="1" t="s">
        <v>651</v>
      </c>
      <c r="C157" s="2" t="s">
        <v>78</v>
      </c>
      <c r="D157" s="2" t="s">
        <v>648</v>
      </c>
      <c r="E157" s="1"/>
      <c r="F157" s="2" t="s">
        <v>649</v>
      </c>
      <c r="G157" s="2" t="s">
        <v>73</v>
      </c>
      <c r="H157" s="2" t="s">
        <v>650</v>
      </c>
    </row>
    <row r="158" spans="1:8" ht="405" x14ac:dyDescent="0.25">
      <c r="A158" s="1" t="str">
        <f>HYPERLINK("https://www.albertahealthservices.ca/findhealth/Service.aspx?serviceAtFacilityId=1090977","Community Addiction &amp; Mental Health - Adult &amp; Youth Services")</f>
        <v>Community Addiction &amp; Mental Health - Adult &amp; Youth Services</v>
      </c>
      <c r="B158" s="1" t="s">
        <v>654</v>
      </c>
      <c r="C158" s="2" t="s">
        <v>133</v>
      </c>
      <c r="D158" s="2" t="s">
        <v>652</v>
      </c>
      <c r="E158" s="1"/>
      <c r="F158" s="2" t="s">
        <v>257</v>
      </c>
      <c r="G158" s="2" t="s">
        <v>129</v>
      </c>
      <c r="H158" s="2" t="s">
        <v>653</v>
      </c>
    </row>
    <row r="159" spans="1:8" ht="330" x14ac:dyDescent="0.25">
      <c r="A159" s="1" t="str">
        <f>HYPERLINK("https://www.albertahealthservices.ca/findhealth/Service.aspx?serviceAtFacilityId=1082203","Pastoral Care Services")</f>
        <v>Pastoral Care Services</v>
      </c>
      <c r="B159" s="1" t="s">
        <v>657</v>
      </c>
      <c r="C159" s="2" t="s">
        <v>423</v>
      </c>
      <c r="D159" s="2" t="s">
        <v>655</v>
      </c>
      <c r="E159" s="1"/>
      <c r="F159" s="1" t="s">
        <v>34</v>
      </c>
      <c r="G159" s="2" t="s">
        <v>419</v>
      </c>
      <c r="H159" s="2" t="s">
        <v>656</v>
      </c>
    </row>
    <row r="160" spans="1:8" ht="409.5" x14ac:dyDescent="0.25">
      <c r="A160" s="1" t="str">
        <f>HYPERLINK("https://www.albertahealthservices.ca/findhealth/Service.aspx?serviceAtFacilityId=1097001","Mental Health Services")</f>
        <v>Mental Health Services</v>
      </c>
      <c r="B160" s="1" t="s">
        <v>660</v>
      </c>
      <c r="C160" s="2" t="s">
        <v>98</v>
      </c>
      <c r="D160" s="2" t="s">
        <v>658</v>
      </c>
      <c r="E160" s="1"/>
      <c r="F160" s="2" t="s">
        <v>392</v>
      </c>
      <c r="G160" s="2" t="s">
        <v>94</v>
      </c>
      <c r="H160" s="2" t="s">
        <v>659</v>
      </c>
    </row>
    <row r="161" spans="1:8" ht="405" x14ac:dyDescent="0.25">
      <c r="A161" s="1" t="str">
        <f>HYPERLINK("https://www.albertahealthservices.ca/findhealth/Service.aspx?serviceAtFacilityId=1115291","Addiction and Mental Health - Recovery Supports Services, Adult")</f>
        <v>Addiction and Mental Health - Recovery Supports Services, Adult</v>
      </c>
      <c r="B161" s="1" t="s">
        <v>665</v>
      </c>
      <c r="C161" s="2" t="s">
        <v>666</v>
      </c>
      <c r="D161" s="2" t="s">
        <v>661</v>
      </c>
      <c r="E161" s="2" t="s">
        <v>663</v>
      </c>
      <c r="F161" s="2" t="s">
        <v>662</v>
      </c>
      <c r="G161" s="1"/>
      <c r="H161" s="2" t="s">
        <v>664</v>
      </c>
    </row>
    <row r="162" spans="1:8" ht="255" x14ac:dyDescent="0.25">
      <c r="A162" s="1" t="str">
        <f>HYPERLINK("https://www.albertahealthservices.ca/findhealth/Service.aspx?serviceAtFacilityId=1039527","Labour and Delivery Services, Postpartum and Newborn Care")</f>
        <v>Labour and Delivery Services, Postpartum and Newborn Care</v>
      </c>
      <c r="B162" s="1" t="s">
        <v>197</v>
      </c>
      <c r="C162" s="2" t="s">
        <v>109</v>
      </c>
      <c r="D162" s="2" t="s">
        <v>667</v>
      </c>
      <c r="E162" s="1"/>
      <c r="F162" s="2" t="s">
        <v>23</v>
      </c>
      <c r="G162" s="2" t="s">
        <v>105</v>
      </c>
      <c r="H162" s="2" t="s">
        <v>668</v>
      </c>
    </row>
    <row r="163" spans="1:8" ht="255" x14ac:dyDescent="0.25">
      <c r="A163" s="1" t="str">
        <f>HYPERLINK("https://www.albertahealthservices.ca/findhealth/Service.aspx?serviceAtFacilityId=1117735","Designated Supportive Living Level 4 Dementia")</f>
        <v>Designated Supportive Living Level 4 Dementia</v>
      </c>
      <c r="B163" s="1" t="s">
        <v>671</v>
      </c>
      <c r="C163" s="2" t="s">
        <v>43</v>
      </c>
      <c r="D163" s="2" t="s">
        <v>669</v>
      </c>
      <c r="E163" s="1"/>
      <c r="F163" s="2" t="s">
        <v>40</v>
      </c>
      <c r="G163" s="2" t="s">
        <v>38</v>
      </c>
      <c r="H163" s="2" t="s">
        <v>670</v>
      </c>
    </row>
    <row r="164" spans="1:8" ht="150" x14ac:dyDescent="0.25">
      <c r="A164" s="1" t="str">
        <f>HYPERLINK("https://www.albertahealthservices.ca/findhealth/Service.aspx?serviceAtFacilityId=1017120","Seniors Mental Health Program Community Services, Seniors Outreach Nurses")</f>
        <v>Seniors Mental Health Program Community Services, Seniors Outreach Nurses</v>
      </c>
      <c r="B164" s="1" t="s">
        <v>674</v>
      </c>
      <c r="C164" s="2" t="s">
        <v>471</v>
      </c>
      <c r="D164" s="2" t="s">
        <v>672</v>
      </c>
      <c r="E164" s="1"/>
      <c r="F164" s="2" t="s">
        <v>311</v>
      </c>
      <c r="G164" s="2" t="s">
        <v>467</v>
      </c>
      <c r="H164" s="2" t="s">
        <v>673</v>
      </c>
    </row>
    <row r="165" spans="1:8" ht="409.5" x14ac:dyDescent="0.25">
      <c r="A165" s="1" t="str">
        <f>HYPERLINK("https://www.albertahealthservices.ca/findhealth/Service.aspx?serviceAtFacilityId=1101696","Therapeutic Recreation Services")</f>
        <v>Therapeutic Recreation Services</v>
      </c>
      <c r="B165" s="1" t="s">
        <v>148</v>
      </c>
      <c r="C165" s="2" t="s">
        <v>37</v>
      </c>
      <c r="D165" s="2" t="s">
        <v>675</v>
      </c>
      <c r="E165" s="1"/>
      <c r="F165" s="1" t="s">
        <v>34</v>
      </c>
      <c r="G165" s="2" t="s">
        <v>32</v>
      </c>
      <c r="H165" s="2" t="s">
        <v>676</v>
      </c>
    </row>
    <row r="166" spans="1:8" ht="255" x14ac:dyDescent="0.25">
      <c r="A166" s="1" t="str">
        <f>HYPERLINK("https://www.albertahealthservices.ca/findhealth/Service.aspx?serviceAtFacilityId=1104640","Designated Supportive Living Level 4 Dementia")</f>
        <v>Designated Supportive Living Level 4 Dementia</v>
      </c>
      <c r="B166" s="1" t="s">
        <v>679</v>
      </c>
      <c r="C166" s="2" t="s">
        <v>43</v>
      </c>
      <c r="D166" s="2" t="s">
        <v>677</v>
      </c>
      <c r="E166" s="1"/>
      <c r="F166" s="2" t="s">
        <v>40</v>
      </c>
      <c r="G166" s="2" t="s">
        <v>38</v>
      </c>
      <c r="H166" s="2" t="s">
        <v>678</v>
      </c>
    </row>
    <row r="167" spans="1:8" ht="135" x14ac:dyDescent="0.25">
      <c r="A167" s="1" t="str">
        <f>HYPERLINK("https://www.albertahealthservices.ca/findhealth/Service.aspx?serviceAtFacilityId=1021733","Emergency Room Outreach Team - Mental Health")</f>
        <v>Emergency Room Outreach Team - Mental Health</v>
      </c>
      <c r="B167" s="1" t="s">
        <v>378</v>
      </c>
      <c r="C167" s="2" t="s">
        <v>104</v>
      </c>
      <c r="D167" s="2" t="s">
        <v>680</v>
      </c>
      <c r="E167" s="1"/>
      <c r="F167" s="2" t="s">
        <v>101</v>
      </c>
      <c r="G167" s="2" t="s">
        <v>99</v>
      </c>
      <c r="H167" s="2" t="s">
        <v>681</v>
      </c>
    </row>
    <row r="168" spans="1:8" ht="210" x14ac:dyDescent="0.25">
      <c r="A168" s="1" t="str">
        <f>HYPERLINK("https://www.albertahealthservices.ca/findhealth/Service.aspx?serviceAtFacilityId=1119265","Therapeutic Recreation - Community &amp; Outpatient")</f>
        <v>Therapeutic Recreation - Community &amp; Outpatient</v>
      </c>
      <c r="B168" s="1" t="s">
        <v>684</v>
      </c>
      <c r="C168" s="2" t="s">
        <v>524</v>
      </c>
      <c r="D168" s="2" t="s">
        <v>682</v>
      </c>
      <c r="E168" s="1"/>
      <c r="F168" s="2" t="s">
        <v>201</v>
      </c>
      <c r="G168" s="2" t="s">
        <v>520</v>
      </c>
      <c r="H168" s="2" t="s">
        <v>683</v>
      </c>
    </row>
    <row r="169" spans="1:8" ht="375" x14ac:dyDescent="0.25">
      <c r="A169" s="1" t="str">
        <f>HYPERLINK("https://www.albertahealthservices.ca/findhealth/Service.aspx?serviceAtFacilityId=1102481","Regional Collaborative Service Delivery - School based and school linked mental health teams")</f>
        <v>Regional Collaborative Service Delivery - School based and school linked mental health teams</v>
      </c>
      <c r="B169" s="1" t="s">
        <v>77</v>
      </c>
      <c r="C169" s="2" t="s">
        <v>688</v>
      </c>
      <c r="D169" s="2" t="s">
        <v>686</v>
      </c>
      <c r="E169" s="1"/>
      <c r="F169" s="1" t="s">
        <v>34</v>
      </c>
      <c r="G169" s="2" t="s">
        <v>685</v>
      </c>
      <c r="H169" s="2" t="s">
        <v>687</v>
      </c>
    </row>
    <row r="170" spans="1:8" ht="375" x14ac:dyDescent="0.25">
      <c r="A170" s="1" t="str">
        <f>HYPERLINK("https://www.albertahealthservices.ca/findhealth/Service.aspx?serviceAtFacilityId=1120397","Regional Collaborative Service Delivery - School based and school linked mental health teams")</f>
        <v>Regional Collaborative Service Delivery - School based and school linked mental health teams</v>
      </c>
      <c r="B170" s="1" t="s">
        <v>691</v>
      </c>
      <c r="C170" s="2" t="s">
        <v>688</v>
      </c>
      <c r="D170" s="2" t="s">
        <v>689</v>
      </c>
      <c r="E170" s="1"/>
      <c r="F170" s="1" t="s">
        <v>34</v>
      </c>
      <c r="G170" s="2" t="s">
        <v>685</v>
      </c>
      <c r="H170" s="2" t="s">
        <v>690</v>
      </c>
    </row>
    <row r="171" spans="1:8" ht="315" x14ac:dyDescent="0.25">
      <c r="A171" s="1" t="str">
        <f>HYPERLINK("https://www.albertahealthservices.ca/findhealth/Service.aspx?serviceAtFacilityId=1111264","Postpartum Depression Support")</f>
        <v>Postpartum Depression Support</v>
      </c>
      <c r="B171" s="1" t="s">
        <v>330</v>
      </c>
      <c r="C171" s="2" t="s">
        <v>114</v>
      </c>
      <c r="D171" s="2" t="s">
        <v>692</v>
      </c>
      <c r="E171" s="1"/>
      <c r="F171" s="1" t="s">
        <v>34</v>
      </c>
      <c r="G171" s="1"/>
      <c r="H171" s="2" t="s">
        <v>693</v>
      </c>
    </row>
    <row r="172" spans="1:8" ht="120" x14ac:dyDescent="0.25">
      <c r="A172" s="1" t="str">
        <f>HYPERLINK("https://www.albertahealthservices.ca/findhealth/Service.aspx?serviceAtFacilityId=1115865","Spiritual Care Services")</f>
        <v>Spiritual Care Services</v>
      </c>
      <c r="B172" s="1" t="s">
        <v>696</v>
      </c>
      <c r="C172" s="2" t="s">
        <v>453</v>
      </c>
      <c r="D172" s="2" t="s">
        <v>694</v>
      </c>
      <c r="E172" s="1"/>
      <c r="F172" s="1" t="s">
        <v>34</v>
      </c>
      <c r="G172" s="2" t="s">
        <v>449</v>
      </c>
      <c r="H172" s="2" t="s">
        <v>695</v>
      </c>
    </row>
    <row r="173" spans="1:8" ht="240" x14ac:dyDescent="0.25">
      <c r="A173" s="1" t="str">
        <f>HYPERLINK("https://www.albertahealthservices.ca/findhealth/Service.aspx?serviceAtFacilityId=1015446","CHOICE")</f>
        <v>CHOICE</v>
      </c>
      <c r="B173" s="1" t="s">
        <v>700</v>
      </c>
      <c r="C173" s="2" t="s">
        <v>701</v>
      </c>
      <c r="D173" s="2" t="s">
        <v>698</v>
      </c>
      <c r="E173" s="1"/>
      <c r="F173" s="1" t="s">
        <v>34</v>
      </c>
      <c r="G173" s="2" t="s">
        <v>697</v>
      </c>
      <c r="H173" s="2" t="s">
        <v>699</v>
      </c>
    </row>
    <row r="174" spans="1:8" ht="405" x14ac:dyDescent="0.25">
      <c r="A174" s="1" t="str">
        <f>HYPERLINK("https://www.albertahealthservices.ca/findhealth/Service.aspx?serviceAtFacilityId=1089205","Community Addiction &amp; Mental Health - Adult &amp; Youth Services")</f>
        <v>Community Addiction &amp; Mental Health - Adult &amp; Youth Services</v>
      </c>
      <c r="B174" s="1" t="s">
        <v>705</v>
      </c>
      <c r="C174" s="2" t="s">
        <v>133</v>
      </c>
      <c r="D174" s="2" t="s">
        <v>702</v>
      </c>
      <c r="E174" s="1"/>
      <c r="F174" s="2" t="s">
        <v>703</v>
      </c>
      <c r="G174" s="2" t="s">
        <v>129</v>
      </c>
      <c r="H174" s="2" t="s">
        <v>704</v>
      </c>
    </row>
    <row r="175" spans="1:8" ht="390" x14ac:dyDescent="0.25">
      <c r="A175" s="1" t="str">
        <f>HYPERLINK("https://www.albertahealthservices.ca/findhealth/Service.aspx?serviceAtFacilityId=1104666","Designated Supportive Living Level 4 Dementia")</f>
        <v>Designated Supportive Living Level 4 Dementia</v>
      </c>
      <c r="B175" s="1" t="s">
        <v>708</v>
      </c>
      <c r="C175" s="2" t="s">
        <v>31</v>
      </c>
      <c r="D175" s="2" t="s">
        <v>706</v>
      </c>
      <c r="E175" s="1"/>
      <c r="F175" s="2" t="s">
        <v>23</v>
      </c>
      <c r="G175" s="2" t="s">
        <v>52</v>
      </c>
      <c r="H175" s="2" t="s">
        <v>707</v>
      </c>
    </row>
    <row r="176" spans="1:8" ht="345" x14ac:dyDescent="0.25">
      <c r="A176" s="1" t="str">
        <f>HYPERLINK("https://www.albertahealthservices.ca/findhealth/Service.aspx?serviceAtFacilityId=1104664","Designated Supportive Living Level 4 Dementia")</f>
        <v>Designated Supportive Living Level 4 Dementia</v>
      </c>
      <c r="B176" s="1" t="s">
        <v>711</v>
      </c>
      <c r="C176" s="2" t="s">
        <v>31</v>
      </c>
      <c r="D176" s="2" t="s">
        <v>709</v>
      </c>
      <c r="E176" s="1"/>
      <c r="F176" s="2" t="s">
        <v>23</v>
      </c>
      <c r="G176" s="2" t="s">
        <v>182</v>
      </c>
      <c r="H176" s="2" t="s">
        <v>710</v>
      </c>
    </row>
    <row r="177" spans="1:8" ht="375" x14ac:dyDescent="0.25">
      <c r="A177" s="1" t="str">
        <f>HYPERLINK("https://www.albertahealthservices.ca/findhealth/Service.aspx?serviceAtFacilityId=1116605","Mental Health Information, Promotion and Prevention")</f>
        <v>Mental Health Information, Promotion and Prevention</v>
      </c>
      <c r="B177" s="1" t="s">
        <v>691</v>
      </c>
      <c r="C177" s="2" t="s">
        <v>20</v>
      </c>
      <c r="D177" s="2" t="s">
        <v>712</v>
      </c>
      <c r="E177" s="2" t="s">
        <v>17</v>
      </c>
      <c r="F177" s="2" t="s">
        <v>713</v>
      </c>
      <c r="G177" s="2" t="s">
        <v>14</v>
      </c>
      <c r="H177" s="2" t="s">
        <v>714</v>
      </c>
    </row>
    <row r="178" spans="1:8" ht="409.5" x14ac:dyDescent="0.25">
      <c r="A178" s="1" t="str">
        <f>HYPERLINK("https://www.albertahealthservices.ca/findhealth/Service.aspx?serviceAtFacilityId=1107755","Adult Mental Health Treatment Services")</f>
        <v>Adult Mental Health Treatment Services</v>
      </c>
      <c r="B178" s="1" t="s">
        <v>718</v>
      </c>
      <c r="C178" s="2" t="s">
        <v>125</v>
      </c>
      <c r="D178" s="2" t="s">
        <v>715</v>
      </c>
      <c r="E178" s="1"/>
      <c r="F178" s="2" t="s">
        <v>716</v>
      </c>
      <c r="G178" s="2" t="s">
        <v>121</v>
      </c>
      <c r="H178" s="2" t="s">
        <v>717</v>
      </c>
    </row>
    <row r="179" spans="1:8" ht="409.5" x14ac:dyDescent="0.25">
      <c r="A179" s="1" t="str">
        <f>HYPERLINK("https://www.albertahealthservices.ca/findhealth/Service.aspx?serviceAtFacilityId=1118999","School Health Program")</f>
        <v>School Health Program</v>
      </c>
      <c r="B179" s="1" t="s">
        <v>157</v>
      </c>
      <c r="C179" s="2" t="s">
        <v>204</v>
      </c>
      <c r="D179" s="2" t="s">
        <v>719</v>
      </c>
      <c r="E179" s="1"/>
      <c r="F179" s="2" t="s">
        <v>201</v>
      </c>
      <c r="G179" s="2" t="s">
        <v>199</v>
      </c>
      <c r="H179" s="2" t="s">
        <v>720</v>
      </c>
    </row>
    <row r="180" spans="1:8" ht="240" x14ac:dyDescent="0.25">
      <c r="A180" s="1" t="str">
        <f>HYPERLINK("https://www.albertahealthservices.ca/findhealth/Service.aspx?serviceAtFacilityId=1047915","Spiritual Care")</f>
        <v>Spiritual Care</v>
      </c>
      <c r="B180" s="1" t="s">
        <v>723</v>
      </c>
      <c r="C180" s="2" t="s">
        <v>613</v>
      </c>
      <c r="D180" s="2" t="s">
        <v>721</v>
      </c>
      <c r="E180" s="1"/>
      <c r="F180" s="2" t="s">
        <v>611</v>
      </c>
      <c r="G180" s="2" t="s">
        <v>609</v>
      </c>
      <c r="H180" s="2" t="s">
        <v>722</v>
      </c>
    </row>
    <row r="181" spans="1:8" ht="405" x14ac:dyDescent="0.25">
      <c r="A181" s="1" t="str">
        <f>HYPERLINK("https://www.albertahealthservices.ca/findhealth/Service.aspx?serviceAtFacilityId=1089209","Community Addiction &amp; Mental Health - Adult &amp; Youth Services")</f>
        <v>Community Addiction &amp; Mental Health - Adult &amp; Youth Services</v>
      </c>
      <c r="B181" s="1" t="s">
        <v>726</v>
      </c>
      <c r="C181" s="2" t="s">
        <v>133</v>
      </c>
      <c r="D181" s="2" t="s">
        <v>724</v>
      </c>
      <c r="E181" s="1"/>
      <c r="F181" s="2" t="s">
        <v>257</v>
      </c>
      <c r="G181" s="2" t="s">
        <v>129</v>
      </c>
      <c r="H181" s="2" t="s">
        <v>725</v>
      </c>
    </row>
    <row r="182" spans="1:8" ht="210" x14ac:dyDescent="0.25">
      <c r="A182" s="1" t="str">
        <f>HYPERLINK("https://www.albertahealthservices.ca/findhealth/Service.aspx?serviceAtFacilityId=1102445","Emergency Room Outreach - Child and Adolescent Mental Health")</f>
        <v>Emergency Room Outreach - Child and Adolescent Mental Health</v>
      </c>
      <c r="B182" s="1" t="s">
        <v>730</v>
      </c>
      <c r="C182" s="2" t="s">
        <v>731</v>
      </c>
      <c r="D182" s="2" t="s">
        <v>728</v>
      </c>
      <c r="E182" s="1"/>
      <c r="F182" s="2" t="s">
        <v>729</v>
      </c>
      <c r="G182" s="2" t="s">
        <v>727</v>
      </c>
      <c r="H182" s="1"/>
    </row>
    <row r="183" spans="1:8" ht="345" x14ac:dyDescent="0.25">
      <c r="A183" s="1" t="str">
        <f>HYPERLINK("https://www.albertahealthservices.ca/findhealth/Service.aspx?serviceAtFacilityId=1104504","Designated Supportive Living Level 4 Dementia")</f>
        <v>Designated Supportive Living Level 4 Dementia</v>
      </c>
      <c r="B183" s="1" t="s">
        <v>734</v>
      </c>
      <c r="C183" s="2" t="s">
        <v>31</v>
      </c>
      <c r="D183" s="2" t="s">
        <v>732</v>
      </c>
      <c r="E183" s="1"/>
      <c r="F183" s="2" t="s">
        <v>23</v>
      </c>
      <c r="G183" s="2" t="s">
        <v>182</v>
      </c>
      <c r="H183" s="2" t="s">
        <v>733</v>
      </c>
    </row>
    <row r="184" spans="1:8" ht="180" x14ac:dyDescent="0.25">
      <c r="A184" s="1" t="str">
        <f>HYPERLINK("https://www.albertahealthservices.ca/findhealth/Service.aspx?serviceAtFacilityId=1050303","Community Mental Health Service")</f>
        <v>Community Mental Health Service</v>
      </c>
      <c r="B184" s="1" t="s">
        <v>738</v>
      </c>
      <c r="C184" s="2" t="s">
        <v>313</v>
      </c>
      <c r="D184" s="2" t="s">
        <v>735</v>
      </c>
      <c r="E184" s="1"/>
      <c r="F184" s="2" t="s">
        <v>736</v>
      </c>
      <c r="G184" s="2" t="s">
        <v>309</v>
      </c>
      <c r="H184" s="2" t="s">
        <v>737</v>
      </c>
    </row>
    <row r="185" spans="1:8" ht="135" x14ac:dyDescent="0.25">
      <c r="A185" s="1" t="str">
        <f>HYPERLINK("https://www.albertahealthservices.ca/findhealth/Service.aspx?serviceAtFacilityId=1075901","Walk-in Crisis Service")</f>
        <v>Walk-in Crisis Service</v>
      </c>
      <c r="B185" s="1" t="s">
        <v>741</v>
      </c>
      <c r="C185" s="2" t="s">
        <v>562</v>
      </c>
      <c r="D185" s="2" t="s">
        <v>739</v>
      </c>
      <c r="E185" s="1"/>
      <c r="F185" s="2" t="s">
        <v>559</v>
      </c>
      <c r="G185" s="2" t="s">
        <v>557</v>
      </c>
      <c r="H185" s="2" t="s">
        <v>740</v>
      </c>
    </row>
    <row r="186" spans="1:8" ht="255" x14ac:dyDescent="0.25">
      <c r="A186" s="1" t="str">
        <f>HYPERLINK("https://www.albertahealthservices.ca/findhealth/Service.aspx?serviceAtFacilityId=1023380","Pediatric Child Life Services")</f>
        <v>Pediatric Child Life Services</v>
      </c>
      <c r="B186" s="1" t="s">
        <v>456</v>
      </c>
      <c r="C186" s="2" t="s">
        <v>744</v>
      </c>
      <c r="D186" s="2" t="s">
        <v>743</v>
      </c>
      <c r="E186" s="1"/>
      <c r="F186" s="2" t="s">
        <v>311</v>
      </c>
      <c r="G186" s="2" t="s">
        <v>742</v>
      </c>
      <c r="H186" s="1"/>
    </row>
    <row r="187" spans="1:8" ht="270" x14ac:dyDescent="0.25">
      <c r="A187" s="1" t="str">
        <f>HYPERLINK("https://www.albertahealthservices.ca/findhealth/Service.aspx?serviceAtFacilityId=1104554","Designated Supportive Living Level 4 Dementia")</f>
        <v>Designated Supportive Living Level 4 Dementia</v>
      </c>
      <c r="B187" s="1" t="s">
        <v>747</v>
      </c>
      <c r="C187" s="2" t="s">
        <v>31</v>
      </c>
      <c r="D187" s="2" t="s">
        <v>745</v>
      </c>
      <c r="E187" s="1"/>
      <c r="F187" s="2" t="s">
        <v>23</v>
      </c>
      <c r="G187" s="2" t="s">
        <v>27</v>
      </c>
      <c r="H187" s="2" t="s">
        <v>746</v>
      </c>
    </row>
    <row r="188" spans="1:8" ht="285" x14ac:dyDescent="0.25">
      <c r="A188" s="1" t="str">
        <f>HYPERLINK("https://www.albertahealthservices.ca/findhealth/Service.aspx?serviceAtFacilityId=1051996","School Health Program")</f>
        <v>School Health Program</v>
      </c>
      <c r="B188" s="1" t="s">
        <v>750</v>
      </c>
      <c r="C188" s="2" t="s">
        <v>93</v>
      </c>
      <c r="D188" s="2" t="s">
        <v>748</v>
      </c>
      <c r="E188" s="1"/>
      <c r="F188" s="1" t="s">
        <v>34</v>
      </c>
      <c r="G188" s="1" t="s">
        <v>89</v>
      </c>
      <c r="H188" s="2" t="s">
        <v>749</v>
      </c>
    </row>
    <row r="189" spans="1:8" ht="135" x14ac:dyDescent="0.25">
      <c r="A189" s="1" t="str">
        <f>HYPERLINK("https://www.albertahealthservices.ca/findhealth/Service.aspx?serviceAtFacilityId=1089277","Psychiatric Emergency Team Rural")</f>
        <v>Psychiatric Emergency Team Rural</v>
      </c>
      <c r="B189" s="1" t="s">
        <v>755</v>
      </c>
      <c r="C189" s="2" t="s">
        <v>756</v>
      </c>
      <c r="D189" s="2" t="s">
        <v>752</v>
      </c>
      <c r="E189" s="1"/>
      <c r="F189" s="2" t="s">
        <v>753</v>
      </c>
      <c r="G189" s="2" t="s">
        <v>751</v>
      </c>
      <c r="H189" s="2" t="s">
        <v>754</v>
      </c>
    </row>
    <row r="190" spans="1:8" ht="210" x14ac:dyDescent="0.25">
      <c r="A190" s="1" t="str">
        <f>HYPERLINK("https://www.albertahealthservices.ca/findhealth/Service.aspx?serviceAtFacilityId=1017150","Seniors Mental Health Program Community Services, Seniors Outreach Nurses")</f>
        <v>Seniors Mental Health Program Community Services, Seniors Outreach Nurses</v>
      </c>
      <c r="B190" s="1" t="s">
        <v>556</v>
      </c>
      <c r="C190" s="2" t="s">
        <v>471</v>
      </c>
      <c r="D190" s="2" t="s">
        <v>757</v>
      </c>
      <c r="E190" s="1"/>
      <c r="F190" s="2" t="s">
        <v>758</v>
      </c>
      <c r="G190" s="2" t="s">
        <v>467</v>
      </c>
      <c r="H190" s="2" t="s">
        <v>759</v>
      </c>
    </row>
    <row r="191" spans="1:8" ht="409.5" x14ac:dyDescent="0.25">
      <c r="A191" s="1" t="str">
        <f>HYPERLINK("https://www.albertahealthservices.ca/findhealth/Service.aspx?serviceAtFacilityId=1044056","Continuing Care Counselling")</f>
        <v>Continuing Care Counselling</v>
      </c>
      <c r="B191" s="1" t="s">
        <v>762</v>
      </c>
      <c r="C191" s="2" t="s">
        <v>163</v>
      </c>
      <c r="D191" s="2" t="s">
        <v>760</v>
      </c>
      <c r="E191" s="1"/>
      <c r="F191" s="2" t="s">
        <v>261</v>
      </c>
      <c r="G191" s="2" t="s">
        <v>158</v>
      </c>
      <c r="H191" s="2" t="s">
        <v>761</v>
      </c>
    </row>
    <row r="192" spans="1:8" ht="345" x14ac:dyDescent="0.25">
      <c r="A192" s="1" t="str">
        <f>HYPERLINK("https://www.albertahealthservices.ca/findhealth/Service.aspx?serviceAtFacilityId=1108011","Designated Supportive Living Level 4 Dementia")</f>
        <v>Designated Supportive Living Level 4 Dementia</v>
      </c>
      <c r="B192" s="1" t="s">
        <v>765</v>
      </c>
      <c r="C192" s="2" t="s">
        <v>31</v>
      </c>
      <c r="D192" s="2" t="s">
        <v>763</v>
      </c>
      <c r="E192" s="1"/>
      <c r="F192" s="2" t="s">
        <v>23</v>
      </c>
      <c r="G192" s="2" t="s">
        <v>182</v>
      </c>
      <c r="H192" s="2" t="s">
        <v>764</v>
      </c>
    </row>
    <row r="193" spans="1:8" ht="390" x14ac:dyDescent="0.25">
      <c r="A193" s="1" t="str">
        <f>HYPERLINK("https://www.albertahealthservices.ca/findhealth/Service.aspx?serviceAtFacilityId=1102350","Children's Mental Health Treatment Services")</f>
        <v>Children's Mental Health Treatment Services</v>
      </c>
      <c r="B193" s="1" t="s">
        <v>768</v>
      </c>
      <c r="C193" s="2" t="s">
        <v>84</v>
      </c>
      <c r="D193" s="2" t="s">
        <v>766</v>
      </c>
      <c r="E193" s="2" t="s">
        <v>82</v>
      </c>
      <c r="F193" s="1" t="s">
        <v>34</v>
      </c>
      <c r="G193" s="2" t="s">
        <v>79</v>
      </c>
      <c r="H193" s="2" t="s">
        <v>767</v>
      </c>
    </row>
    <row r="194" spans="1:8" ht="255" x14ac:dyDescent="0.25">
      <c r="A194" s="1" t="str">
        <f>HYPERLINK("https://www.albertahealthservices.ca/findhealth/Service.aspx?serviceAtFacilityId=1102280","Walk In Counselling Services")</f>
        <v>Walk In Counselling Services</v>
      </c>
      <c r="B194" s="1" t="s">
        <v>148</v>
      </c>
      <c r="C194" s="2" t="s">
        <v>773</v>
      </c>
      <c r="D194" s="2" t="s">
        <v>770</v>
      </c>
      <c r="E194" s="1"/>
      <c r="F194" s="2" t="s">
        <v>771</v>
      </c>
      <c r="G194" s="2" t="s">
        <v>769</v>
      </c>
      <c r="H194" s="2" t="s">
        <v>772</v>
      </c>
    </row>
    <row r="195" spans="1:8" ht="240" x14ac:dyDescent="0.25">
      <c r="A195" s="1" t="str">
        <f>HYPERLINK("https://www.albertahealthservices.ca/findhealth/Service.aspx?serviceAtFacilityId=1048712","Spiritual Care")</f>
        <v>Spiritual Care</v>
      </c>
      <c r="B195" s="1" t="s">
        <v>777</v>
      </c>
      <c r="C195" s="2" t="s">
        <v>613</v>
      </c>
      <c r="D195" s="2" t="s">
        <v>774</v>
      </c>
      <c r="E195" s="1"/>
      <c r="F195" s="2" t="s">
        <v>775</v>
      </c>
      <c r="G195" s="2" t="s">
        <v>609</v>
      </c>
      <c r="H195" s="2" t="s">
        <v>776</v>
      </c>
    </row>
    <row r="196" spans="1:8" ht="270" x14ac:dyDescent="0.25">
      <c r="A196" s="1" t="str">
        <f>HYPERLINK("https://www.albertahealthservices.ca/findhealth/Service.aspx?serviceAtFacilityId=1094014","Addiction Services - Prevention")</f>
        <v>Addiction Services - Prevention</v>
      </c>
      <c r="B196" s="1" t="s">
        <v>781</v>
      </c>
      <c r="C196" s="2" t="s">
        <v>782</v>
      </c>
      <c r="D196" s="2" t="s">
        <v>779</v>
      </c>
      <c r="E196" s="1"/>
      <c r="F196" s="2" t="s">
        <v>311</v>
      </c>
      <c r="G196" s="2" t="s">
        <v>778</v>
      </c>
      <c r="H196" s="2" t="s">
        <v>780</v>
      </c>
    </row>
    <row r="197" spans="1:8" ht="240" x14ac:dyDescent="0.25">
      <c r="A197" s="1" t="str">
        <f>HYPERLINK("https://www.albertahealthservices.ca/findhealth/Service.aspx?serviceAtFacilityId=1057355","Operational Stress Injury Clinic")</f>
        <v>Operational Stress Injury Clinic</v>
      </c>
      <c r="B197" s="1" t="s">
        <v>786</v>
      </c>
      <c r="C197" s="2" t="s">
        <v>787</v>
      </c>
      <c r="D197" s="2" t="s">
        <v>784</v>
      </c>
      <c r="E197" s="2" t="s">
        <v>785</v>
      </c>
      <c r="F197" s="2" t="s">
        <v>117</v>
      </c>
      <c r="G197" s="2" t="s">
        <v>783</v>
      </c>
      <c r="H197" s="1"/>
    </row>
    <row r="198" spans="1:8" ht="195" x14ac:dyDescent="0.25">
      <c r="A198" s="1" t="str">
        <f>HYPERLINK("https://www.albertahealthservices.ca/findhealth/Service.aspx?serviceAtFacilityId=1112901","Mental Health Urgent Care")</f>
        <v>Mental Health Urgent Care</v>
      </c>
      <c r="B198" s="1" t="s">
        <v>791</v>
      </c>
      <c r="C198" s="2" t="s">
        <v>360</v>
      </c>
      <c r="D198" s="2" t="s">
        <v>788</v>
      </c>
      <c r="E198" s="1"/>
      <c r="F198" s="2" t="s">
        <v>789</v>
      </c>
      <c r="G198" s="2" t="s">
        <v>356</v>
      </c>
      <c r="H198" s="2" t="s">
        <v>790</v>
      </c>
    </row>
    <row r="199" spans="1:8" ht="409.5" x14ac:dyDescent="0.25">
      <c r="A199" s="1" t="str">
        <f>HYPERLINK("https://www.albertahealthservices.ca/findhealth/Service.aspx?serviceAtFacilityId=1119058","School Health Program")</f>
        <v>School Health Program</v>
      </c>
      <c r="B199" s="1" t="s">
        <v>660</v>
      </c>
      <c r="C199" s="2" t="s">
        <v>204</v>
      </c>
      <c r="D199" s="2" t="s">
        <v>792</v>
      </c>
      <c r="E199" s="1"/>
      <c r="F199" s="2" t="s">
        <v>201</v>
      </c>
      <c r="G199" s="2" t="s">
        <v>199</v>
      </c>
      <c r="H199" s="2" t="s">
        <v>793</v>
      </c>
    </row>
    <row r="200" spans="1:8" ht="255" x14ac:dyDescent="0.25">
      <c r="A200" s="1" t="str">
        <f>HYPERLINK("https://www.albertahealthservices.ca/findhealth/Service.aspx?serviceAtFacilityId=1046471","Addiction and Mental Health - Adult and Youth Intake")</f>
        <v>Addiction and Mental Health - Adult and Youth Intake</v>
      </c>
      <c r="B200" s="1" t="s">
        <v>797</v>
      </c>
      <c r="C200" s="2" t="s">
        <v>78</v>
      </c>
      <c r="D200" s="2" t="s">
        <v>794</v>
      </c>
      <c r="E200" s="1"/>
      <c r="F200" s="2" t="s">
        <v>795</v>
      </c>
      <c r="G200" s="2" t="s">
        <v>73</v>
      </c>
      <c r="H200" s="2" t="s">
        <v>796</v>
      </c>
    </row>
    <row r="201" spans="1:8" ht="409.5" x14ac:dyDescent="0.25">
      <c r="A201" s="1" t="str">
        <f>HYPERLINK("https://www.albertahealthservices.ca/findhealth/Service.aspx?serviceAtFacilityId=1082313","Mental Health Services")</f>
        <v>Mental Health Services</v>
      </c>
      <c r="B201" s="1" t="s">
        <v>157</v>
      </c>
      <c r="C201" s="2" t="s">
        <v>98</v>
      </c>
      <c r="D201" s="2" t="s">
        <v>798</v>
      </c>
      <c r="E201" s="1"/>
      <c r="F201" s="2" t="s">
        <v>799</v>
      </c>
      <c r="G201" s="2" t="s">
        <v>94</v>
      </c>
      <c r="H201" s="2" t="s">
        <v>800</v>
      </c>
    </row>
    <row r="202" spans="1:8" ht="270" x14ac:dyDescent="0.25">
      <c r="A202" s="1" t="str">
        <f>HYPERLINK("https://www.albertahealthservices.ca/findhealth/Service.aspx?serviceAtFacilityId=1116623","Designated Supportive Living Level 4 Dementia")</f>
        <v>Designated Supportive Living Level 4 Dementia</v>
      </c>
      <c r="B202" s="1" t="s">
        <v>803</v>
      </c>
      <c r="C202" s="2" t="s">
        <v>31</v>
      </c>
      <c r="D202" s="2" t="s">
        <v>801</v>
      </c>
      <c r="E202" s="1"/>
      <c r="F202" s="2" t="s">
        <v>23</v>
      </c>
      <c r="G202" s="2" t="s">
        <v>27</v>
      </c>
      <c r="H202" s="2" t="s">
        <v>802</v>
      </c>
    </row>
    <row r="203" spans="1:8" ht="105" x14ac:dyDescent="0.25">
      <c r="A203" s="1" t="str">
        <f>HYPERLINK("https://www.albertahealthservices.ca/findhealth/Service.aspx?serviceAtFacilityId=1102265","Psychiatric Nurses Team")</f>
        <v>Psychiatric Nurses Team</v>
      </c>
      <c r="B203" s="1" t="s">
        <v>192</v>
      </c>
      <c r="C203" s="2" t="s">
        <v>807</v>
      </c>
      <c r="D203" s="2" t="s">
        <v>805</v>
      </c>
      <c r="E203" s="1"/>
      <c r="F203" s="2" t="s">
        <v>806</v>
      </c>
      <c r="G203" s="1" t="s">
        <v>804</v>
      </c>
      <c r="H203" s="1" t="s">
        <v>657</v>
      </c>
    </row>
    <row r="204" spans="1:8" ht="240" x14ac:dyDescent="0.25">
      <c r="A204" s="1" t="str">
        <f>HYPERLINK("https://www.albertahealthservices.ca/findhealth/Service.aspx?serviceAtFacilityId=1047916","Spiritual Care")</f>
        <v>Spiritual Care</v>
      </c>
      <c r="B204" s="1" t="s">
        <v>810</v>
      </c>
      <c r="C204" s="2" t="s">
        <v>613</v>
      </c>
      <c r="D204" s="2" t="s">
        <v>808</v>
      </c>
      <c r="E204" s="1"/>
      <c r="F204" s="2" t="s">
        <v>611</v>
      </c>
      <c r="G204" s="2" t="s">
        <v>609</v>
      </c>
      <c r="H204" s="2" t="s">
        <v>809</v>
      </c>
    </row>
    <row r="205" spans="1:8" ht="135" x14ac:dyDescent="0.25">
      <c r="A205" s="1" t="str">
        <f>HYPERLINK("https://www.albertahealthservices.ca/findhealth/Service.aspx?serviceAtFacilityId=1055455","Sexual Assault Response Team")</f>
        <v>Sexual Assault Response Team</v>
      </c>
      <c r="B205" s="1" t="s">
        <v>177</v>
      </c>
      <c r="C205" s="2" t="s">
        <v>512</v>
      </c>
      <c r="D205" s="2" t="s">
        <v>811</v>
      </c>
      <c r="E205" s="1"/>
      <c r="F205" s="2" t="s">
        <v>23</v>
      </c>
      <c r="G205" s="2" t="s">
        <v>508</v>
      </c>
      <c r="H205" s="2" t="s">
        <v>812</v>
      </c>
    </row>
    <row r="206" spans="1:8" ht="375" x14ac:dyDescent="0.25">
      <c r="A206" s="1" t="str">
        <f>HYPERLINK("https://www.albertahealthservices.ca/findhealth/Service.aspx?serviceAtFacilityId=1115274","Community Helpers Program")</f>
        <v>Community Helpers Program</v>
      </c>
      <c r="B206" s="1" t="s">
        <v>815</v>
      </c>
      <c r="C206" s="2" t="s">
        <v>120</v>
      </c>
      <c r="D206" s="2" t="s">
        <v>813</v>
      </c>
      <c r="E206" s="1"/>
      <c r="F206" s="2" t="s">
        <v>117</v>
      </c>
      <c r="G206" s="2" t="s">
        <v>115</v>
      </c>
      <c r="H206" s="2" t="s">
        <v>814</v>
      </c>
    </row>
    <row r="207" spans="1:8" ht="120" x14ac:dyDescent="0.25">
      <c r="A207" s="1" t="str">
        <f>HYPERLINK("https://www.albertahealthservices.ca/findhealth/Service.aspx?serviceAtFacilityId=1093555","Psychiatric Emergency Services")</f>
        <v>Psychiatric Emergency Services</v>
      </c>
      <c r="B207" s="1" t="s">
        <v>108</v>
      </c>
      <c r="C207" s="2" t="s">
        <v>322</v>
      </c>
      <c r="D207" s="2" t="s">
        <v>816</v>
      </c>
      <c r="E207" s="1"/>
      <c r="F207" s="2" t="s">
        <v>23</v>
      </c>
      <c r="G207" s="2" t="s">
        <v>319</v>
      </c>
      <c r="H207" s="2" t="s">
        <v>368</v>
      </c>
    </row>
    <row r="208" spans="1:8" ht="270" x14ac:dyDescent="0.25">
      <c r="A208" s="1" t="str">
        <f>HYPERLINK("https://www.albertahealthservices.ca/findhealth/Service.aspx?serviceAtFacilityId=1107568","School Health Services")</f>
        <v>School Health Services</v>
      </c>
      <c r="B208" s="1" t="s">
        <v>820</v>
      </c>
      <c r="C208" s="2" t="s">
        <v>641</v>
      </c>
      <c r="D208" s="2" t="s">
        <v>817</v>
      </c>
      <c r="E208" s="1"/>
      <c r="F208" s="2" t="s">
        <v>818</v>
      </c>
      <c r="G208" s="2" t="s">
        <v>636</v>
      </c>
      <c r="H208" s="2" t="s">
        <v>819</v>
      </c>
    </row>
    <row r="209" spans="1:8" ht="180" x14ac:dyDescent="0.25">
      <c r="A209" s="1" t="str">
        <f>HYPERLINK("https://www.albertahealthservices.ca/findhealth/Service.aspx?serviceAtFacilityId=1107411","Mental Health Capacity Building - Vermilion Is Being Empowered")</f>
        <v>Mental Health Capacity Building - Vermilion Is Being Empowered</v>
      </c>
      <c r="B209" s="1" t="s">
        <v>825</v>
      </c>
      <c r="C209" s="2" t="s">
        <v>826</v>
      </c>
      <c r="D209" s="2" t="s">
        <v>822</v>
      </c>
      <c r="E209" s="1"/>
      <c r="F209" s="2" t="s">
        <v>823</v>
      </c>
      <c r="G209" s="2" t="s">
        <v>821</v>
      </c>
      <c r="H209" s="2" t="s">
        <v>824</v>
      </c>
    </row>
    <row r="210" spans="1:8" ht="409.5" x14ac:dyDescent="0.25">
      <c r="A210" s="1" t="str">
        <f>HYPERLINK("https://www.albertahealthservices.ca/findhealth/Service.aspx?serviceAtFacilityId=1101698","Therapeutic Recreation Services")</f>
        <v>Therapeutic Recreation Services</v>
      </c>
      <c r="B210" s="1" t="s">
        <v>124</v>
      </c>
      <c r="C210" s="2" t="s">
        <v>37</v>
      </c>
      <c r="D210" s="2" t="s">
        <v>827</v>
      </c>
      <c r="E210" s="1"/>
      <c r="F210" s="1" t="s">
        <v>34</v>
      </c>
      <c r="G210" s="2" t="s">
        <v>32</v>
      </c>
      <c r="H210" s="2" t="s">
        <v>828</v>
      </c>
    </row>
    <row r="211" spans="1:8" ht="270" x14ac:dyDescent="0.25">
      <c r="A211" s="1" t="str">
        <f>HYPERLINK("https://www.albertahealthservices.ca/findhealth/Service.aspx?serviceAtFacilityId=1107567","School Health Services")</f>
        <v>School Health Services</v>
      </c>
      <c r="B211" s="1" t="s">
        <v>832</v>
      </c>
      <c r="C211" s="2" t="s">
        <v>641</v>
      </c>
      <c r="D211" s="2" t="s">
        <v>829</v>
      </c>
      <c r="E211" s="1"/>
      <c r="F211" s="2" t="s">
        <v>830</v>
      </c>
      <c r="G211" s="2" t="s">
        <v>636</v>
      </c>
      <c r="H211" s="2" t="s">
        <v>831</v>
      </c>
    </row>
    <row r="212" spans="1:8" ht="270" x14ac:dyDescent="0.25">
      <c r="A212" s="1" t="str">
        <f>HYPERLINK("https://www.albertahealthservices.ca/findhealth/Service.aspx?serviceAtFacilityId=1104506","Designated Supportive Living Level 4 Dementia")</f>
        <v>Designated Supportive Living Level 4 Dementia</v>
      </c>
      <c r="B212" s="1" t="s">
        <v>835</v>
      </c>
      <c r="C212" s="2" t="s">
        <v>31</v>
      </c>
      <c r="D212" s="2" t="s">
        <v>833</v>
      </c>
      <c r="E212" s="1"/>
      <c r="F212" s="2" t="s">
        <v>23</v>
      </c>
      <c r="G212" s="2" t="s">
        <v>27</v>
      </c>
      <c r="H212" s="2" t="s">
        <v>834</v>
      </c>
    </row>
    <row r="213" spans="1:8" ht="270" x14ac:dyDescent="0.25">
      <c r="A213" s="1" t="str">
        <f>HYPERLINK("https://www.albertahealthservices.ca/findhealth/Service.aspx?serviceAtFacilityId=1094007","Addiction Services - Prevention")</f>
        <v>Addiction Services - Prevention</v>
      </c>
      <c r="B213" s="1" t="s">
        <v>188</v>
      </c>
      <c r="C213" s="2" t="s">
        <v>782</v>
      </c>
      <c r="D213" s="2" t="s">
        <v>186</v>
      </c>
      <c r="E213" s="1"/>
      <c r="F213" s="2" t="s">
        <v>311</v>
      </c>
      <c r="G213" s="2" t="s">
        <v>778</v>
      </c>
      <c r="H213" s="2" t="s">
        <v>836</v>
      </c>
    </row>
    <row r="214" spans="1:8" ht="375" x14ac:dyDescent="0.25">
      <c r="A214" s="1" t="str">
        <f>HYPERLINK("https://www.albertahealthservices.ca/findhealth/Service.aspx?serviceAtFacilityId=1053057","Regional Collaborative Service Delivery - School based and school linked mental health teams")</f>
        <v>Regional Collaborative Service Delivery - School based and school linked mental health teams</v>
      </c>
      <c r="B214" s="1" t="s">
        <v>840</v>
      </c>
      <c r="C214" s="2" t="s">
        <v>688</v>
      </c>
      <c r="D214" s="2" t="s">
        <v>837</v>
      </c>
      <c r="E214" s="1"/>
      <c r="F214" s="2" t="s">
        <v>838</v>
      </c>
      <c r="G214" s="2" t="s">
        <v>685</v>
      </c>
      <c r="H214" s="2" t="s">
        <v>839</v>
      </c>
    </row>
    <row r="215" spans="1:8" ht="105" x14ac:dyDescent="0.25">
      <c r="A215" s="1" t="str">
        <f>HYPERLINK("https://www.albertahealthservices.ca/findhealth/Service.aspx?serviceAtFacilityId=1103608","Community Treatment Order")</f>
        <v>Community Treatment Order</v>
      </c>
      <c r="B215" s="1" t="s">
        <v>242</v>
      </c>
      <c r="C215" s="2" t="s">
        <v>844</v>
      </c>
      <c r="D215" s="2" t="s">
        <v>842</v>
      </c>
      <c r="E215" s="1"/>
      <c r="F215" s="2" t="s">
        <v>190</v>
      </c>
      <c r="G215" s="2" t="s">
        <v>841</v>
      </c>
      <c r="H215" s="1" t="s">
        <v>843</v>
      </c>
    </row>
    <row r="216" spans="1:8" ht="225" x14ac:dyDescent="0.25">
      <c r="A216" s="1" t="str">
        <f>HYPERLINK("https://www.albertahealthservices.ca/findhealth/Service.aspx?serviceAtFacilityId=1064863","Collaborative Mental Health Care")</f>
        <v>Collaborative Mental Health Care</v>
      </c>
      <c r="B216" s="1" t="s">
        <v>847</v>
      </c>
      <c r="C216" s="2" t="s">
        <v>848</v>
      </c>
      <c r="D216" s="2" t="s">
        <v>846</v>
      </c>
      <c r="E216" s="1"/>
      <c r="F216" s="2" t="s">
        <v>311</v>
      </c>
      <c r="G216" s="2" t="s">
        <v>845</v>
      </c>
      <c r="H216" s="1"/>
    </row>
    <row r="217" spans="1:8" ht="180" x14ac:dyDescent="0.25">
      <c r="A217" s="1" t="str">
        <f>HYPERLINK("https://www.albertahealthservices.ca/findhealth/Service.aspx?serviceAtFacilityId=1004754","Seniors Mental Health Program Community Services, Seniors Outreach Nurses")</f>
        <v>Seniors Mental Health Program Community Services, Seniors Outreach Nurses</v>
      </c>
      <c r="B217" s="1" t="s">
        <v>515</v>
      </c>
      <c r="C217" s="2" t="s">
        <v>471</v>
      </c>
      <c r="D217" s="2" t="s">
        <v>849</v>
      </c>
      <c r="E217" s="1"/>
      <c r="F217" s="2" t="s">
        <v>850</v>
      </c>
      <c r="G217" s="2" t="s">
        <v>467</v>
      </c>
      <c r="H217" s="2" t="s">
        <v>851</v>
      </c>
    </row>
    <row r="218" spans="1:8" ht="195" x14ac:dyDescent="0.25">
      <c r="A218" s="1" t="str">
        <f>HYPERLINK("https://www.albertahealthservices.ca/findhealth/Service.aspx?serviceAtFacilityId=1119439","Mental Health Intake")</f>
        <v>Mental Health Intake</v>
      </c>
      <c r="B218" s="1" t="s">
        <v>855</v>
      </c>
      <c r="C218" s="2" t="s">
        <v>856</v>
      </c>
      <c r="D218" s="2" t="s">
        <v>853</v>
      </c>
      <c r="E218" s="1"/>
      <c r="F218" s="2" t="s">
        <v>311</v>
      </c>
      <c r="G218" s="2" t="s">
        <v>852</v>
      </c>
      <c r="H218" s="2" t="s">
        <v>854</v>
      </c>
    </row>
    <row r="219" spans="1:8" ht="300" x14ac:dyDescent="0.25">
      <c r="A219" s="1" t="str">
        <f>HYPERLINK("https://www.albertahealthservices.ca/findhealth/Service.aspx?serviceAtFacilityId=1093942","Addiction Services - Adult Residential")</f>
        <v>Addiction Services - Adult Residential</v>
      </c>
      <c r="B219" s="1" t="s">
        <v>860</v>
      </c>
      <c r="C219" s="2" t="s">
        <v>318</v>
      </c>
      <c r="D219" s="2" t="s">
        <v>857</v>
      </c>
      <c r="E219" s="1"/>
      <c r="F219" s="2" t="s">
        <v>858</v>
      </c>
      <c r="G219" s="2" t="s">
        <v>314</v>
      </c>
      <c r="H219" s="2" t="s">
        <v>859</v>
      </c>
    </row>
    <row r="220" spans="1:8" ht="270" x14ac:dyDescent="0.25">
      <c r="A220" s="1" t="str">
        <f>HYPERLINK("https://www.albertahealthservices.ca/findhealth/Service.aspx?serviceAtFacilityId=1094002","Addiction Services - Prevention")</f>
        <v>Addiction Services - Prevention</v>
      </c>
      <c r="B220" s="1" t="s">
        <v>208</v>
      </c>
      <c r="C220" s="2" t="s">
        <v>782</v>
      </c>
      <c r="D220" s="2" t="s">
        <v>861</v>
      </c>
      <c r="E220" s="1"/>
      <c r="F220" s="2" t="s">
        <v>862</v>
      </c>
      <c r="G220" s="2" t="s">
        <v>778</v>
      </c>
      <c r="H220" s="2" t="s">
        <v>863</v>
      </c>
    </row>
    <row r="221" spans="1:8" ht="270" x14ac:dyDescent="0.25">
      <c r="A221" s="1" t="str">
        <f>HYPERLINK("https://www.albertahealthservices.ca/findhealth/Service.aspx?serviceAtFacilityId=1120507","Designated Supportive Living Level 4 Dementia")</f>
        <v>Designated Supportive Living Level 4 Dementia</v>
      </c>
      <c r="B221" s="1" t="s">
        <v>866</v>
      </c>
      <c r="C221" s="2" t="s">
        <v>31</v>
      </c>
      <c r="D221" s="2" t="s">
        <v>864</v>
      </c>
      <c r="E221" s="1"/>
      <c r="F221" s="1" t="s">
        <v>34</v>
      </c>
      <c r="G221" s="2" t="s">
        <v>27</v>
      </c>
      <c r="H221" s="2" t="s">
        <v>865</v>
      </c>
    </row>
    <row r="222" spans="1:8" ht="345" x14ac:dyDescent="0.25">
      <c r="A222" s="1" t="str">
        <f>HYPERLINK("https://www.albertahealthservices.ca/findhealth/Service.aspx?serviceAtFacilityId=1104465","Designated Supportive Living Level 4 Dementia")</f>
        <v>Designated Supportive Living Level 4 Dementia</v>
      </c>
      <c r="B222" s="1" t="s">
        <v>869</v>
      </c>
      <c r="C222" s="2" t="s">
        <v>31</v>
      </c>
      <c r="D222" s="2" t="s">
        <v>867</v>
      </c>
      <c r="E222" s="1"/>
      <c r="F222" s="2" t="s">
        <v>23</v>
      </c>
      <c r="G222" s="2" t="s">
        <v>182</v>
      </c>
      <c r="H222" s="2" t="s">
        <v>868</v>
      </c>
    </row>
    <row r="223" spans="1:8" ht="210" x14ac:dyDescent="0.25">
      <c r="A223" s="1" t="str">
        <f>HYPERLINK("https://www.albertahealthservices.ca/findhealth/Service.aspx?serviceAtFacilityId=1107526","Addiction Services - Youth Counselling")</f>
        <v>Addiction Services - Youth Counselling</v>
      </c>
      <c r="B223" s="1" t="s">
        <v>874</v>
      </c>
      <c r="C223" s="2" t="s">
        <v>875</v>
      </c>
      <c r="D223" s="2" t="s">
        <v>871</v>
      </c>
      <c r="E223" s="1"/>
      <c r="F223" s="2" t="s">
        <v>872</v>
      </c>
      <c r="G223" s="2" t="s">
        <v>870</v>
      </c>
      <c r="H223" s="2" t="s">
        <v>873</v>
      </c>
    </row>
    <row r="224" spans="1:8" ht="255" x14ac:dyDescent="0.25">
      <c r="A224" s="1" t="str">
        <f>HYPERLINK("https://www.albertahealthservices.ca/findhealth/Service.aspx?serviceAtFacilityId=1110638","Abortion Health Services")</f>
        <v>Abortion Health Services</v>
      </c>
      <c r="B224" s="1" t="s">
        <v>378</v>
      </c>
      <c r="C224" s="2" t="s">
        <v>504</v>
      </c>
      <c r="D224" s="2" t="s">
        <v>876</v>
      </c>
      <c r="E224" s="1"/>
      <c r="F224" s="2" t="s">
        <v>877</v>
      </c>
      <c r="G224" s="2" t="s">
        <v>500</v>
      </c>
      <c r="H224" s="1" t="s">
        <v>503</v>
      </c>
    </row>
    <row r="225" spans="1:8" ht="345" x14ac:dyDescent="0.25">
      <c r="A225" s="1" t="str">
        <f>HYPERLINK("https://www.albertahealthservices.ca/findhealth/Service.aspx?serviceAtFacilityId=1102412","Assertive Outreach Services")</f>
        <v>Assertive Outreach Services</v>
      </c>
      <c r="B225" s="1" t="s">
        <v>840</v>
      </c>
      <c r="C225" s="2" t="s">
        <v>882</v>
      </c>
      <c r="D225" s="2" t="s">
        <v>879</v>
      </c>
      <c r="E225" s="2" t="s">
        <v>880</v>
      </c>
      <c r="F225" s="1" t="s">
        <v>34</v>
      </c>
      <c r="G225" s="2" t="s">
        <v>878</v>
      </c>
      <c r="H225" s="2" t="s">
        <v>881</v>
      </c>
    </row>
    <row r="226" spans="1:8" ht="390" x14ac:dyDescent="0.25">
      <c r="A226" s="1" t="str">
        <f>HYPERLINK("https://www.albertahealthservices.ca/findhealth/Service.aspx?serviceAtFacilityId=1102346","Children's Mental Health Treatment Services")</f>
        <v>Children's Mental Health Treatment Services</v>
      </c>
      <c r="B226" s="1" t="s">
        <v>342</v>
      </c>
      <c r="C226" s="2" t="s">
        <v>84</v>
      </c>
      <c r="D226" s="2" t="s">
        <v>883</v>
      </c>
      <c r="E226" s="2" t="s">
        <v>82</v>
      </c>
      <c r="F226" s="2" t="s">
        <v>884</v>
      </c>
      <c r="G226" s="2" t="s">
        <v>79</v>
      </c>
      <c r="H226" s="2" t="s">
        <v>885</v>
      </c>
    </row>
    <row r="227" spans="1:8" ht="409.5" x14ac:dyDescent="0.25">
      <c r="A227" s="1" t="str">
        <f>HYPERLINK("https://www.albertahealthservices.ca/findhealth/Service.aspx?serviceAtFacilityId=1090158","Continuing Care Counselling")</f>
        <v>Continuing Care Counselling</v>
      </c>
      <c r="B227" s="1" t="s">
        <v>888</v>
      </c>
      <c r="C227" s="2" t="s">
        <v>163</v>
      </c>
      <c r="D227" s="2" t="s">
        <v>886</v>
      </c>
      <c r="E227" s="1"/>
      <c r="F227" s="2" t="s">
        <v>261</v>
      </c>
      <c r="G227" s="2" t="s">
        <v>158</v>
      </c>
      <c r="H227" s="2" t="s">
        <v>887</v>
      </c>
    </row>
    <row r="228" spans="1:8" ht="150" x14ac:dyDescent="0.25">
      <c r="A228" s="1" t="str">
        <f>HYPERLINK("https://www.albertahealthservices.ca/findhealth/Service.aspx?serviceAtFacilityId=1108251","Mental Health Capacity Building - High Level Student Wellness Project")</f>
        <v>Mental Health Capacity Building - High Level Student Wellness Project</v>
      </c>
      <c r="B228" s="1" t="s">
        <v>891</v>
      </c>
      <c r="C228" s="2" t="s">
        <v>892</v>
      </c>
      <c r="D228" s="2" t="s">
        <v>889</v>
      </c>
      <c r="E228" s="1"/>
      <c r="F228" s="2" t="s">
        <v>10</v>
      </c>
      <c r="G228" s="2" t="s">
        <v>458</v>
      </c>
      <c r="H228" s="2" t="s">
        <v>890</v>
      </c>
    </row>
    <row r="229" spans="1:8" ht="315" x14ac:dyDescent="0.25">
      <c r="A229" s="1" t="str">
        <f>HYPERLINK("https://www.albertahealthservices.ca/findhealth/Service.aspx?serviceAtFacilityId=1006534","Postpartum Depression Support")</f>
        <v>Postpartum Depression Support</v>
      </c>
      <c r="B229" s="1" t="s">
        <v>895</v>
      </c>
      <c r="C229" s="2" t="s">
        <v>114</v>
      </c>
      <c r="D229" s="2" t="s">
        <v>893</v>
      </c>
      <c r="E229" s="1"/>
      <c r="F229" s="1" t="s">
        <v>34</v>
      </c>
      <c r="G229" s="1"/>
      <c r="H229" s="2" t="s">
        <v>894</v>
      </c>
    </row>
    <row r="230" spans="1:8" ht="60" x14ac:dyDescent="0.25">
      <c r="A230" s="1" t="str">
        <f>HYPERLINK("https://www.albertahealthservices.ca/findhealth/Service.aspx?serviceAtFacilityId=1105055","Addiction and Mental Health - Consultation and Liaison Services, Child and Adolescent")</f>
        <v>Addiction and Mental Health - Consultation and Liaison Services, Child and Adolescent</v>
      </c>
      <c r="B230" s="1" t="s">
        <v>723</v>
      </c>
      <c r="C230" s="2" t="s">
        <v>899</v>
      </c>
      <c r="D230" s="2" t="s">
        <v>897</v>
      </c>
      <c r="E230" s="2" t="s">
        <v>898</v>
      </c>
      <c r="F230" s="1" t="s">
        <v>34</v>
      </c>
      <c r="G230" s="2" t="s">
        <v>896</v>
      </c>
      <c r="H230" s="1"/>
    </row>
    <row r="231" spans="1:8" ht="345" x14ac:dyDescent="0.25">
      <c r="A231" s="1" t="str">
        <f>HYPERLINK("https://www.albertahealthservices.ca/findhealth/Service.aspx?serviceAtFacilityId=1071005","Sexual and Reproductive Health - Clinical Services")</f>
        <v>Sexual and Reproductive Health - Clinical Services</v>
      </c>
      <c r="B231" s="1" t="s">
        <v>847</v>
      </c>
      <c r="C231" s="2" t="s">
        <v>905</v>
      </c>
      <c r="D231" s="2" t="s">
        <v>901</v>
      </c>
      <c r="E231" s="2" t="s">
        <v>903</v>
      </c>
      <c r="F231" s="2" t="s">
        <v>902</v>
      </c>
      <c r="G231" s="2" t="s">
        <v>900</v>
      </c>
      <c r="H231" s="2" t="s">
        <v>904</v>
      </c>
    </row>
    <row r="232" spans="1:8" ht="405" x14ac:dyDescent="0.25">
      <c r="A232" s="1" t="str">
        <f>HYPERLINK("https://www.albertahealthservices.ca/findhealth/Service.aspx?serviceAtFacilityId=1115920","Community Addiction &amp; Mental Health - Adult &amp; Youth Services")</f>
        <v>Community Addiction &amp; Mental Health - Adult &amp; Youth Services</v>
      </c>
      <c r="B232" s="1" t="s">
        <v>909</v>
      </c>
      <c r="C232" s="2" t="s">
        <v>133</v>
      </c>
      <c r="D232" s="2" t="s">
        <v>906</v>
      </c>
      <c r="E232" s="1"/>
      <c r="F232" s="2" t="s">
        <v>907</v>
      </c>
      <c r="G232" s="2" t="s">
        <v>129</v>
      </c>
      <c r="H232" s="2" t="s">
        <v>908</v>
      </c>
    </row>
    <row r="233" spans="1:8" ht="165" x14ac:dyDescent="0.25">
      <c r="A233" s="1" t="str">
        <f>HYPERLINK("https://www.albertahealthservices.ca/findhealth/Service.aspx?serviceAtFacilityId=1112260","Cognitive Neurosciences Clinic")</f>
        <v>Cognitive Neurosciences Clinic</v>
      </c>
      <c r="B233" s="1" t="s">
        <v>913</v>
      </c>
      <c r="C233" s="2" t="s">
        <v>914</v>
      </c>
      <c r="D233" s="2" t="s">
        <v>911</v>
      </c>
      <c r="E233" s="1"/>
      <c r="F233" s="2" t="s">
        <v>912</v>
      </c>
      <c r="G233" s="2" t="s">
        <v>910</v>
      </c>
      <c r="H233" s="1" t="s">
        <v>108</v>
      </c>
    </row>
    <row r="234" spans="1:8" ht="390" x14ac:dyDescent="0.25">
      <c r="A234" s="1" t="str">
        <f>HYPERLINK("https://www.albertahealthservices.ca/findhealth/Service.aspx?serviceAtFacilityId=1115288","Community Helpers Program")</f>
        <v>Community Helpers Program</v>
      </c>
      <c r="B234" s="1" t="s">
        <v>917</v>
      </c>
      <c r="C234" s="2" t="s">
        <v>120</v>
      </c>
      <c r="D234" s="2" t="s">
        <v>915</v>
      </c>
      <c r="E234" s="1"/>
      <c r="F234" s="2" t="s">
        <v>117</v>
      </c>
      <c r="G234" s="2" t="s">
        <v>115</v>
      </c>
      <c r="H234" s="2" t="s">
        <v>916</v>
      </c>
    </row>
    <row r="235" spans="1:8" ht="135" x14ac:dyDescent="0.25">
      <c r="A235" s="1" t="str">
        <f>HYPERLINK("https://www.albertahealthservices.ca/findhealth/Service.aspx?serviceAtFacilityId=1114459","Sexual Assault Response Team")</f>
        <v>Sexual Assault Response Team</v>
      </c>
      <c r="B235" s="1" t="s">
        <v>602</v>
      </c>
      <c r="C235" s="2" t="s">
        <v>920</v>
      </c>
      <c r="D235" s="2" t="s">
        <v>919</v>
      </c>
      <c r="E235" s="1"/>
      <c r="F235" s="2" t="s">
        <v>23</v>
      </c>
      <c r="G235" s="2" t="s">
        <v>918</v>
      </c>
      <c r="H235" s="1"/>
    </row>
    <row r="236" spans="1:8" ht="270" x14ac:dyDescent="0.25">
      <c r="A236" s="1" t="str">
        <f>HYPERLINK("https://www.albertahealthservices.ca/findhealth/Service.aspx?serviceAtFacilityId=1104951","Day Treatment Service - Community Geriatric Mental Health")</f>
        <v>Day Treatment Service - Community Geriatric Mental Health</v>
      </c>
      <c r="B236" s="1" t="s">
        <v>374</v>
      </c>
      <c r="C236" s="2" t="s">
        <v>924</v>
      </c>
      <c r="D236" s="2" t="s">
        <v>922</v>
      </c>
      <c r="E236" s="2" t="s">
        <v>923</v>
      </c>
      <c r="F236" s="2" t="s">
        <v>190</v>
      </c>
      <c r="G236" s="2" t="s">
        <v>921</v>
      </c>
      <c r="H236" s="1"/>
    </row>
    <row r="237" spans="1:8" ht="285" x14ac:dyDescent="0.25">
      <c r="A237" s="1" t="str">
        <f>HYPERLINK("https://www.albertahealthservices.ca/findhealth/Service.aspx?serviceAtFacilityId=1051998","School Health Program")</f>
        <v>School Health Program</v>
      </c>
      <c r="B237" s="1" t="s">
        <v>927</v>
      </c>
      <c r="C237" s="2" t="s">
        <v>93</v>
      </c>
      <c r="D237" s="2" t="s">
        <v>925</v>
      </c>
      <c r="E237" s="1"/>
      <c r="F237" s="1" t="s">
        <v>34</v>
      </c>
      <c r="G237" s="1" t="s">
        <v>89</v>
      </c>
      <c r="H237" s="2" t="s">
        <v>926</v>
      </c>
    </row>
    <row r="238" spans="1:8" ht="180" x14ac:dyDescent="0.25">
      <c r="A238" s="1" t="str">
        <f>HYPERLINK("https://www.albertahealthservices.ca/findhealth/Service.aspx?serviceAtFacilityId=1102155","Adult Day Program - Addiction and Mental Health")</f>
        <v>Adult Day Program - Addiction and Mental Health</v>
      </c>
      <c r="B238" s="1" t="s">
        <v>103</v>
      </c>
      <c r="C238" s="2" t="s">
        <v>570</v>
      </c>
      <c r="D238" s="2" t="s">
        <v>928</v>
      </c>
      <c r="E238" s="1"/>
      <c r="F238" s="2" t="s">
        <v>929</v>
      </c>
      <c r="G238" s="2" t="s">
        <v>567</v>
      </c>
      <c r="H238" s="1" t="s">
        <v>197</v>
      </c>
    </row>
    <row r="239" spans="1:8" ht="409.5" x14ac:dyDescent="0.25">
      <c r="A239" s="1" t="str">
        <f>HYPERLINK("https://www.albertahealthservices.ca/findhealth/Service.aspx?serviceAtFacilityId=1090155","Continuing Care Counselling")</f>
        <v>Continuing Care Counselling</v>
      </c>
      <c r="B239" s="1" t="s">
        <v>932</v>
      </c>
      <c r="C239" s="2" t="s">
        <v>163</v>
      </c>
      <c r="D239" s="2" t="s">
        <v>930</v>
      </c>
      <c r="E239" s="1"/>
      <c r="F239" s="2" t="s">
        <v>261</v>
      </c>
      <c r="G239" s="2" t="s">
        <v>158</v>
      </c>
      <c r="H239" s="2" t="s">
        <v>931</v>
      </c>
    </row>
    <row r="240" spans="1:8" ht="409.5" x14ac:dyDescent="0.25">
      <c r="A240" s="1" t="str">
        <f>HYPERLINK("https://www.albertahealthservices.ca/findhealth/Service.aspx?serviceAtFacilityId=1039798","Eating Disorder Services")</f>
        <v>Eating Disorder Services</v>
      </c>
      <c r="B240" s="1" t="s">
        <v>77</v>
      </c>
      <c r="C240" s="2" t="s">
        <v>212</v>
      </c>
      <c r="D240" s="2" t="s">
        <v>933</v>
      </c>
      <c r="E240" s="1"/>
      <c r="F240" s="2" t="s">
        <v>934</v>
      </c>
      <c r="G240" s="2" t="s">
        <v>209</v>
      </c>
      <c r="H240" s="2" t="s">
        <v>935</v>
      </c>
    </row>
    <row r="241" spans="1:8" ht="105" x14ac:dyDescent="0.25">
      <c r="A241" s="1" t="str">
        <f>HYPERLINK("https://www.albertahealthservices.ca/findhealth/Service.aspx?serviceAtFacilityId=1107753","Dementia Advice Service")</f>
        <v>Dementia Advice Service</v>
      </c>
      <c r="B241" s="1" t="s">
        <v>441</v>
      </c>
      <c r="C241" s="2" t="s">
        <v>938</v>
      </c>
      <c r="D241" s="2" t="s">
        <v>937</v>
      </c>
      <c r="E241" s="1"/>
      <c r="F241" s="2" t="s">
        <v>23</v>
      </c>
      <c r="G241" s="2" t="s">
        <v>936</v>
      </c>
      <c r="H241" s="1"/>
    </row>
    <row r="242" spans="1:8" ht="135" x14ac:dyDescent="0.25">
      <c r="A242" s="1" t="str">
        <f>HYPERLINK("https://www.albertahealthservices.ca/findhealth/Service.aspx?serviceAtFacilityId=1047134","Mental Health Help Line")</f>
        <v>Mental Health Help Line</v>
      </c>
      <c r="B242" s="1" t="s">
        <v>441</v>
      </c>
      <c r="C242" s="2" t="s">
        <v>941</v>
      </c>
      <c r="D242" s="2" t="s">
        <v>940</v>
      </c>
      <c r="E242" s="1"/>
      <c r="F242" s="2" t="s">
        <v>23</v>
      </c>
      <c r="G242" s="1" t="s">
        <v>939</v>
      </c>
      <c r="H242" s="1"/>
    </row>
    <row r="243" spans="1:8" ht="409.5" x14ac:dyDescent="0.25">
      <c r="A243" s="1" t="str">
        <f>HYPERLINK("https://www.albertahealthservices.ca/findhealth/Service.aspx?serviceAtFacilityId=1000175","Geriatric Assessment and Rehabilitation Unit")</f>
        <v>Geriatric Assessment and Rehabilitation Unit</v>
      </c>
      <c r="B243" s="1" t="s">
        <v>843</v>
      </c>
      <c r="C243" s="2" t="s">
        <v>944</v>
      </c>
      <c r="D243" s="2" t="s">
        <v>943</v>
      </c>
      <c r="E243" s="1"/>
      <c r="F243" s="2" t="s">
        <v>23</v>
      </c>
      <c r="G243" s="2" t="s">
        <v>942</v>
      </c>
      <c r="H243" s="1"/>
    </row>
    <row r="244" spans="1:8" ht="210" x14ac:dyDescent="0.25">
      <c r="A244" s="1" t="str">
        <f>HYPERLINK("https://www.albertahealthservices.ca/findhealth/Service.aspx?serviceAtFacilityId=1095650","Addiction Services - Adult Counselling")</f>
        <v>Addiction Services - Adult Counselling</v>
      </c>
      <c r="B244" s="1" t="s">
        <v>634</v>
      </c>
      <c r="C244" s="2" t="s">
        <v>949</v>
      </c>
      <c r="D244" s="2" t="s">
        <v>946</v>
      </c>
      <c r="E244" s="1"/>
      <c r="F244" s="2" t="s">
        <v>947</v>
      </c>
      <c r="G244" s="2" t="s">
        <v>945</v>
      </c>
      <c r="H244" s="2" t="s">
        <v>948</v>
      </c>
    </row>
    <row r="245" spans="1:8" ht="210" x14ac:dyDescent="0.25">
      <c r="A245" s="1" t="str">
        <f>HYPERLINK("https://www.albertahealthservices.ca/findhealth/Service.aspx?serviceAtFacilityId=1085874","Therapeutic Recreation - Community &amp; Outpatient")</f>
        <v>Therapeutic Recreation - Community &amp; Outpatient</v>
      </c>
      <c r="B245" s="1" t="s">
        <v>953</v>
      </c>
      <c r="C245" s="2" t="s">
        <v>524</v>
      </c>
      <c r="D245" s="2" t="s">
        <v>950</v>
      </c>
      <c r="E245" s="1"/>
      <c r="F245" s="2" t="s">
        <v>951</v>
      </c>
      <c r="G245" s="2" t="s">
        <v>520</v>
      </c>
      <c r="H245" s="2" t="s">
        <v>952</v>
      </c>
    </row>
    <row r="246" spans="1:8" ht="180" x14ac:dyDescent="0.25">
      <c r="A246" s="1" t="str">
        <f>HYPERLINK("https://www.albertahealthservices.ca/findhealth/Service.aspx?serviceAtFacilityId=1094022","Addiction Services - Prevention")</f>
        <v>Addiction Services - Prevention</v>
      </c>
      <c r="B246" s="1" t="s">
        <v>738</v>
      </c>
      <c r="C246" s="2" t="s">
        <v>635</v>
      </c>
      <c r="D246" s="2" t="s">
        <v>954</v>
      </c>
      <c r="E246" s="1"/>
      <c r="F246" s="2" t="s">
        <v>955</v>
      </c>
      <c r="G246" s="2" t="s">
        <v>630</v>
      </c>
      <c r="H246" s="2" t="s">
        <v>956</v>
      </c>
    </row>
    <row r="247" spans="1:8" ht="270" x14ac:dyDescent="0.25">
      <c r="A247" s="1" t="str">
        <f>HYPERLINK("https://www.albertahealthservices.ca/findhealth/Service.aspx?serviceAtFacilityId=1104444","Designated Supportive Living Level 4 Dementia")</f>
        <v>Designated Supportive Living Level 4 Dementia</v>
      </c>
      <c r="B247" s="1" t="s">
        <v>959</v>
      </c>
      <c r="C247" s="2" t="s">
        <v>26</v>
      </c>
      <c r="D247" s="2" t="s">
        <v>957</v>
      </c>
      <c r="E247" s="1"/>
      <c r="F247" s="2" t="s">
        <v>23</v>
      </c>
      <c r="G247" s="2" t="s">
        <v>21</v>
      </c>
      <c r="H247" s="2" t="s">
        <v>958</v>
      </c>
    </row>
    <row r="248" spans="1:8" ht="409.5" x14ac:dyDescent="0.25">
      <c r="A248" s="1" t="str">
        <f>HYPERLINK("https://www.albertahealthservices.ca/findhealth/Service.aspx?serviceAtFacilityId=1082314","Mental Health Services")</f>
        <v>Mental Health Services</v>
      </c>
      <c r="B248" s="1" t="s">
        <v>963</v>
      </c>
      <c r="C248" s="2" t="s">
        <v>98</v>
      </c>
      <c r="D248" s="2" t="s">
        <v>960</v>
      </c>
      <c r="E248" s="1"/>
      <c r="F248" s="2" t="s">
        <v>961</v>
      </c>
      <c r="G248" s="2" t="s">
        <v>94</v>
      </c>
      <c r="H248" s="2" t="s">
        <v>962</v>
      </c>
    </row>
    <row r="249" spans="1:8" ht="270" x14ac:dyDescent="0.25">
      <c r="A249" s="1" t="str">
        <f>HYPERLINK("https://www.albertahealthservices.ca/findhealth/Service.aspx?serviceAtFacilityId=1093994","Addiction Services - Prevention")</f>
        <v>Addiction Services - Prevention</v>
      </c>
      <c r="B249" s="1" t="s">
        <v>651</v>
      </c>
      <c r="C249" s="2" t="s">
        <v>782</v>
      </c>
      <c r="D249" s="2" t="s">
        <v>964</v>
      </c>
      <c r="E249" s="1"/>
      <c r="F249" s="2" t="s">
        <v>965</v>
      </c>
      <c r="G249" s="2" t="s">
        <v>778</v>
      </c>
      <c r="H249" s="2" t="s">
        <v>966</v>
      </c>
    </row>
    <row r="250" spans="1:8" ht="390" x14ac:dyDescent="0.25">
      <c r="A250" s="1" t="str">
        <f>HYPERLINK("https://www.albertahealthservices.ca/findhealth/Service.aspx?serviceAtFacilityId=1102352","Children's Mental Health Treatment Services")</f>
        <v>Children's Mental Health Treatment Services</v>
      </c>
      <c r="B250" s="1" t="s">
        <v>157</v>
      </c>
      <c r="C250" s="2" t="s">
        <v>84</v>
      </c>
      <c r="D250" s="2" t="s">
        <v>155</v>
      </c>
      <c r="E250" s="2" t="s">
        <v>82</v>
      </c>
      <c r="F250" s="1" t="s">
        <v>34</v>
      </c>
      <c r="G250" s="2" t="s">
        <v>79</v>
      </c>
      <c r="H250" s="2" t="s">
        <v>967</v>
      </c>
    </row>
    <row r="251" spans="1:8" ht="210" x14ac:dyDescent="0.25">
      <c r="A251" s="1" t="str">
        <f>HYPERLINK("https://www.albertahealthservices.ca/findhealth/Service.aspx?serviceAtFacilityId=1047420","Spiritual Care Services")</f>
        <v>Spiritual Care Services</v>
      </c>
      <c r="B251" s="1" t="s">
        <v>561</v>
      </c>
      <c r="C251" s="2" t="s">
        <v>971</v>
      </c>
      <c r="D251" s="2" t="s">
        <v>969</v>
      </c>
      <c r="E251" s="1"/>
      <c r="F251" s="1" t="s">
        <v>34</v>
      </c>
      <c r="G251" s="2" t="s">
        <v>968</v>
      </c>
      <c r="H251" s="2" t="s">
        <v>970</v>
      </c>
    </row>
    <row r="252" spans="1:8" ht="375" x14ac:dyDescent="0.25">
      <c r="A252" s="1" t="str">
        <f>HYPERLINK("https://www.albertahealthservices.ca/findhealth/Service.aspx?serviceAtFacilityId=1102472","Regional Collaborative Service Delivery - School based and school linked mental health teams")</f>
        <v>Regional Collaborative Service Delivery - School based and school linked mental health teams</v>
      </c>
      <c r="B252" s="1" t="s">
        <v>203</v>
      </c>
      <c r="C252" s="2" t="s">
        <v>688</v>
      </c>
      <c r="D252" s="2" t="s">
        <v>972</v>
      </c>
      <c r="E252" s="1"/>
      <c r="F252" s="1" t="s">
        <v>34</v>
      </c>
      <c r="G252" s="2" t="s">
        <v>685</v>
      </c>
      <c r="H252" s="2" t="s">
        <v>973</v>
      </c>
    </row>
    <row r="253" spans="1:8" ht="409.5" x14ac:dyDescent="0.25">
      <c r="A253" s="1" t="str">
        <f>HYPERLINK("https://www.albertahealthservices.ca/findhealth/Service.aspx?serviceAtFacilityId=1090359","Eating Disorder Services")</f>
        <v>Eating Disorder Services</v>
      </c>
      <c r="B253" s="1" t="s">
        <v>203</v>
      </c>
      <c r="C253" s="2" t="s">
        <v>212</v>
      </c>
      <c r="D253" s="2" t="s">
        <v>974</v>
      </c>
      <c r="E253" s="1"/>
      <c r="F253" s="2" t="s">
        <v>975</v>
      </c>
      <c r="G253" s="2" t="s">
        <v>209</v>
      </c>
      <c r="H253" s="2" t="s">
        <v>976</v>
      </c>
    </row>
    <row r="254" spans="1:8" ht="120" x14ac:dyDescent="0.25">
      <c r="A254" s="1" t="str">
        <f>HYPERLINK("https://www.albertahealthservices.ca/findhealth/Service.aspx?serviceAtFacilityId=1107287","Pet Therapy")</f>
        <v>Pet Therapy</v>
      </c>
      <c r="B254" s="1" t="s">
        <v>723</v>
      </c>
      <c r="C254" s="2" t="s">
        <v>980</v>
      </c>
      <c r="D254" s="2" t="s">
        <v>978</v>
      </c>
      <c r="E254" s="1"/>
      <c r="F254" s="2" t="s">
        <v>979</v>
      </c>
      <c r="G254" s="2" t="s">
        <v>977</v>
      </c>
      <c r="H254" s="1"/>
    </row>
    <row r="255" spans="1:8" ht="210" x14ac:dyDescent="0.25">
      <c r="A255" s="1" t="str">
        <f>HYPERLINK("https://www.albertahealthservices.ca/findhealth/Service.aspx?serviceAtFacilityId=1003898","Senior Services - Day Hospital")</f>
        <v>Senior Services - Day Hospital</v>
      </c>
      <c r="B255" s="1" t="s">
        <v>602</v>
      </c>
      <c r="C255" s="2" t="s">
        <v>984</v>
      </c>
      <c r="D255" s="2" t="s">
        <v>982</v>
      </c>
      <c r="E255" s="1"/>
      <c r="F255" s="2" t="s">
        <v>983</v>
      </c>
      <c r="G255" s="2" t="s">
        <v>981</v>
      </c>
      <c r="H255" s="1"/>
    </row>
    <row r="256" spans="1:8" ht="225" x14ac:dyDescent="0.25">
      <c r="A256" s="1" t="str">
        <f>HYPERLINK("https://www.albertahealthservices.ca/findhealth/Service.aspx?serviceAtFacilityId=1107205","Building Blocks")</f>
        <v>Building Blocks</v>
      </c>
      <c r="B256" s="1" t="s">
        <v>990</v>
      </c>
      <c r="C256" s="2" t="s">
        <v>991</v>
      </c>
      <c r="D256" s="2" t="s">
        <v>986</v>
      </c>
      <c r="E256" s="2" t="s">
        <v>988</v>
      </c>
      <c r="F256" s="2" t="s">
        <v>987</v>
      </c>
      <c r="G256" s="2" t="s">
        <v>985</v>
      </c>
      <c r="H256" s="2" t="s">
        <v>989</v>
      </c>
    </row>
    <row r="257" spans="1:8" ht="270" x14ac:dyDescent="0.25">
      <c r="A257" s="1" t="str">
        <f>HYPERLINK("https://www.albertahealthservices.ca/findhealth/Service.aspx?serviceAtFacilityId=1115780","Addiction Services - Prevention")</f>
        <v>Addiction Services - Prevention</v>
      </c>
      <c r="B257" s="1" t="s">
        <v>762</v>
      </c>
      <c r="C257" s="2" t="s">
        <v>493</v>
      </c>
      <c r="D257" s="2" t="s">
        <v>992</v>
      </c>
      <c r="E257" s="1"/>
      <c r="F257" s="1" t="s">
        <v>34</v>
      </c>
      <c r="G257" s="2" t="s">
        <v>489</v>
      </c>
      <c r="H257" s="2" t="s">
        <v>993</v>
      </c>
    </row>
    <row r="258" spans="1:8" ht="150" x14ac:dyDescent="0.25">
      <c r="A258" s="1" t="str">
        <f>HYPERLINK("https://www.albertahealthservices.ca/findhealth/Service.aspx?serviceAtFacilityId=1116111","Mental Health Capacity Building - Helping Us Grow and MyPlace")</f>
        <v>Mental Health Capacity Building - Helping Us Grow and MyPlace</v>
      </c>
      <c r="B258" s="1" t="s">
        <v>997</v>
      </c>
      <c r="C258" s="2" t="s">
        <v>998</v>
      </c>
      <c r="D258" s="2" t="s">
        <v>995</v>
      </c>
      <c r="E258" s="1"/>
      <c r="F258" s="2" t="s">
        <v>996</v>
      </c>
      <c r="G258" s="2" t="s">
        <v>994</v>
      </c>
      <c r="H258" s="1"/>
    </row>
    <row r="259" spans="1:8" ht="390" x14ac:dyDescent="0.25">
      <c r="A259" s="1" t="str">
        <f>HYPERLINK("https://www.albertahealthservices.ca/findhealth/Service.aspx?serviceAtFacilityId=1102353","Children's Mental Health Treatment Services")</f>
        <v>Children's Mental Health Treatment Services</v>
      </c>
      <c r="B259" s="1" t="s">
        <v>1001</v>
      </c>
      <c r="C259" s="2" t="s">
        <v>84</v>
      </c>
      <c r="D259" s="2" t="s">
        <v>999</v>
      </c>
      <c r="E259" s="2" t="s">
        <v>82</v>
      </c>
      <c r="F259" s="1" t="s">
        <v>34</v>
      </c>
      <c r="G259" s="2" t="s">
        <v>79</v>
      </c>
      <c r="H259" s="2" t="s">
        <v>1000</v>
      </c>
    </row>
    <row r="260" spans="1:8" ht="195" x14ac:dyDescent="0.25">
      <c r="A260" s="1" t="str">
        <f>HYPERLINK("https://www.albertahealthservices.ca/findhealth/Service.aspx?serviceAtFacilityId=1033851","Calgary Eating Disorder Program")</f>
        <v>Calgary Eating Disorder Program</v>
      </c>
      <c r="B260" s="1" t="s">
        <v>276</v>
      </c>
      <c r="C260" s="2" t="s">
        <v>1006</v>
      </c>
      <c r="D260" s="2" t="s">
        <v>1003</v>
      </c>
      <c r="E260" s="2" t="s">
        <v>1005</v>
      </c>
      <c r="F260" s="2" t="s">
        <v>1004</v>
      </c>
      <c r="G260" s="2" t="s">
        <v>1002</v>
      </c>
      <c r="H260" s="2" t="s">
        <v>548</v>
      </c>
    </row>
    <row r="261" spans="1:8" ht="330" x14ac:dyDescent="0.25">
      <c r="A261" s="1" t="str">
        <f>HYPERLINK("https://www.albertahealthservices.ca/findhealth/Service.aspx?serviceAtFacilityId=1048108","Pastoral Care Services")</f>
        <v>Pastoral Care Services</v>
      </c>
      <c r="B261" s="1" t="s">
        <v>1009</v>
      </c>
      <c r="C261" s="2" t="s">
        <v>423</v>
      </c>
      <c r="D261" s="2" t="s">
        <v>1007</v>
      </c>
      <c r="E261" s="1"/>
      <c r="F261" s="1" t="s">
        <v>34</v>
      </c>
      <c r="G261" s="2" t="s">
        <v>419</v>
      </c>
      <c r="H261" s="2" t="s">
        <v>1008</v>
      </c>
    </row>
    <row r="262" spans="1:8" ht="409.5" x14ac:dyDescent="0.25">
      <c r="A262" s="1" t="str">
        <f>HYPERLINK("https://www.albertahealthservices.ca/findhealth/Service.aspx?serviceAtFacilityId=1001815","Continuing Care Counselling")</f>
        <v>Continuing Care Counselling</v>
      </c>
      <c r="B262" s="1" t="s">
        <v>1012</v>
      </c>
      <c r="C262" s="2" t="s">
        <v>163</v>
      </c>
      <c r="D262" s="2" t="s">
        <v>1010</v>
      </c>
      <c r="E262" s="1"/>
      <c r="F262" s="2" t="s">
        <v>486</v>
      </c>
      <c r="G262" s="2" t="s">
        <v>158</v>
      </c>
      <c r="H262" s="2" t="s">
        <v>1011</v>
      </c>
    </row>
    <row r="263" spans="1:8" ht="409.5" x14ac:dyDescent="0.25">
      <c r="A263" s="1" t="str">
        <f>HYPERLINK("https://www.albertahealthservices.ca/findhealth/Service.aspx?serviceAtFacilityId=1102267","Mental Health Services")</f>
        <v>Mental Health Services</v>
      </c>
      <c r="B263" s="1" t="s">
        <v>203</v>
      </c>
      <c r="C263" s="2" t="s">
        <v>98</v>
      </c>
      <c r="D263" s="2" t="s">
        <v>1013</v>
      </c>
      <c r="E263" s="1"/>
      <c r="F263" s="1" t="s">
        <v>34</v>
      </c>
      <c r="G263" s="2" t="s">
        <v>94</v>
      </c>
      <c r="H263" s="2" t="s">
        <v>1014</v>
      </c>
    </row>
    <row r="264" spans="1:8" ht="225" x14ac:dyDescent="0.25">
      <c r="A264" s="1" t="str">
        <f>HYPERLINK("https://www.albertahealthservices.ca/findhealth/Service.aspx?serviceAtFacilityId=1111336","Addiction and Mental Health - Suburban Community Assessment and Treatment Services, Adult")</f>
        <v>Addiction and Mental Health - Suburban Community Assessment and Treatment Services, Adult</v>
      </c>
      <c r="B264" s="1" t="s">
        <v>640</v>
      </c>
      <c r="C264" s="2" t="s">
        <v>145</v>
      </c>
      <c r="D264" s="2" t="s">
        <v>1015</v>
      </c>
      <c r="E264" s="1"/>
      <c r="F264" s="2" t="s">
        <v>142</v>
      </c>
      <c r="G264" s="2" t="s">
        <v>140</v>
      </c>
      <c r="H264" s="2" t="s">
        <v>1016</v>
      </c>
    </row>
    <row r="265" spans="1:8" ht="405" x14ac:dyDescent="0.25">
      <c r="A265" s="1" t="str">
        <f>HYPERLINK("https://www.albertahealthservices.ca/findhealth/Service.aspx?serviceAtFacilityId=1087580","Calgary Sexual Assault Response Team")</f>
        <v>Calgary Sexual Assault Response Team</v>
      </c>
      <c r="B265" s="1" t="s">
        <v>456</v>
      </c>
      <c r="C265" s="2" t="s">
        <v>1021</v>
      </c>
      <c r="D265" s="2" t="s">
        <v>1018</v>
      </c>
      <c r="E265" s="2" t="s">
        <v>1019</v>
      </c>
      <c r="F265" s="2" t="s">
        <v>23</v>
      </c>
      <c r="G265" s="2" t="s">
        <v>1017</v>
      </c>
      <c r="H265" s="1" t="s">
        <v>1020</v>
      </c>
    </row>
    <row r="266" spans="1:8" ht="225" x14ac:dyDescent="0.25">
      <c r="A266" s="1" t="str">
        <f>HYPERLINK("https://www.albertahealthservices.ca/findhealth/Service.aspx?serviceAtFacilityId=1095009","Community Addiction and Mental Health Services - Rural")</f>
        <v>Community Addiction and Mental Health Services - Rural</v>
      </c>
      <c r="B266" s="1" t="s">
        <v>1025</v>
      </c>
      <c r="C266" s="2" t="s">
        <v>72</v>
      </c>
      <c r="D266" s="2" t="s">
        <v>1022</v>
      </c>
      <c r="E266" s="1"/>
      <c r="F266" s="2" t="s">
        <v>1023</v>
      </c>
      <c r="G266" s="2" t="s">
        <v>67</v>
      </c>
      <c r="H266" s="2" t="s">
        <v>1024</v>
      </c>
    </row>
    <row r="267" spans="1:8" ht="150" x14ac:dyDescent="0.25">
      <c r="A267" s="1" t="str">
        <f>HYPERLINK("https://www.albertahealthservices.ca/findhealth/Service.aspx?serviceAtFacilityId=1094536","Forensic Assessment Outpatient Service - Mental Health")</f>
        <v>Forensic Assessment Outpatient Service - Mental Health</v>
      </c>
      <c r="B267" s="1" t="s">
        <v>431</v>
      </c>
      <c r="C267" s="2" t="s">
        <v>1027</v>
      </c>
      <c r="D267" s="2" t="s">
        <v>429</v>
      </c>
      <c r="E267" s="1"/>
      <c r="F267" s="2" t="s">
        <v>190</v>
      </c>
      <c r="G267" s="2" t="s">
        <v>1026</v>
      </c>
      <c r="H267" s="1"/>
    </row>
    <row r="268" spans="1:8" ht="150" x14ac:dyDescent="0.25">
      <c r="A268" s="1" t="str">
        <f>HYPERLINK("https://www.albertahealthservices.ca/findhealth/Service.aspx?serviceAtFacilityId=1025214","Forensic Psychiatry Centre")</f>
        <v>Forensic Psychiatry Centre</v>
      </c>
      <c r="B268" s="1" t="s">
        <v>1031</v>
      </c>
      <c r="C268" s="2" t="s">
        <v>1032</v>
      </c>
      <c r="D268" s="2" t="s">
        <v>1029</v>
      </c>
      <c r="E268" s="2" t="s">
        <v>1030</v>
      </c>
      <c r="F268" s="2" t="s">
        <v>117</v>
      </c>
      <c r="G268" s="2" t="s">
        <v>1028</v>
      </c>
      <c r="H268" s="1"/>
    </row>
    <row r="269" spans="1:8" ht="135" x14ac:dyDescent="0.25">
      <c r="A269" s="1" t="str">
        <f>HYPERLINK("https://www.albertahealthservices.ca/findhealth/Service.aspx?serviceAtFacilityId=1089282","Psychiatric Emergency Team")</f>
        <v>Psychiatric Emergency Team</v>
      </c>
      <c r="B269" s="1" t="s">
        <v>301</v>
      </c>
      <c r="C269" s="2" t="s">
        <v>1036</v>
      </c>
      <c r="D269" s="2" t="s">
        <v>1034</v>
      </c>
      <c r="E269" s="1"/>
      <c r="F269" s="2" t="s">
        <v>1035</v>
      </c>
      <c r="G269" s="2" t="s">
        <v>1033</v>
      </c>
      <c r="H269" s="1"/>
    </row>
    <row r="270" spans="1:8" ht="270" x14ac:dyDescent="0.25">
      <c r="A270" s="1" t="str">
        <f>HYPERLINK("https://www.albertahealthservices.ca/findhealth/Service.aspx?serviceAtFacilityId=1107569","School Health Services")</f>
        <v>School Health Services</v>
      </c>
      <c r="B270" s="1" t="s">
        <v>1039</v>
      </c>
      <c r="C270" s="2" t="s">
        <v>641</v>
      </c>
      <c r="D270" s="2" t="s">
        <v>1037</v>
      </c>
      <c r="E270" s="1"/>
      <c r="F270" s="2" t="s">
        <v>818</v>
      </c>
      <c r="G270" s="2" t="s">
        <v>636</v>
      </c>
      <c r="H270" s="2" t="s">
        <v>1038</v>
      </c>
    </row>
    <row r="271" spans="1:8" ht="409.5" x14ac:dyDescent="0.25">
      <c r="A271" s="1" t="str">
        <f>HYPERLINK("https://www.albertahealthservices.ca/findhealth/Service.aspx?serviceAtFacilityId=1082254","Therapeutic Recreation Services")</f>
        <v>Therapeutic Recreation Services</v>
      </c>
      <c r="B271" s="1" t="s">
        <v>1042</v>
      </c>
      <c r="C271" s="2" t="s">
        <v>37</v>
      </c>
      <c r="D271" s="2" t="s">
        <v>1040</v>
      </c>
      <c r="E271" s="1"/>
      <c r="F271" s="1" t="s">
        <v>34</v>
      </c>
      <c r="G271" s="2" t="s">
        <v>32</v>
      </c>
      <c r="H271" s="2" t="s">
        <v>1041</v>
      </c>
    </row>
    <row r="272" spans="1:8" ht="375" x14ac:dyDescent="0.25">
      <c r="A272" s="1" t="str">
        <f>HYPERLINK("https://www.albertahealthservices.ca/findhealth/Service.aspx?serviceAtFacilityId=1102323","Mental Health Information, Promotion and Prevention")</f>
        <v>Mental Health Information, Promotion and Prevention</v>
      </c>
      <c r="B272" s="1" t="s">
        <v>484</v>
      </c>
      <c r="C272" s="2" t="s">
        <v>20</v>
      </c>
      <c r="D272" s="2" t="s">
        <v>1043</v>
      </c>
      <c r="E272" s="2" t="s">
        <v>17</v>
      </c>
      <c r="F272" s="2" t="s">
        <v>1044</v>
      </c>
      <c r="G272" s="2" t="s">
        <v>14</v>
      </c>
      <c r="H272" s="2" t="s">
        <v>1045</v>
      </c>
    </row>
    <row r="273" spans="1:8" ht="240" x14ac:dyDescent="0.25">
      <c r="A273" s="1" t="str">
        <f>HYPERLINK("https://www.albertahealthservices.ca/findhealth/Service.aspx?serviceAtFacilityId=1047773","Spiritual Care")</f>
        <v>Spiritual Care</v>
      </c>
      <c r="B273" s="1" t="s">
        <v>1049</v>
      </c>
      <c r="C273" s="2" t="s">
        <v>613</v>
      </c>
      <c r="D273" s="2" t="s">
        <v>1046</v>
      </c>
      <c r="E273" s="1"/>
      <c r="F273" s="2" t="s">
        <v>1047</v>
      </c>
      <c r="G273" s="2" t="s">
        <v>609</v>
      </c>
      <c r="H273" s="2" t="s">
        <v>1048</v>
      </c>
    </row>
    <row r="274" spans="1:8" ht="120" x14ac:dyDescent="0.25">
      <c r="A274" s="1" t="str">
        <f>HYPERLINK("https://www.albertahealthservices.ca/findhealth/Service.aspx?serviceAtFacilityId=1052410","Mental Health Services")</f>
        <v>Mental Health Services</v>
      </c>
      <c r="B274" s="1" t="s">
        <v>1052</v>
      </c>
      <c r="C274" s="2" t="s">
        <v>249</v>
      </c>
      <c r="D274" s="2" t="s">
        <v>1050</v>
      </c>
      <c r="E274" s="1"/>
      <c r="F274" s="1" t="s">
        <v>34</v>
      </c>
      <c r="G274" s="2" t="s">
        <v>245</v>
      </c>
      <c r="H274" s="2" t="s">
        <v>1051</v>
      </c>
    </row>
    <row r="275" spans="1:8" ht="270" x14ac:dyDescent="0.25">
      <c r="A275" s="1" t="str">
        <f>HYPERLINK("https://www.albertahealthservices.ca/findhealth/Service.aspx?serviceAtFacilityId=1107562","School Health Services")</f>
        <v>School Health Services</v>
      </c>
      <c r="B275" s="1" t="s">
        <v>1055</v>
      </c>
      <c r="C275" s="2" t="s">
        <v>641</v>
      </c>
      <c r="D275" s="2" t="s">
        <v>1053</v>
      </c>
      <c r="E275" s="1"/>
      <c r="F275" s="2" t="s">
        <v>818</v>
      </c>
      <c r="G275" s="2" t="s">
        <v>636</v>
      </c>
      <c r="H275" s="2" t="s">
        <v>1054</v>
      </c>
    </row>
    <row r="276" spans="1:8" ht="270" x14ac:dyDescent="0.25">
      <c r="A276" s="1" t="str">
        <f>HYPERLINK("https://www.albertahealthservices.ca/findhealth/Service.aspx?serviceAtFacilityId=1104457","Designated Supportive Living Level 4 Dementia")</f>
        <v>Designated Supportive Living Level 4 Dementia</v>
      </c>
      <c r="B276" s="1" t="s">
        <v>1058</v>
      </c>
      <c r="C276" s="2" t="s">
        <v>26</v>
      </c>
      <c r="D276" s="2" t="s">
        <v>1056</v>
      </c>
      <c r="E276" s="1"/>
      <c r="F276" s="2" t="s">
        <v>23</v>
      </c>
      <c r="G276" s="2" t="s">
        <v>21</v>
      </c>
      <c r="H276" s="2" t="s">
        <v>1057</v>
      </c>
    </row>
    <row r="277" spans="1:8" ht="105" x14ac:dyDescent="0.25">
      <c r="A277" s="1" t="str">
        <f>HYPERLINK("https://www.albertahealthservices.ca/findhealth/Service.aspx?serviceAtFacilityId=1111267","Addiction and Mental Health - Acute Inpatient Services, Adolescent")</f>
        <v>Addiction and Mental Health - Acute Inpatient Services, Adolescent</v>
      </c>
      <c r="B277" s="1" t="s">
        <v>216</v>
      </c>
      <c r="C277" s="2" t="s">
        <v>1061</v>
      </c>
      <c r="D277" s="2" t="s">
        <v>1060</v>
      </c>
      <c r="E277" s="1"/>
      <c r="F277" s="2" t="s">
        <v>23</v>
      </c>
      <c r="G277" s="2" t="s">
        <v>1059</v>
      </c>
      <c r="H277" s="1" t="s">
        <v>177</v>
      </c>
    </row>
    <row r="278" spans="1:8" ht="285" x14ac:dyDescent="0.25">
      <c r="A278" s="1" t="str">
        <f>HYPERLINK("https://www.albertahealthservices.ca/findhealth/Service.aspx?serviceAtFacilityId=1103866","School Health Program")</f>
        <v>School Health Program</v>
      </c>
      <c r="B278" s="1" t="s">
        <v>1065</v>
      </c>
      <c r="C278" s="2" t="s">
        <v>93</v>
      </c>
      <c r="D278" s="2" t="s">
        <v>1062</v>
      </c>
      <c r="E278" s="1"/>
      <c r="F278" s="2" t="s">
        <v>1063</v>
      </c>
      <c r="G278" s="1" t="s">
        <v>89</v>
      </c>
      <c r="H278" s="2" t="s">
        <v>1064</v>
      </c>
    </row>
    <row r="279" spans="1:8" ht="150" x14ac:dyDescent="0.25">
      <c r="A279" s="1" t="str">
        <f>HYPERLINK("https://www.albertahealthservices.ca/findhealth/Service.aspx?serviceAtFacilityId=1051709","Calgary Rural Children's Rehabilitation Program")</f>
        <v>Calgary Rural Children's Rehabilitation Program</v>
      </c>
      <c r="B279" s="1" t="s">
        <v>1070</v>
      </c>
      <c r="C279" s="2" t="s">
        <v>1071</v>
      </c>
      <c r="D279" s="2" t="s">
        <v>1067</v>
      </c>
      <c r="E279" s="2" t="s">
        <v>1068</v>
      </c>
      <c r="F279" s="2" t="s">
        <v>117</v>
      </c>
      <c r="G279" s="2" t="s">
        <v>1066</v>
      </c>
      <c r="H279" s="2" t="s">
        <v>1069</v>
      </c>
    </row>
    <row r="280" spans="1:8" ht="225" x14ac:dyDescent="0.25">
      <c r="A280" s="1" t="str">
        <f>HYPERLINK("https://www.albertahealthservices.ca/findhealth/Service.aspx?serviceAtFacilityId=1111329","Addiction and Mental Health - Suburban Community Assessment and Treatment Services, Adult")</f>
        <v>Addiction and Mental Health - Suburban Community Assessment and Treatment Services, Adult</v>
      </c>
      <c r="B280" s="1" t="s">
        <v>1074</v>
      </c>
      <c r="C280" s="2" t="s">
        <v>145</v>
      </c>
      <c r="D280" s="2" t="s">
        <v>1072</v>
      </c>
      <c r="E280" s="1"/>
      <c r="F280" s="2" t="s">
        <v>142</v>
      </c>
      <c r="G280" s="2" t="s">
        <v>140</v>
      </c>
      <c r="H280" s="2" t="s">
        <v>1073</v>
      </c>
    </row>
    <row r="281" spans="1:8" ht="405" x14ac:dyDescent="0.25">
      <c r="A281" s="1" t="str">
        <f>HYPERLINK("https://www.albertahealthservices.ca/findhealth/Service.aspx?serviceAtFacilityId=1056405","Community Addiction &amp; Mental Health - Adult &amp; Youth Services")</f>
        <v>Community Addiction &amp; Mental Health - Adult &amp; Youth Services</v>
      </c>
      <c r="B281" s="1" t="s">
        <v>363</v>
      </c>
      <c r="C281" s="2" t="s">
        <v>133</v>
      </c>
      <c r="D281" s="2" t="s">
        <v>1075</v>
      </c>
      <c r="E281" s="1"/>
      <c r="F281" s="2" t="s">
        <v>1076</v>
      </c>
      <c r="G281" s="2" t="s">
        <v>129</v>
      </c>
      <c r="H281" s="2" t="s">
        <v>1077</v>
      </c>
    </row>
    <row r="282" spans="1:8" ht="105" x14ac:dyDescent="0.25">
      <c r="A282" s="1" t="str">
        <f>HYPERLINK("https://www.albertahealthservices.ca/findhealth/Service.aspx?serviceAtFacilityId=1019063","Adult Mental Health Service")</f>
        <v>Adult Mental Health Service</v>
      </c>
      <c r="B282" s="1" t="s">
        <v>50</v>
      </c>
      <c r="C282" s="2" t="s">
        <v>1080</v>
      </c>
      <c r="D282" s="2" t="s">
        <v>1079</v>
      </c>
      <c r="E282" s="1"/>
      <c r="F282" s="2" t="s">
        <v>117</v>
      </c>
      <c r="G282" s="2" t="s">
        <v>1078</v>
      </c>
      <c r="H282" s="1"/>
    </row>
    <row r="283" spans="1:8" ht="150" x14ac:dyDescent="0.25">
      <c r="A283" s="1" t="str">
        <f>HYPERLINK("https://www.albertahealthservices.ca/findhealth/Service.aspx?serviceAtFacilityId=1115923","Seniors Mental Health Program Community Services, Seniors Outreach Nurses")</f>
        <v>Seniors Mental Health Program Community Services, Seniors Outreach Nurses</v>
      </c>
      <c r="B283" s="1" t="s">
        <v>1083</v>
      </c>
      <c r="C283" s="2" t="s">
        <v>471</v>
      </c>
      <c r="D283" s="2" t="s">
        <v>1081</v>
      </c>
      <c r="E283" s="1"/>
      <c r="F283" s="2" t="s">
        <v>311</v>
      </c>
      <c r="G283" s="2" t="s">
        <v>467</v>
      </c>
      <c r="H283" s="2" t="s">
        <v>1082</v>
      </c>
    </row>
    <row r="284" spans="1:8" ht="225" x14ac:dyDescent="0.25">
      <c r="A284" s="1" t="str">
        <f>HYPERLINK("https://www.albertahealthservices.ca/findhealth/Service.aspx?serviceAtFacilityId=1035255","Outpatient Mental Health")</f>
        <v>Outpatient Mental Health</v>
      </c>
      <c r="B284" s="1" t="s">
        <v>1020</v>
      </c>
      <c r="C284" s="2" t="s">
        <v>1087</v>
      </c>
      <c r="D284" s="2" t="s">
        <v>1085</v>
      </c>
      <c r="E284" s="1"/>
      <c r="F284" s="2" t="s">
        <v>1086</v>
      </c>
      <c r="G284" s="2" t="s">
        <v>1084</v>
      </c>
      <c r="H284" s="1"/>
    </row>
    <row r="285" spans="1:8" ht="375" x14ac:dyDescent="0.25">
      <c r="A285" s="1" t="str">
        <f>HYPERLINK("https://www.albertahealthservices.ca/findhealth/Service.aspx?serviceAtFacilityId=1102485","Regional Collaborative Service Delivery - School based and school linked mental health teams")</f>
        <v>Regional Collaborative Service Delivery - School based and school linked mental health teams</v>
      </c>
      <c r="B285" s="1" t="s">
        <v>1090</v>
      </c>
      <c r="C285" s="2" t="s">
        <v>688</v>
      </c>
      <c r="D285" s="2" t="s">
        <v>1088</v>
      </c>
      <c r="E285" s="1"/>
      <c r="F285" s="1" t="s">
        <v>34</v>
      </c>
      <c r="G285" s="2" t="s">
        <v>685</v>
      </c>
      <c r="H285" s="2" t="s">
        <v>1089</v>
      </c>
    </row>
    <row r="286" spans="1:8" ht="270" x14ac:dyDescent="0.25">
      <c r="A286" s="1" t="str">
        <f>HYPERLINK("https://www.albertahealthservices.ca/findhealth/Service.aspx?serviceAtFacilityId=1105585","Addiction Services - Prevention")</f>
        <v>Addiction Services - Prevention</v>
      </c>
      <c r="B286" s="1" t="s">
        <v>1094</v>
      </c>
      <c r="C286" s="2" t="s">
        <v>493</v>
      </c>
      <c r="D286" s="2" t="s">
        <v>1091</v>
      </c>
      <c r="E286" s="1"/>
      <c r="F286" s="2" t="s">
        <v>1092</v>
      </c>
      <c r="G286" s="2" t="s">
        <v>489</v>
      </c>
      <c r="H286" s="2" t="s">
        <v>1093</v>
      </c>
    </row>
    <row r="287" spans="1:8" ht="405" x14ac:dyDescent="0.25">
      <c r="A287" s="1" t="str">
        <f>HYPERLINK("https://www.albertahealthservices.ca/findhealth/Service.aspx?serviceAtFacilityId=1115424","Addiction and Mental Health - Recovery Supports Services, Adult")</f>
        <v>Addiction and Mental Health - Recovery Supports Services, Adult</v>
      </c>
      <c r="B287" s="1" t="s">
        <v>1098</v>
      </c>
      <c r="C287" s="2" t="s">
        <v>666</v>
      </c>
      <c r="D287" s="2" t="s">
        <v>1095</v>
      </c>
      <c r="E287" s="2" t="s">
        <v>663</v>
      </c>
      <c r="F287" s="2" t="s">
        <v>1096</v>
      </c>
      <c r="G287" s="1"/>
      <c r="H287" s="2" t="s">
        <v>1097</v>
      </c>
    </row>
    <row r="288" spans="1:8" ht="409.5" x14ac:dyDescent="0.25">
      <c r="A288" s="1" t="str">
        <f>HYPERLINK("https://www.albertahealthservices.ca/findhealth/Service.aspx?serviceAtFacilityId=1102318","Adult Mental Health Treatment Services")</f>
        <v>Adult Mental Health Treatment Services</v>
      </c>
      <c r="B288" s="1" t="s">
        <v>1101</v>
      </c>
      <c r="C288" s="2" t="s">
        <v>125</v>
      </c>
      <c r="D288" s="2" t="s">
        <v>1099</v>
      </c>
      <c r="E288" s="1"/>
      <c r="F288" s="1" t="s">
        <v>34</v>
      </c>
      <c r="G288" s="2" t="s">
        <v>121</v>
      </c>
      <c r="H288" s="2" t="s">
        <v>1100</v>
      </c>
    </row>
    <row r="289" spans="1:8" ht="409.5" x14ac:dyDescent="0.25">
      <c r="A289" s="1" t="str">
        <f>HYPERLINK("https://www.albertahealthservices.ca/findhealth/Service.aspx?serviceAtFacilityId=1105592","Continuing Care Counselling")</f>
        <v>Continuing Care Counselling</v>
      </c>
      <c r="B289" s="1" t="s">
        <v>1094</v>
      </c>
      <c r="C289" s="2" t="s">
        <v>163</v>
      </c>
      <c r="D289" s="2" t="s">
        <v>1102</v>
      </c>
      <c r="E289" s="1"/>
      <c r="F289" s="2" t="s">
        <v>1103</v>
      </c>
      <c r="G289" s="2" t="s">
        <v>158</v>
      </c>
      <c r="H289" s="2" t="s">
        <v>1104</v>
      </c>
    </row>
    <row r="290" spans="1:8" ht="285" x14ac:dyDescent="0.25">
      <c r="A290" s="1" t="str">
        <f>HYPERLINK("https://www.albertahealthservices.ca/findhealth/Service.aspx?serviceAtFacilityId=1013255","Abortion Health Services")</f>
        <v>Abortion Health Services</v>
      </c>
      <c r="B290" s="1" t="s">
        <v>1107</v>
      </c>
      <c r="C290" s="2" t="s">
        <v>1108</v>
      </c>
      <c r="D290" s="2" t="s">
        <v>1106</v>
      </c>
      <c r="E290" s="1"/>
      <c r="F290" s="2" t="s">
        <v>201</v>
      </c>
      <c r="G290" s="2" t="s">
        <v>1105</v>
      </c>
      <c r="H290" s="1"/>
    </row>
    <row r="291" spans="1:8" ht="210" x14ac:dyDescent="0.25">
      <c r="A291" s="1" t="str">
        <f>HYPERLINK("https://www.albertahealthservices.ca/findhealth/Service.aspx?serviceAtFacilityId=1095165","Arnika Centre")</f>
        <v>Arnika Centre</v>
      </c>
      <c r="B291" s="1" t="s">
        <v>1113</v>
      </c>
      <c r="C291" s="2" t="s">
        <v>1114</v>
      </c>
      <c r="D291" s="2" t="s">
        <v>1110</v>
      </c>
      <c r="E291" s="2" t="s">
        <v>1112</v>
      </c>
      <c r="F291" s="2" t="s">
        <v>1111</v>
      </c>
      <c r="G291" s="2" t="s">
        <v>1109</v>
      </c>
      <c r="H291" s="1"/>
    </row>
    <row r="292" spans="1:8" ht="105" x14ac:dyDescent="0.25">
      <c r="A292" s="1" t="str">
        <f>HYPERLINK("https://www.albertahealthservices.ca/findhealth/Service.aspx?serviceAtFacilityId=1112716","Addiction and Mental Health - Acute Inpatient Services, Child and Adolescent")</f>
        <v>Addiction and Mental Health - Acute Inpatient Services, Child and Adolescent</v>
      </c>
      <c r="B292" s="1" t="s">
        <v>216</v>
      </c>
      <c r="C292" s="2" t="s">
        <v>178</v>
      </c>
      <c r="D292" s="2" t="s">
        <v>1060</v>
      </c>
      <c r="E292" s="2" t="s">
        <v>175</v>
      </c>
      <c r="F292" s="2" t="s">
        <v>23</v>
      </c>
      <c r="G292" s="2" t="s">
        <v>173</v>
      </c>
      <c r="H292" s="1" t="s">
        <v>177</v>
      </c>
    </row>
    <row r="293" spans="1:8" ht="135" x14ac:dyDescent="0.25">
      <c r="A293" s="1" t="str">
        <f>HYPERLINK("https://www.albertahealthservices.ca/findhealth/Service.aspx?serviceAtFacilityId=1111281","Addiction and Mental Health - Psychiatry Day Program, Child")</f>
        <v>Addiction and Mental Health - Psychiatry Day Program, Child</v>
      </c>
      <c r="B293" s="1" t="s">
        <v>216</v>
      </c>
      <c r="C293" s="2" t="s">
        <v>1117</v>
      </c>
      <c r="D293" s="2" t="s">
        <v>1116</v>
      </c>
      <c r="E293" s="1"/>
      <c r="F293" s="2" t="s">
        <v>220</v>
      </c>
      <c r="G293" s="2" t="s">
        <v>1115</v>
      </c>
      <c r="H293" s="1"/>
    </row>
    <row r="294" spans="1:8" ht="375" x14ac:dyDescent="0.25">
      <c r="A294" s="1" t="str">
        <f>HYPERLINK("https://www.albertahealthservices.ca/findhealth/Service.aspx?serviceAtFacilityId=1102325","Mental Health Information, Promotion and Prevention")</f>
        <v>Mental Health Information, Promotion and Prevention</v>
      </c>
      <c r="B294" s="1" t="s">
        <v>168</v>
      </c>
      <c r="C294" s="2" t="s">
        <v>20</v>
      </c>
      <c r="D294" s="2" t="s">
        <v>1118</v>
      </c>
      <c r="E294" s="2" t="s">
        <v>17</v>
      </c>
      <c r="F294" s="1" t="s">
        <v>34</v>
      </c>
      <c r="G294" s="2" t="s">
        <v>14</v>
      </c>
      <c r="H294" s="2" t="s">
        <v>1119</v>
      </c>
    </row>
    <row r="295" spans="1:8" ht="409.5" x14ac:dyDescent="0.25">
      <c r="A295" s="1" t="str">
        <f>HYPERLINK("https://www.albertahealthservices.ca/findhealth/Service.aspx?serviceAtFacilityId=1102301","Adult Mental Health Treatment Services")</f>
        <v>Adult Mental Health Treatment Services</v>
      </c>
      <c r="B295" s="1" t="s">
        <v>768</v>
      </c>
      <c r="C295" s="2" t="s">
        <v>125</v>
      </c>
      <c r="D295" s="2" t="s">
        <v>766</v>
      </c>
      <c r="E295" s="1"/>
      <c r="F295" s="1" t="s">
        <v>34</v>
      </c>
      <c r="G295" s="2" t="s">
        <v>121</v>
      </c>
      <c r="H295" s="2" t="s">
        <v>1120</v>
      </c>
    </row>
    <row r="296" spans="1:8" ht="409.5" x14ac:dyDescent="0.25">
      <c r="A296" s="1" t="str">
        <f>HYPERLINK("https://www.albertahealthservices.ca/findhealth/Service.aspx?serviceAtFacilityId=1118994","School Health Program")</f>
        <v>School Health Program</v>
      </c>
      <c r="B296" s="1" t="s">
        <v>427</v>
      </c>
      <c r="C296" s="2" t="s">
        <v>204</v>
      </c>
      <c r="D296" s="2" t="s">
        <v>1121</v>
      </c>
      <c r="E296" s="1"/>
      <c r="F296" s="2" t="s">
        <v>201</v>
      </c>
      <c r="G296" s="2" t="s">
        <v>199</v>
      </c>
      <c r="H296" s="2" t="s">
        <v>1122</v>
      </c>
    </row>
    <row r="297" spans="1:8" ht="409.5" x14ac:dyDescent="0.25">
      <c r="A297" s="1" t="str">
        <f>HYPERLINK("https://www.albertahealthservices.ca/findhealth/Service.aspx?serviceAtFacilityId=1119059","School Health Program")</f>
        <v>School Health Program</v>
      </c>
      <c r="B297" s="1" t="s">
        <v>519</v>
      </c>
      <c r="C297" s="2" t="s">
        <v>204</v>
      </c>
      <c r="D297" s="2" t="s">
        <v>1123</v>
      </c>
      <c r="E297" s="1"/>
      <c r="F297" s="2" t="s">
        <v>201</v>
      </c>
      <c r="G297" s="2" t="s">
        <v>199</v>
      </c>
      <c r="H297" s="2" t="s">
        <v>1124</v>
      </c>
    </row>
    <row r="298" spans="1:8" ht="150" x14ac:dyDescent="0.25">
      <c r="A298" s="1" t="str">
        <f>HYPERLINK("https://www.albertahealthservices.ca/findhealth/Service.aspx?serviceAtFacilityId=1107146","Mental Health Capacity Building - Together We're Better")</f>
        <v>Mental Health Capacity Building - Together We're Better</v>
      </c>
      <c r="B298" s="1" t="s">
        <v>1127</v>
      </c>
      <c r="C298" s="2" t="s">
        <v>462</v>
      </c>
      <c r="D298" s="2" t="s">
        <v>1125</v>
      </c>
      <c r="E298" s="1"/>
      <c r="F298" s="2" t="s">
        <v>117</v>
      </c>
      <c r="G298" s="2" t="s">
        <v>458</v>
      </c>
      <c r="H298" s="2" t="s">
        <v>1126</v>
      </c>
    </row>
    <row r="299" spans="1:8" ht="105" x14ac:dyDescent="0.25">
      <c r="A299" s="1" t="str">
        <f>HYPERLINK("https://www.albertahealthservices.ca/findhealth/Service.aspx?serviceAtFacilityId=1104303","Mental Health Diversion Program")</f>
        <v>Mental Health Diversion Program</v>
      </c>
      <c r="B299" s="1" t="s">
        <v>97</v>
      </c>
      <c r="C299" s="2" t="s">
        <v>1130</v>
      </c>
      <c r="D299" s="2" t="s">
        <v>95</v>
      </c>
      <c r="E299" s="1"/>
      <c r="F299" s="1" t="s">
        <v>34</v>
      </c>
      <c r="G299" s="2" t="s">
        <v>1128</v>
      </c>
      <c r="H299" s="2" t="s">
        <v>1129</v>
      </c>
    </row>
    <row r="300" spans="1:8" ht="330" x14ac:dyDescent="0.25">
      <c r="A300" s="1" t="str">
        <f>HYPERLINK("https://www.albertahealthservices.ca/findhealth/Service.aspx?serviceAtFacilityId=1106148","Pastoral Care Services")</f>
        <v>Pastoral Care Services</v>
      </c>
      <c r="B300" s="1" t="s">
        <v>188</v>
      </c>
      <c r="C300" s="2" t="s">
        <v>423</v>
      </c>
      <c r="D300" s="2" t="s">
        <v>1131</v>
      </c>
      <c r="E300" s="1"/>
      <c r="F300" s="1" t="s">
        <v>34</v>
      </c>
      <c r="G300" s="2" t="s">
        <v>419</v>
      </c>
      <c r="H300" s="2" t="s">
        <v>1132</v>
      </c>
    </row>
    <row r="301" spans="1:8" ht="285" x14ac:dyDescent="0.25">
      <c r="A301" s="1" t="str">
        <f>HYPERLINK("https://www.albertahealthservices.ca/findhealth/Service.aspx?serviceAtFacilityId=1051994","School Health Program")</f>
        <v>School Health Program</v>
      </c>
      <c r="B301" s="1" t="s">
        <v>1070</v>
      </c>
      <c r="C301" s="2" t="s">
        <v>93</v>
      </c>
      <c r="D301" s="2" t="s">
        <v>1133</v>
      </c>
      <c r="E301" s="1"/>
      <c r="F301" s="1" t="s">
        <v>34</v>
      </c>
      <c r="G301" s="1" t="s">
        <v>89</v>
      </c>
      <c r="H301" s="2" t="s">
        <v>1134</v>
      </c>
    </row>
    <row r="302" spans="1:8" ht="165" x14ac:dyDescent="0.25">
      <c r="A302" s="1" t="str">
        <f>HYPERLINK("https://www.albertahealthservices.ca/findhealth/Service.aspx?serviceAtFacilityId=1067662","Community Addiction and Mental Health Services - Rural")</f>
        <v>Community Addiction and Mental Health Services - Rural</v>
      </c>
      <c r="B302" s="1" t="s">
        <v>750</v>
      </c>
      <c r="C302" s="2" t="s">
        <v>72</v>
      </c>
      <c r="D302" s="2" t="s">
        <v>1135</v>
      </c>
      <c r="E302" s="1"/>
      <c r="F302" s="2" t="s">
        <v>311</v>
      </c>
      <c r="G302" s="2" t="s">
        <v>67</v>
      </c>
      <c r="H302" s="2" t="s">
        <v>1136</v>
      </c>
    </row>
    <row r="303" spans="1:8" ht="135" x14ac:dyDescent="0.25">
      <c r="A303" s="1" t="str">
        <f>HYPERLINK("https://www.albertahealthservices.ca/findhealth/Service.aspx?serviceAtFacilityId=4539","Psychology Services")</f>
        <v>Psychology Services</v>
      </c>
      <c r="B303" s="1" t="s">
        <v>1141</v>
      </c>
      <c r="C303" s="2" t="s">
        <v>1142</v>
      </c>
      <c r="D303" s="2" t="s">
        <v>1138</v>
      </c>
      <c r="E303" s="1"/>
      <c r="F303" s="2" t="s">
        <v>1139</v>
      </c>
      <c r="G303" s="2" t="s">
        <v>1137</v>
      </c>
      <c r="H303" s="1" t="s">
        <v>1140</v>
      </c>
    </row>
    <row r="304" spans="1:8" ht="120" x14ac:dyDescent="0.25">
      <c r="A304" s="1" t="str">
        <f>HYPERLINK("https://www.albertahealthservices.ca/findhealth/Service.aspx?serviceAtFacilityId=1116327","Life after Prostate Cancer")</f>
        <v>Life after Prostate Cancer</v>
      </c>
      <c r="B304" s="1" t="s">
        <v>103</v>
      </c>
      <c r="C304" s="2" t="s">
        <v>1145</v>
      </c>
      <c r="D304" s="2" t="s">
        <v>1144</v>
      </c>
      <c r="E304" s="1"/>
      <c r="F304" s="1" t="s">
        <v>34</v>
      </c>
      <c r="G304" s="1" t="s">
        <v>1143</v>
      </c>
      <c r="H304" s="1"/>
    </row>
    <row r="305" spans="1:8" ht="270" x14ac:dyDescent="0.25">
      <c r="A305" s="1" t="str">
        <f>HYPERLINK("https://www.albertahealthservices.ca/findhealth/Service.aspx?serviceAtFacilityId=1104557","Designated Supportive Living Level 4 Dementia")</f>
        <v>Designated Supportive Living Level 4 Dementia</v>
      </c>
      <c r="B305" s="1" t="s">
        <v>1148</v>
      </c>
      <c r="C305" s="2" t="s">
        <v>31</v>
      </c>
      <c r="D305" s="2" t="s">
        <v>1146</v>
      </c>
      <c r="E305" s="1"/>
      <c r="F305" s="2" t="s">
        <v>23</v>
      </c>
      <c r="G305" s="2" t="s">
        <v>27</v>
      </c>
      <c r="H305" s="2" t="s">
        <v>1147</v>
      </c>
    </row>
    <row r="306" spans="1:8" ht="300" x14ac:dyDescent="0.25">
      <c r="A306" s="1" t="str">
        <f>HYPERLINK("https://www.albertahealthservices.ca/findhealth/Service.aspx?serviceAtFacilityId=1041907","Geriatric Mental Health Outreach Team")</f>
        <v>Geriatric Mental Health Outreach Team</v>
      </c>
      <c r="B306" s="1" t="s">
        <v>103</v>
      </c>
      <c r="C306" s="2" t="s">
        <v>1151</v>
      </c>
      <c r="D306" s="2" t="s">
        <v>320</v>
      </c>
      <c r="E306" s="1"/>
      <c r="F306" s="2" t="s">
        <v>1150</v>
      </c>
      <c r="G306" s="2" t="s">
        <v>1149</v>
      </c>
      <c r="H306" s="1"/>
    </row>
    <row r="307" spans="1:8" ht="135" x14ac:dyDescent="0.25">
      <c r="A307" s="1" t="str">
        <f>HYPERLINK("https://www.albertahealthservices.ca/findhealth/Service.aspx?serviceAtFacilityId=1114413","Sexual Assault Response Team")</f>
        <v>Sexual Assault Response Team</v>
      </c>
      <c r="B307" s="1" t="s">
        <v>1049</v>
      </c>
      <c r="C307" s="2" t="s">
        <v>512</v>
      </c>
      <c r="D307" s="2" t="s">
        <v>1152</v>
      </c>
      <c r="E307" s="1"/>
      <c r="F307" s="1" t="s">
        <v>34</v>
      </c>
      <c r="G307" s="2" t="s">
        <v>508</v>
      </c>
      <c r="H307" s="2" t="s">
        <v>1153</v>
      </c>
    </row>
    <row r="308" spans="1:8" ht="375" x14ac:dyDescent="0.25">
      <c r="A308" s="1" t="str">
        <f>HYPERLINK("https://www.albertahealthservices.ca/findhealth/Service.aspx?serviceAtFacilityId=1120396","Regional Collaborative Service Delivery - School based and school linked mental health teams")</f>
        <v>Regional Collaborative Service Delivery - School based and school linked mental health teams</v>
      </c>
      <c r="B308" s="1" t="s">
        <v>1156</v>
      </c>
      <c r="C308" s="2" t="s">
        <v>688</v>
      </c>
      <c r="D308" s="2" t="s">
        <v>1154</v>
      </c>
      <c r="E308" s="1"/>
      <c r="F308" s="1" t="s">
        <v>34</v>
      </c>
      <c r="G308" s="2" t="s">
        <v>685</v>
      </c>
      <c r="H308" s="2" t="s">
        <v>1155</v>
      </c>
    </row>
    <row r="309" spans="1:8" ht="210" x14ac:dyDescent="0.25">
      <c r="A309" s="1" t="str">
        <f>HYPERLINK("https://www.albertahealthservices.ca/findhealth/Service.aspx?serviceAtFacilityId=1047272","Therapeutic Recreation - Community &amp; Outpatient")</f>
        <v>Therapeutic Recreation - Community &amp; Outpatient</v>
      </c>
      <c r="B309" s="1" t="s">
        <v>696</v>
      </c>
      <c r="C309" s="2" t="s">
        <v>524</v>
      </c>
      <c r="D309" s="2" t="s">
        <v>1157</v>
      </c>
      <c r="E309" s="1"/>
      <c r="F309" s="2" t="s">
        <v>201</v>
      </c>
      <c r="G309" s="2" t="s">
        <v>520</v>
      </c>
      <c r="H309" s="2" t="s">
        <v>1158</v>
      </c>
    </row>
    <row r="310" spans="1:8" ht="150" x14ac:dyDescent="0.25">
      <c r="A310" s="1" t="str">
        <f>HYPERLINK("https://www.albertahealthservices.ca/findhealth/Service.aspx?serviceAtFacilityId=1088406","Calgary Rural Children's Rehabilitation Program")</f>
        <v>Calgary Rural Children's Rehabilitation Program</v>
      </c>
      <c r="B310" s="1" t="s">
        <v>927</v>
      </c>
      <c r="C310" s="2" t="s">
        <v>1071</v>
      </c>
      <c r="D310" s="2" t="s">
        <v>1159</v>
      </c>
      <c r="E310" s="2" t="s">
        <v>1068</v>
      </c>
      <c r="F310" s="2" t="s">
        <v>117</v>
      </c>
      <c r="G310" s="2" t="s">
        <v>1066</v>
      </c>
      <c r="H310" s="2" t="s">
        <v>1160</v>
      </c>
    </row>
    <row r="311" spans="1:8" ht="330" x14ac:dyDescent="0.25">
      <c r="A311" s="1" t="str">
        <f>HYPERLINK("https://www.albertahealthservices.ca/findhealth/Service.aspx?serviceAtFacilityId=1079681","Spiritual Care Services")</f>
        <v>Spiritual Care Services</v>
      </c>
      <c r="B311" s="1" t="s">
        <v>1164</v>
      </c>
      <c r="C311" s="2" t="s">
        <v>1165</v>
      </c>
      <c r="D311" s="2" t="s">
        <v>1162</v>
      </c>
      <c r="E311" s="1"/>
      <c r="F311" s="2" t="s">
        <v>10</v>
      </c>
      <c r="G311" s="2" t="s">
        <v>1161</v>
      </c>
      <c r="H311" s="2" t="s">
        <v>1163</v>
      </c>
    </row>
    <row r="312" spans="1:8" ht="195" x14ac:dyDescent="0.25">
      <c r="A312" s="1" t="str">
        <f>HYPERLINK("https://www.albertahealthservices.ca/findhealth/Service.aspx?serviceAtFacilityId=1120749","Mental Health Urgent Care")</f>
        <v>Mental Health Urgent Care</v>
      </c>
      <c r="B312" s="1" t="s">
        <v>92</v>
      </c>
      <c r="C312" s="2" t="s">
        <v>360</v>
      </c>
      <c r="D312" s="2" t="s">
        <v>1166</v>
      </c>
      <c r="E312" s="1"/>
      <c r="F312" s="2" t="s">
        <v>1167</v>
      </c>
      <c r="G312" s="2" t="s">
        <v>356</v>
      </c>
      <c r="H312" s="2" t="s">
        <v>1168</v>
      </c>
    </row>
    <row r="313" spans="1:8" ht="409.5" x14ac:dyDescent="0.25">
      <c r="A313" s="1" t="str">
        <f>HYPERLINK("https://www.albertahealthservices.ca/findhealth/Service.aspx?serviceAtFacilityId=1046404","Therapeutic Recreation Services")</f>
        <v>Therapeutic Recreation Services</v>
      </c>
      <c r="B313" s="1" t="s">
        <v>448</v>
      </c>
      <c r="C313" s="2" t="s">
        <v>37</v>
      </c>
      <c r="D313" s="2" t="s">
        <v>446</v>
      </c>
      <c r="E313" s="1"/>
      <c r="F313" s="1" t="s">
        <v>34</v>
      </c>
      <c r="G313" s="2" t="s">
        <v>32</v>
      </c>
      <c r="H313" s="2" t="s">
        <v>1169</v>
      </c>
    </row>
    <row r="314" spans="1:8" ht="240" x14ac:dyDescent="0.25">
      <c r="A314" s="1" t="str">
        <f>HYPERLINK("https://www.albertahealthservices.ca/findhealth/Service.aspx?serviceAtFacilityId=1005904","Spiritual Care")</f>
        <v>Spiritual Care</v>
      </c>
      <c r="B314" s="1" t="s">
        <v>177</v>
      </c>
      <c r="C314" s="2" t="s">
        <v>613</v>
      </c>
      <c r="D314" s="2" t="s">
        <v>1170</v>
      </c>
      <c r="E314" s="1"/>
      <c r="F314" s="2" t="s">
        <v>1171</v>
      </c>
      <c r="G314" s="2" t="s">
        <v>609</v>
      </c>
      <c r="H314" s="2" t="s">
        <v>1172</v>
      </c>
    </row>
    <row r="315" spans="1:8" ht="375" x14ac:dyDescent="0.25">
      <c r="A315" s="1" t="str">
        <f>HYPERLINK("https://www.albertahealthservices.ca/findhealth/Service.aspx?serviceAtFacilityId=1102480","Regional Collaborative Service Delivery - School based and school linked mental health teams")</f>
        <v>Regional Collaborative Service Delivery - School based and school linked mental health teams</v>
      </c>
      <c r="B315" s="1" t="s">
        <v>124</v>
      </c>
      <c r="C315" s="2" t="s">
        <v>688</v>
      </c>
      <c r="D315" s="2" t="s">
        <v>1173</v>
      </c>
      <c r="E315" s="1"/>
      <c r="F315" s="1" t="s">
        <v>34</v>
      </c>
      <c r="G315" s="2" t="s">
        <v>685</v>
      </c>
      <c r="H315" s="2" t="s">
        <v>1174</v>
      </c>
    </row>
    <row r="316" spans="1:8" ht="375" x14ac:dyDescent="0.25">
      <c r="A316" s="1" t="str">
        <f>HYPERLINK("https://www.albertahealthservices.ca/findhealth/Service.aspx?serviceAtFacilityId=1102483","Regional Collaborative Service Delivery - School based and school linked mental health teams")</f>
        <v>Regional Collaborative Service Delivery - School based and school linked mental health teams</v>
      </c>
      <c r="B316" s="1" t="s">
        <v>855</v>
      </c>
      <c r="C316" s="2" t="s">
        <v>688</v>
      </c>
      <c r="D316" s="2" t="s">
        <v>1175</v>
      </c>
      <c r="E316" s="1"/>
      <c r="F316" s="1" t="s">
        <v>34</v>
      </c>
      <c r="G316" s="2" t="s">
        <v>685</v>
      </c>
      <c r="H316" s="2" t="s">
        <v>1176</v>
      </c>
    </row>
    <row r="317" spans="1:8" ht="390" x14ac:dyDescent="0.25">
      <c r="A317" s="1" t="str">
        <f>HYPERLINK("https://www.albertahealthservices.ca/findhealth/Service.aspx?serviceAtFacilityId=1102366","Children's Mental Health Treatment Services")</f>
        <v>Children's Mental Health Treatment Services</v>
      </c>
      <c r="B317" s="1" t="s">
        <v>1179</v>
      </c>
      <c r="C317" s="2" t="s">
        <v>84</v>
      </c>
      <c r="D317" s="2" t="s">
        <v>1177</v>
      </c>
      <c r="E317" s="2" t="s">
        <v>82</v>
      </c>
      <c r="F317" s="1" t="s">
        <v>34</v>
      </c>
      <c r="G317" s="2" t="s">
        <v>79</v>
      </c>
      <c r="H317" s="2" t="s">
        <v>1178</v>
      </c>
    </row>
    <row r="318" spans="1:8" ht="135" x14ac:dyDescent="0.25">
      <c r="A318" s="1" t="str">
        <f>HYPERLINK("https://www.albertahealthservices.ca/findhealth/Service.aspx?serviceAtFacilityId=1024003","Psychiatric Emergency Services")</f>
        <v>Psychiatric Emergency Services</v>
      </c>
      <c r="B318" s="1" t="s">
        <v>197</v>
      </c>
      <c r="C318" s="2" t="s">
        <v>322</v>
      </c>
      <c r="D318" s="2" t="s">
        <v>194</v>
      </c>
      <c r="E318" s="1"/>
      <c r="F318" s="2" t="s">
        <v>1180</v>
      </c>
      <c r="G318" s="2" t="s">
        <v>319</v>
      </c>
      <c r="H318" s="2" t="s">
        <v>1181</v>
      </c>
    </row>
    <row r="319" spans="1:8" ht="120" x14ac:dyDescent="0.25">
      <c r="A319" s="1" t="str">
        <f>HYPERLINK("https://www.albertahealthservices.ca/findhealth/Service.aspx?serviceAtFacilityId=1111950","Addiction and Mental Health - Outpatient Rehabilitation Services, Adult")</f>
        <v>Addiction and Mental Health - Outpatient Rehabilitation Services, Adult</v>
      </c>
      <c r="B319" s="1" t="s">
        <v>177</v>
      </c>
      <c r="C319" s="2" t="s">
        <v>1183</v>
      </c>
      <c r="D319" s="2" t="s">
        <v>1182</v>
      </c>
      <c r="E319" s="1"/>
      <c r="F319" s="1" t="s">
        <v>34</v>
      </c>
      <c r="G319" s="1"/>
      <c r="H319" s="1"/>
    </row>
    <row r="320" spans="1:8" ht="409.5" x14ac:dyDescent="0.25">
      <c r="A320" s="1" t="str">
        <f>HYPERLINK("https://www.albertahealthservices.ca/findhealth/Service.aspx?serviceAtFacilityId=1119061","School Health Program")</f>
        <v>School Health Program</v>
      </c>
      <c r="B320" s="1" t="s">
        <v>1042</v>
      </c>
      <c r="C320" s="2" t="s">
        <v>204</v>
      </c>
      <c r="D320" s="2" t="s">
        <v>1184</v>
      </c>
      <c r="E320" s="1"/>
      <c r="F320" s="2" t="s">
        <v>201</v>
      </c>
      <c r="G320" s="2" t="s">
        <v>199</v>
      </c>
      <c r="H320" s="2" t="s">
        <v>1185</v>
      </c>
    </row>
    <row r="321" spans="1:8" ht="270" x14ac:dyDescent="0.25">
      <c r="A321" s="1" t="str">
        <f>HYPERLINK("https://www.albertahealthservices.ca/findhealth/Service.aspx?serviceAtFacilityId=1110662","Designated Supportive Living Level 4 Dementia")</f>
        <v>Designated Supportive Living Level 4 Dementia</v>
      </c>
      <c r="B321" s="1" t="s">
        <v>1188</v>
      </c>
      <c r="C321" s="2" t="s">
        <v>31</v>
      </c>
      <c r="D321" s="2" t="s">
        <v>1186</v>
      </c>
      <c r="E321" s="1"/>
      <c r="F321" s="1" t="s">
        <v>34</v>
      </c>
      <c r="G321" s="2" t="s">
        <v>27</v>
      </c>
      <c r="H321" s="2" t="s">
        <v>1187</v>
      </c>
    </row>
    <row r="322" spans="1:8" ht="270" x14ac:dyDescent="0.25">
      <c r="A322" s="1" t="str">
        <f>HYPERLINK("https://www.albertahealthservices.ca/findhealth/Service.aspx?serviceAtFacilityId=1104413","Designated Supportive Living Level 4 Dementia")</f>
        <v>Designated Supportive Living Level 4 Dementia</v>
      </c>
      <c r="B322" s="1" t="s">
        <v>1191</v>
      </c>
      <c r="C322" s="2" t="s">
        <v>26</v>
      </c>
      <c r="D322" s="2" t="s">
        <v>1189</v>
      </c>
      <c r="E322" s="1"/>
      <c r="F322" s="2" t="s">
        <v>23</v>
      </c>
      <c r="G322" s="2" t="s">
        <v>21</v>
      </c>
      <c r="H322" s="2" t="s">
        <v>1190</v>
      </c>
    </row>
    <row r="323" spans="1:8" ht="375" x14ac:dyDescent="0.25">
      <c r="A323" s="1" t="str">
        <f>HYPERLINK("https://www.albertahealthservices.ca/findhealth/Service.aspx?serviceAtFacilityId=1053058","Regional Collaborative Service Delivery - School based and school linked mental health teams")</f>
        <v>Regional Collaborative Service Delivery - School based and school linked mental health teams</v>
      </c>
      <c r="B323" s="1" t="s">
        <v>157</v>
      </c>
      <c r="C323" s="2" t="s">
        <v>688</v>
      </c>
      <c r="D323" s="2" t="s">
        <v>1192</v>
      </c>
      <c r="E323" s="1"/>
      <c r="F323" s="1" t="s">
        <v>34</v>
      </c>
      <c r="G323" s="2" t="s">
        <v>685</v>
      </c>
      <c r="H323" s="2" t="s">
        <v>1193</v>
      </c>
    </row>
    <row r="324" spans="1:8" ht="210" x14ac:dyDescent="0.25">
      <c r="A324" s="1" t="str">
        <f>HYPERLINK("https://www.albertahealthservices.ca/findhealth/Service.aspx?serviceAtFacilityId=1103609","Infant and Preschool Mental Health Services")</f>
        <v>Infant and Preschool Mental Health Services</v>
      </c>
      <c r="B324" s="1" t="s">
        <v>242</v>
      </c>
      <c r="C324" s="2" t="s">
        <v>1197</v>
      </c>
      <c r="D324" s="2" t="s">
        <v>1195</v>
      </c>
      <c r="E324" s="1"/>
      <c r="F324" s="2" t="s">
        <v>311</v>
      </c>
      <c r="G324" s="2" t="s">
        <v>1194</v>
      </c>
      <c r="H324" s="2" t="s">
        <v>1196</v>
      </c>
    </row>
    <row r="325" spans="1:8" ht="210" x14ac:dyDescent="0.25">
      <c r="A325" s="1" t="str">
        <f>HYPERLINK("https://www.albertahealthservices.ca/findhealth/Service.aspx?serviceAtFacilityId=1103502","Infant and Preschool Mental Health Services")</f>
        <v>Infant and Preschool Mental Health Services</v>
      </c>
      <c r="B325" s="1" t="s">
        <v>874</v>
      </c>
      <c r="C325" s="2" t="s">
        <v>1197</v>
      </c>
      <c r="D325" s="2" t="s">
        <v>871</v>
      </c>
      <c r="E325" s="1"/>
      <c r="F325" s="2" t="s">
        <v>311</v>
      </c>
      <c r="G325" s="2" t="s">
        <v>1194</v>
      </c>
      <c r="H325" s="2" t="s">
        <v>1198</v>
      </c>
    </row>
    <row r="326" spans="1:8" ht="165" x14ac:dyDescent="0.25">
      <c r="A326" s="1" t="str">
        <f>HYPERLINK("https://www.albertahealthservices.ca/findhealth/Service.aspx?serviceAtFacilityId=1101752","Regional Psychological Assessment Service")</f>
        <v>Regional Psychological Assessment Service</v>
      </c>
      <c r="B326" s="1" t="s">
        <v>1020</v>
      </c>
      <c r="C326" s="2" t="s">
        <v>1200</v>
      </c>
      <c r="D326" s="2" t="s">
        <v>1085</v>
      </c>
      <c r="E326" s="1"/>
      <c r="F326" s="2" t="s">
        <v>117</v>
      </c>
      <c r="G326" s="2" t="s">
        <v>1199</v>
      </c>
      <c r="H326" s="1"/>
    </row>
    <row r="327" spans="1:8" ht="210" x14ac:dyDescent="0.25">
      <c r="A327" s="1" t="str">
        <f>HYPERLINK("https://www.albertahealthservices.ca/findhealth/Service.aspx?serviceAtFacilityId=1047266","Therapeutic Recreation - Community &amp; Outpatient")</f>
        <v>Therapeutic Recreation - Community &amp; Outpatient</v>
      </c>
      <c r="B327" s="1" t="s">
        <v>1203</v>
      </c>
      <c r="C327" s="2" t="s">
        <v>524</v>
      </c>
      <c r="D327" s="2" t="s">
        <v>1201</v>
      </c>
      <c r="E327" s="1"/>
      <c r="F327" s="2" t="s">
        <v>201</v>
      </c>
      <c r="G327" s="2" t="s">
        <v>520</v>
      </c>
      <c r="H327" s="2" t="s">
        <v>1202</v>
      </c>
    </row>
    <row r="328" spans="1:8" ht="255" x14ac:dyDescent="0.25">
      <c r="A328" s="1" t="str">
        <f>HYPERLINK("https://www.albertahealthservices.ca/findhealth/Service.aspx?serviceAtFacilityId=1102433","Addiction and Mental Health - Adult and Youth Intake")</f>
        <v>Addiction and Mental Health - Adult and Youth Intake</v>
      </c>
      <c r="B328" s="1" t="s">
        <v>1206</v>
      </c>
      <c r="C328" s="2" t="s">
        <v>78</v>
      </c>
      <c r="D328" s="2" t="s">
        <v>1204</v>
      </c>
      <c r="E328" s="1"/>
      <c r="F328" s="1" t="s">
        <v>34</v>
      </c>
      <c r="G328" s="2" t="s">
        <v>73</v>
      </c>
      <c r="H328" s="2" t="s">
        <v>1205</v>
      </c>
    </row>
    <row r="329" spans="1:8" ht="390" x14ac:dyDescent="0.25">
      <c r="A329" s="1" t="str">
        <f>HYPERLINK("https://www.albertahealthservices.ca/findhealth/Service.aspx?serviceAtFacilityId=1116604","Children's Mental Health Treatment Services")</f>
        <v>Children's Mental Health Treatment Services</v>
      </c>
      <c r="B329" s="1" t="s">
        <v>691</v>
      </c>
      <c r="C329" s="2" t="s">
        <v>84</v>
      </c>
      <c r="D329" s="2" t="s">
        <v>1207</v>
      </c>
      <c r="E329" s="2" t="s">
        <v>82</v>
      </c>
      <c r="F329" s="2" t="s">
        <v>713</v>
      </c>
      <c r="G329" s="2" t="s">
        <v>79</v>
      </c>
      <c r="H329" s="2" t="s">
        <v>1208</v>
      </c>
    </row>
    <row r="330" spans="1:8" ht="255" x14ac:dyDescent="0.25">
      <c r="A330" s="1" t="str">
        <f>HYPERLINK("https://www.albertahealthservices.ca/findhealth/Service.aspx?serviceAtFacilityId=1046020","Child Life Services")</f>
        <v>Child Life Services</v>
      </c>
      <c r="B330" s="1" t="s">
        <v>723</v>
      </c>
      <c r="C330" s="2" t="s">
        <v>1211</v>
      </c>
      <c r="D330" s="2" t="s">
        <v>978</v>
      </c>
      <c r="E330" s="1"/>
      <c r="F330" s="2" t="s">
        <v>1210</v>
      </c>
      <c r="G330" s="2" t="s">
        <v>1209</v>
      </c>
      <c r="H330" s="1"/>
    </row>
    <row r="331" spans="1:8" ht="180" x14ac:dyDescent="0.25">
      <c r="A331" s="1" t="str">
        <f>HYPERLINK("https://www.albertahealthservices.ca/findhealth/Service.aspx?serviceAtFacilityId=1024071","Mood Disorders Program")</f>
        <v>Mood Disorders Program</v>
      </c>
      <c r="B331" s="1" t="s">
        <v>197</v>
      </c>
      <c r="C331" s="2" t="s">
        <v>1215</v>
      </c>
      <c r="D331" s="2" t="s">
        <v>1213</v>
      </c>
      <c r="E331" s="1"/>
      <c r="F331" s="2" t="s">
        <v>1214</v>
      </c>
      <c r="G331" s="2" t="s">
        <v>1212</v>
      </c>
      <c r="H331" s="1"/>
    </row>
    <row r="332" spans="1:8" ht="180" x14ac:dyDescent="0.25">
      <c r="A332" s="1" t="str">
        <f>HYPERLINK("https://www.albertahealthservices.ca/findhealth/Service.aspx?serviceAtFacilityId=1111323","Addiction and Mental Health - Outpatient Services, Adult")</f>
        <v>Addiction and Mental Health - Outpatient Services, Adult</v>
      </c>
      <c r="B332" s="1" t="s">
        <v>177</v>
      </c>
      <c r="C332" s="2" t="s">
        <v>1219</v>
      </c>
      <c r="D332" s="2" t="s">
        <v>1217</v>
      </c>
      <c r="E332" s="2" t="s">
        <v>1218</v>
      </c>
      <c r="F332" s="2" t="s">
        <v>201</v>
      </c>
      <c r="G332" s="2" t="s">
        <v>1216</v>
      </c>
      <c r="H332" s="1"/>
    </row>
    <row r="333" spans="1:8" ht="409.5" x14ac:dyDescent="0.25">
      <c r="A333" s="1" t="str">
        <f>HYPERLINK("https://www.albertahealthservices.ca/findhealth/Service.aspx?serviceAtFacilityId=1004625","Continuing Care Counselling")</f>
        <v>Continuing Care Counselling</v>
      </c>
      <c r="B333" s="1" t="s">
        <v>674</v>
      </c>
      <c r="C333" s="2" t="s">
        <v>163</v>
      </c>
      <c r="D333" s="2" t="s">
        <v>1220</v>
      </c>
      <c r="E333" s="1"/>
      <c r="F333" s="2" t="s">
        <v>261</v>
      </c>
      <c r="G333" s="2" t="s">
        <v>158</v>
      </c>
      <c r="H333" s="2" t="s">
        <v>1221</v>
      </c>
    </row>
    <row r="334" spans="1:8" ht="180" x14ac:dyDescent="0.25">
      <c r="A334" s="1" t="str">
        <f>HYPERLINK("https://www.albertahealthservices.ca/findhealth/Service.aspx?serviceAtFacilityId=1074654","Regional Capacity Assessment Team - Mental Health")</f>
        <v>Regional Capacity Assessment Team - Mental Health</v>
      </c>
      <c r="B334" s="1" t="s">
        <v>374</v>
      </c>
      <c r="C334" s="2" t="s">
        <v>1224</v>
      </c>
      <c r="D334" s="2" t="s">
        <v>1223</v>
      </c>
      <c r="E334" s="1"/>
      <c r="F334" s="2" t="s">
        <v>929</v>
      </c>
      <c r="G334" s="2" t="s">
        <v>1222</v>
      </c>
      <c r="H334" s="1"/>
    </row>
    <row r="335" spans="1:8" ht="409.5" x14ac:dyDescent="0.25">
      <c r="A335" s="1" t="str">
        <f>HYPERLINK("https://www.albertahealthservices.ca/findhealth/Service.aspx?serviceAtFacilityId=1001487","Therapeutic Recreation Services")</f>
        <v>Therapeutic Recreation Services</v>
      </c>
      <c r="B335" s="1" t="s">
        <v>855</v>
      </c>
      <c r="C335" s="2" t="s">
        <v>37</v>
      </c>
      <c r="D335" s="2" t="s">
        <v>1225</v>
      </c>
      <c r="E335" s="1"/>
      <c r="F335" s="2" t="s">
        <v>340</v>
      </c>
      <c r="G335" s="2" t="s">
        <v>32</v>
      </c>
      <c r="H335" s="2" t="s">
        <v>1226</v>
      </c>
    </row>
    <row r="336" spans="1:8" ht="135" x14ac:dyDescent="0.25">
      <c r="A336" s="1" t="str">
        <f>HYPERLINK("https://www.albertahealthservices.ca/findhealth/Service.aspx?serviceAtFacilityId=1116866","Addiction and Mental Health - Diversion Services")</f>
        <v>Addiction and Mental Health - Diversion Services</v>
      </c>
      <c r="B336" s="1" t="s">
        <v>221</v>
      </c>
      <c r="C336" s="2" t="s">
        <v>154</v>
      </c>
      <c r="D336" s="2" t="s">
        <v>1227</v>
      </c>
      <c r="E336" s="2" t="s">
        <v>152</v>
      </c>
      <c r="F336" s="2" t="s">
        <v>311</v>
      </c>
      <c r="G336" s="2" t="s">
        <v>149</v>
      </c>
      <c r="H336" s="2" t="s">
        <v>1228</v>
      </c>
    </row>
    <row r="337" spans="1:8" ht="195" x14ac:dyDescent="0.25">
      <c r="A337" s="1" t="str">
        <f>HYPERLINK("https://www.albertahealthservices.ca/findhealth/Service.aspx?serviceAtFacilityId=1033055","Calgary Eating Disorder Program - Day Treatment")</f>
        <v>Calgary Eating Disorder Program - Day Treatment</v>
      </c>
      <c r="B337" s="1" t="s">
        <v>456</v>
      </c>
      <c r="C337" s="2" t="s">
        <v>1232</v>
      </c>
      <c r="D337" s="2" t="s">
        <v>1230</v>
      </c>
      <c r="E337" s="2" t="s">
        <v>1005</v>
      </c>
      <c r="F337" s="2" t="s">
        <v>1231</v>
      </c>
      <c r="G337" s="2" t="s">
        <v>1229</v>
      </c>
      <c r="H337" s="1"/>
    </row>
    <row r="338" spans="1:8" ht="345" x14ac:dyDescent="0.25">
      <c r="A338" s="1" t="str">
        <f>HYPERLINK("https://www.albertahealthservices.ca/findhealth/Service.aspx?serviceAtFacilityId=1104475","Designated Supportive Living Level 4 Dementia")</f>
        <v>Designated Supportive Living Level 4 Dementia</v>
      </c>
      <c r="B338" s="1" t="s">
        <v>1235</v>
      </c>
      <c r="C338" s="2" t="s">
        <v>31</v>
      </c>
      <c r="D338" s="2" t="s">
        <v>1233</v>
      </c>
      <c r="E338" s="1"/>
      <c r="F338" s="2" t="s">
        <v>23</v>
      </c>
      <c r="G338" s="2" t="s">
        <v>182</v>
      </c>
      <c r="H338" s="2" t="s">
        <v>1234</v>
      </c>
    </row>
    <row r="339" spans="1:8" ht="409.5" x14ac:dyDescent="0.25">
      <c r="A339" s="1" t="str">
        <f>HYPERLINK("https://www.albertahealthservices.ca/findhealth/Service.aspx?serviceAtFacilityId=1102311","Adult Mental Health Treatment Services")</f>
        <v>Adult Mental Health Treatment Services</v>
      </c>
      <c r="B339" s="1" t="s">
        <v>855</v>
      </c>
      <c r="C339" s="2" t="s">
        <v>125</v>
      </c>
      <c r="D339" s="2" t="s">
        <v>1236</v>
      </c>
      <c r="E339" s="1"/>
      <c r="F339" s="2" t="s">
        <v>716</v>
      </c>
      <c r="G339" s="2" t="s">
        <v>121</v>
      </c>
      <c r="H339" s="2" t="s">
        <v>1237</v>
      </c>
    </row>
    <row r="340" spans="1:8" ht="409.5" x14ac:dyDescent="0.25">
      <c r="A340" s="1" t="str">
        <f>HYPERLINK("https://www.albertahealthservices.ca/findhealth/Service.aspx?serviceAtFacilityId=1090362","Eating Disorder Services")</f>
        <v>Eating Disorder Services</v>
      </c>
      <c r="B340" s="1" t="s">
        <v>1240</v>
      </c>
      <c r="C340" s="2" t="s">
        <v>212</v>
      </c>
      <c r="D340" s="2" t="s">
        <v>1238</v>
      </c>
      <c r="E340" s="1"/>
      <c r="F340" s="2" t="s">
        <v>201</v>
      </c>
      <c r="G340" s="2" t="s">
        <v>209</v>
      </c>
      <c r="H340" s="2" t="s">
        <v>1239</v>
      </c>
    </row>
    <row r="341" spans="1:8" ht="409.5" x14ac:dyDescent="0.25">
      <c r="A341" s="1" t="str">
        <f>HYPERLINK("https://www.albertahealthservices.ca/findhealth/Service.aspx?serviceAtFacilityId=1090157","Continuing Care Counselling")</f>
        <v>Continuing Care Counselling</v>
      </c>
      <c r="B341" s="1" t="s">
        <v>726</v>
      </c>
      <c r="C341" s="2" t="s">
        <v>163</v>
      </c>
      <c r="D341" s="2" t="s">
        <v>1241</v>
      </c>
      <c r="E341" s="1"/>
      <c r="F341" s="2" t="s">
        <v>261</v>
      </c>
      <c r="G341" s="2" t="s">
        <v>158</v>
      </c>
      <c r="H341" s="2" t="s">
        <v>1242</v>
      </c>
    </row>
    <row r="342" spans="1:8" ht="285" x14ac:dyDescent="0.25">
      <c r="A342" s="1" t="str">
        <f>HYPERLINK("https://www.albertahealthservices.ca/findhealth/Service.aspx?serviceAtFacilityId=1051992","School Health Program")</f>
        <v>School Health Program</v>
      </c>
      <c r="B342" s="1" t="s">
        <v>1245</v>
      </c>
      <c r="C342" s="2" t="s">
        <v>93</v>
      </c>
      <c r="D342" s="2" t="s">
        <v>1243</v>
      </c>
      <c r="E342" s="1"/>
      <c r="F342" s="1" t="s">
        <v>34</v>
      </c>
      <c r="G342" s="1" t="s">
        <v>89</v>
      </c>
      <c r="H342" s="2" t="s">
        <v>1244</v>
      </c>
    </row>
    <row r="343" spans="1:8" ht="390" x14ac:dyDescent="0.25">
      <c r="A343" s="1" t="str">
        <f>HYPERLINK("https://www.albertahealthservices.ca/findhealth/Service.aspx?serviceAtFacilityId=1102348","Children's Mental Health Treatment Services")</f>
        <v>Children's Mental Health Treatment Services</v>
      </c>
      <c r="B343" s="1" t="s">
        <v>203</v>
      </c>
      <c r="C343" s="2" t="s">
        <v>84</v>
      </c>
      <c r="D343" s="2" t="s">
        <v>1246</v>
      </c>
      <c r="E343" s="2" t="s">
        <v>82</v>
      </c>
      <c r="F343" s="1" t="s">
        <v>34</v>
      </c>
      <c r="G343" s="2" t="s">
        <v>79</v>
      </c>
      <c r="H343" s="2" t="s">
        <v>1247</v>
      </c>
    </row>
    <row r="344" spans="1:8" ht="285" x14ac:dyDescent="0.25">
      <c r="A344" s="1" t="str">
        <f>HYPERLINK("https://www.albertahealthservices.ca/findhealth/Service.aspx?serviceAtFacilityId=1093927","Addiction Services - Adult Long-Term Residential")</f>
        <v>Addiction Services - Adult Long-Term Residential</v>
      </c>
      <c r="B344" s="1" t="s">
        <v>1251</v>
      </c>
      <c r="C344" s="2" t="s">
        <v>1252</v>
      </c>
      <c r="D344" s="2" t="s">
        <v>1249</v>
      </c>
      <c r="E344" s="1"/>
      <c r="F344" s="2" t="s">
        <v>1250</v>
      </c>
      <c r="G344" s="2" t="s">
        <v>1248</v>
      </c>
      <c r="H344" s="1"/>
    </row>
    <row r="345" spans="1:8" ht="120" x14ac:dyDescent="0.25">
      <c r="A345" s="1" t="str">
        <f>HYPERLINK("https://www.albertahealthservices.ca/findhealth/Service.aspx?serviceAtFacilityId=1039201","Addiction and Mental Health - Early Psychosis Intervention Services")</f>
        <v>Addiction and Mental Health - Early Psychosis Intervention Services</v>
      </c>
      <c r="B345" s="1" t="s">
        <v>221</v>
      </c>
      <c r="C345" s="2" t="s">
        <v>1255</v>
      </c>
      <c r="D345" s="2" t="s">
        <v>1254</v>
      </c>
      <c r="E345" s="1"/>
      <c r="F345" s="2" t="s">
        <v>311</v>
      </c>
      <c r="G345" s="2" t="s">
        <v>1253</v>
      </c>
      <c r="H345" s="1" t="s">
        <v>57</v>
      </c>
    </row>
    <row r="346" spans="1:8" ht="405" x14ac:dyDescent="0.25">
      <c r="A346" s="1" t="str">
        <f>HYPERLINK("https://www.albertahealthservices.ca/findhealth/Service.aspx?serviceAtFacilityId=1000794","Community Addiction &amp; Mental Health - Adult &amp; Youth Services")</f>
        <v>Community Addiction &amp; Mental Health - Adult &amp; Youth Services</v>
      </c>
      <c r="B346" s="1" t="s">
        <v>1258</v>
      </c>
      <c r="C346" s="2" t="s">
        <v>133</v>
      </c>
      <c r="D346" s="2" t="s">
        <v>1256</v>
      </c>
      <c r="E346" s="1"/>
      <c r="F346" s="2" t="s">
        <v>311</v>
      </c>
      <c r="G346" s="2" t="s">
        <v>129</v>
      </c>
      <c r="H346" s="2" t="s">
        <v>1257</v>
      </c>
    </row>
    <row r="347" spans="1:8" ht="165" x14ac:dyDescent="0.25">
      <c r="A347" s="1" t="str">
        <f>HYPERLINK("https://www.albertahealthservices.ca/findhealth/Service.aspx?serviceAtFacilityId=1093960","Addiction Services - Adult Transitional")</f>
        <v>Addiction Services - Adult Transitional</v>
      </c>
      <c r="B347" s="1" t="s">
        <v>1261</v>
      </c>
      <c r="C347" s="2" t="s">
        <v>1262</v>
      </c>
      <c r="D347" s="2" t="s">
        <v>1260</v>
      </c>
      <c r="E347" s="1"/>
      <c r="F347" s="2" t="s">
        <v>23</v>
      </c>
      <c r="G347" s="2" t="s">
        <v>1259</v>
      </c>
      <c r="H347" s="1"/>
    </row>
    <row r="348" spans="1:8" ht="390" x14ac:dyDescent="0.25">
      <c r="A348" s="1" t="str">
        <f>HYPERLINK("https://www.albertahealthservices.ca/findhealth/Service.aspx?serviceAtFacilityId=1115281","Community Helpers Program")</f>
        <v>Community Helpers Program</v>
      </c>
      <c r="B348" s="1" t="s">
        <v>1265</v>
      </c>
      <c r="C348" s="2" t="s">
        <v>120</v>
      </c>
      <c r="D348" s="2" t="s">
        <v>1263</v>
      </c>
      <c r="E348" s="1"/>
      <c r="F348" s="2" t="s">
        <v>117</v>
      </c>
      <c r="G348" s="2" t="s">
        <v>115</v>
      </c>
      <c r="H348" s="2" t="s">
        <v>1264</v>
      </c>
    </row>
    <row r="349" spans="1:8" ht="409.5" x14ac:dyDescent="0.25">
      <c r="A349" s="1" t="str">
        <f>HYPERLINK("https://www.albertahealthservices.ca/findhealth/Service.aspx?serviceAtFacilityId=1006613","Therapeutic Recreation Services")</f>
        <v>Therapeutic Recreation Services</v>
      </c>
      <c r="B349" s="1" t="s">
        <v>768</v>
      </c>
      <c r="C349" s="2" t="s">
        <v>37</v>
      </c>
      <c r="D349" s="2" t="s">
        <v>1266</v>
      </c>
      <c r="E349" s="1"/>
      <c r="F349" s="1" t="s">
        <v>34</v>
      </c>
      <c r="G349" s="2" t="s">
        <v>32</v>
      </c>
      <c r="H349" s="2" t="s">
        <v>1267</v>
      </c>
    </row>
    <row r="350" spans="1:8" ht="150" x14ac:dyDescent="0.25">
      <c r="A350" s="1" t="str">
        <f>HYPERLINK("https://www.albertahealthservices.ca/findhealth/Service.aspx?serviceAtFacilityId=1107991","Mental Health Capacity Building - Helping Our Students to Succeed")</f>
        <v>Mental Health Capacity Building - Helping Our Students to Succeed</v>
      </c>
      <c r="B350" s="1" t="s">
        <v>1271</v>
      </c>
      <c r="C350" s="2" t="s">
        <v>1272</v>
      </c>
      <c r="D350" s="2" t="s">
        <v>1269</v>
      </c>
      <c r="E350" s="1"/>
      <c r="F350" s="1" t="s">
        <v>34</v>
      </c>
      <c r="G350" s="2" t="s">
        <v>1268</v>
      </c>
      <c r="H350" s="2" t="s">
        <v>1270</v>
      </c>
    </row>
    <row r="351" spans="1:8" ht="225" x14ac:dyDescent="0.25">
      <c r="A351" s="1" t="str">
        <f>HYPERLINK("https://www.albertahealthservices.ca/findhealth/Service.aspx?serviceAtFacilityId=1102420","Psychogeriatric Consultation")</f>
        <v>Psychogeriatric Consultation</v>
      </c>
      <c r="B351" s="1" t="s">
        <v>660</v>
      </c>
      <c r="C351" s="2" t="s">
        <v>66</v>
      </c>
      <c r="D351" s="2" t="s">
        <v>1273</v>
      </c>
      <c r="E351" s="1"/>
      <c r="F351" s="1" t="s">
        <v>34</v>
      </c>
      <c r="G351" s="2" t="s">
        <v>62</v>
      </c>
      <c r="H351" s="2" t="s">
        <v>1274</v>
      </c>
    </row>
    <row r="352" spans="1:8" ht="120" x14ac:dyDescent="0.25">
      <c r="A352" s="1" t="str">
        <f>HYPERLINK("https://www.albertahealthservices.ca/findhealth/Service.aspx?serviceAtFacilityId=1111154","Addiction and Mental Health - Assertive Community Treatment Services, Adult")</f>
        <v>Addiction and Mental Health - Assertive Community Treatment Services, Adult</v>
      </c>
      <c r="B352" s="1" t="s">
        <v>221</v>
      </c>
      <c r="C352" s="2" t="s">
        <v>1277</v>
      </c>
      <c r="D352" s="2" t="s">
        <v>1276</v>
      </c>
      <c r="E352" s="1"/>
      <c r="F352" s="2" t="s">
        <v>220</v>
      </c>
      <c r="G352" s="2" t="s">
        <v>1275</v>
      </c>
      <c r="H352" s="1"/>
    </row>
    <row r="353" spans="1:8" ht="409.5" x14ac:dyDescent="0.25">
      <c r="A353" s="1" t="str">
        <f>HYPERLINK("https://www.albertahealthservices.ca/findhealth/Service.aspx?serviceAtFacilityId=1119070","School Health Program")</f>
        <v>School Health Program</v>
      </c>
      <c r="B353" s="1" t="s">
        <v>1101</v>
      </c>
      <c r="C353" s="2" t="s">
        <v>204</v>
      </c>
      <c r="D353" s="2" t="s">
        <v>1278</v>
      </c>
      <c r="E353" s="1"/>
      <c r="F353" s="2" t="s">
        <v>201</v>
      </c>
      <c r="G353" s="2" t="s">
        <v>199</v>
      </c>
      <c r="H353" s="2" t="s">
        <v>1279</v>
      </c>
    </row>
    <row r="354" spans="1:8" ht="180" x14ac:dyDescent="0.25">
      <c r="A354" s="1" t="str">
        <f>HYPERLINK("https://www.albertahealthservices.ca/findhealth/Service.aspx?serviceAtFacilityId=1034103","Exceptional Needs Program Service - Child and Adolescent Mental Health")</f>
        <v>Exceptional Needs Program Service - Child and Adolescent Mental Health</v>
      </c>
      <c r="B354" s="1" t="s">
        <v>197</v>
      </c>
      <c r="C354" s="2" t="s">
        <v>1283</v>
      </c>
      <c r="D354" s="2" t="s">
        <v>194</v>
      </c>
      <c r="E354" s="1"/>
      <c r="F354" s="2" t="s">
        <v>1281</v>
      </c>
      <c r="G354" s="2" t="s">
        <v>1280</v>
      </c>
      <c r="H354" s="1" t="s">
        <v>1282</v>
      </c>
    </row>
    <row r="355" spans="1:8" ht="330" x14ac:dyDescent="0.25">
      <c r="A355" s="1" t="str">
        <f>HYPERLINK("https://www.albertahealthservices.ca/findhealth/Service.aspx?serviceAtFacilityId=1111204","Pastoral Care Services")</f>
        <v>Pastoral Care Services</v>
      </c>
      <c r="B355" s="1" t="s">
        <v>330</v>
      </c>
      <c r="C355" s="2" t="s">
        <v>423</v>
      </c>
      <c r="D355" s="2" t="s">
        <v>1284</v>
      </c>
      <c r="E355" s="1"/>
      <c r="F355" s="2" t="s">
        <v>23</v>
      </c>
      <c r="G355" s="2" t="s">
        <v>419</v>
      </c>
      <c r="H355" s="2" t="s">
        <v>1285</v>
      </c>
    </row>
    <row r="356" spans="1:8" ht="240" x14ac:dyDescent="0.25">
      <c r="A356" s="1" t="str">
        <f>HYPERLINK("https://www.albertahealthservices.ca/findhealth/Service.aspx?serviceAtFacilityId=1009306","CHOICE")</f>
        <v>CHOICE</v>
      </c>
      <c r="B356" s="1" t="s">
        <v>1288</v>
      </c>
      <c r="C356" s="2" t="s">
        <v>701</v>
      </c>
      <c r="D356" s="2" t="s">
        <v>1286</v>
      </c>
      <c r="E356" s="1"/>
      <c r="F356" s="2" t="s">
        <v>23</v>
      </c>
      <c r="G356" s="2" t="s">
        <v>697</v>
      </c>
      <c r="H356" s="2" t="s">
        <v>1287</v>
      </c>
    </row>
    <row r="357" spans="1:8" ht="150" x14ac:dyDescent="0.25">
      <c r="A357" s="1" t="str">
        <f>HYPERLINK("https://www.albertahealthservices.ca/findhealth/Service.aspx?serviceAtFacilityId=1107507","Mental Health Capacity Building - Vermilion Is Being Empowered")</f>
        <v>Mental Health Capacity Building - Vermilion Is Being Empowered</v>
      </c>
      <c r="B357" s="1" t="s">
        <v>1291</v>
      </c>
      <c r="C357" s="2" t="s">
        <v>826</v>
      </c>
      <c r="D357" s="2" t="s">
        <v>1289</v>
      </c>
      <c r="E357" s="1"/>
      <c r="F357" s="1" t="s">
        <v>34</v>
      </c>
      <c r="G357" s="2" t="s">
        <v>821</v>
      </c>
      <c r="H357" s="2" t="s">
        <v>1290</v>
      </c>
    </row>
    <row r="358" spans="1:8" ht="409.5" x14ac:dyDescent="0.25">
      <c r="A358" s="1" t="str">
        <f>HYPERLINK("https://www.albertahealthservices.ca/findhealth/Service.aspx?serviceAtFacilityId=1047091","Eating Disorder Services")</f>
        <v>Eating Disorder Services</v>
      </c>
      <c r="B358" s="1" t="s">
        <v>394</v>
      </c>
      <c r="C358" s="2" t="s">
        <v>212</v>
      </c>
      <c r="D358" s="2" t="s">
        <v>1292</v>
      </c>
      <c r="E358" s="1"/>
      <c r="F358" s="1" t="s">
        <v>34</v>
      </c>
      <c r="G358" s="2" t="s">
        <v>209</v>
      </c>
      <c r="H358" s="2" t="s">
        <v>1293</v>
      </c>
    </row>
    <row r="359" spans="1:8" ht="270" x14ac:dyDescent="0.25">
      <c r="A359" s="1" t="str">
        <f>HYPERLINK("https://www.albertahealthservices.ca/findhealth/Service.aspx?serviceAtFacilityId=1107564","School Health Services")</f>
        <v>School Health Services</v>
      </c>
      <c r="B359" s="1" t="s">
        <v>511</v>
      </c>
      <c r="C359" s="2" t="s">
        <v>641</v>
      </c>
      <c r="D359" s="2" t="s">
        <v>1294</v>
      </c>
      <c r="E359" s="1"/>
      <c r="F359" s="2" t="s">
        <v>818</v>
      </c>
      <c r="G359" s="2" t="s">
        <v>636</v>
      </c>
      <c r="H359" s="2" t="s">
        <v>1295</v>
      </c>
    </row>
    <row r="360" spans="1:8" ht="409.5" x14ac:dyDescent="0.25">
      <c r="A360" s="1" t="str">
        <f>HYPERLINK("https://www.albertahealthservices.ca/findhealth/Service.aspx?serviceAtFacilityId=1044055","Continuing Care Counselling")</f>
        <v>Continuing Care Counselling</v>
      </c>
      <c r="B360" s="1" t="s">
        <v>1298</v>
      </c>
      <c r="C360" s="2" t="s">
        <v>163</v>
      </c>
      <c r="D360" s="2" t="s">
        <v>1296</v>
      </c>
      <c r="E360" s="1"/>
      <c r="F360" s="2" t="s">
        <v>261</v>
      </c>
      <c r="G360" s="2" t="s">
        <v>158</v>
      </c>
      <c r="H360" s="2" t="s">
        <v>1297</v>
      </c>
    </row>
    <row r="361" spans="1:8" ht="135" x14ac:dyDescent="0.25">
      <c r="A361" s="1" t="str">
        <f>HYPERLINK("https://www.albertahealthservices.ca/findhealth/Service.aspx?serviceAtFacilityId=1000157","Community Transition Team")</f>
        <v>Community Transition Team</v>
      </c>
      <c r="B361" s="1" t="s">
        <v>843</v>
      </c>
      <c r="C361" s="2" t="s">
        <v>1302</v>
      </c>
      <c r="D361" s="2" t="s">
        <v>1300</v>
      </c>
      <c r="E361" s="1"/>
      <c r="F361" s="2" t="s">
        <v>1301</v>
      </c>
      <c r="G361" s="2" t="s">
        <v>1299</v>
      </c>
      <c r="H361" s="1" t="s">
        <v>602</v>
      </c>
    </row>
    <row r="362" spans="1:8" ht="330" x14ac:dyDescent="0.25">
      <c r="A362" s="1" t="str">
        <f>HYPERLINK("https://www.albertahealthservices.ca/findhealth/Service.aspx?serviceAtFacilityId=1106112","Pastoral Care Services")</f>
        <v>Pastoral Care Services</v>
      </c>
      <c r="B362" s="1" t="s">
        <v>387</v>
      </c>
      <c r="C362" s="2" t="s">
        <v>423</v>
      </c>
      <c r="D362" s="2" t="s">
        <v>1303</v>
      </c>
      <c r="E362" s="1"/>
      <c r="F362" s="1" t="s">
        <v>34</v>
      </c>
      <c r="G362" s="2" t="s">
        <v>419</v>
      </c>
      <c r="H362" s="2" t="s">
        <v>1304</v>
      </c>
    </row>
    <row r="363" spans="1:8" ht="135" x14ac:dyDescent="0.25">
      <c r="A363" s="1" t="str">
        <f>HYPERLINK("https://www.albertahealthservices.ca/findhealth/Service.aspx?serviceAtFacilityId=1111380","Addiction and Mental Health - Transitional Youth Services")</f>
        <v>Addiction and Mental Health - Transitional Youth Services</v>
      </c>
      <c r="B363" s="1" t="s">
        <v>216</v>
      </c>
      <c r="C363" s="2" t="s">
        <v>1306</v>
      </c>
      <c r="D363" s="2" t="s">
        <v>1305</v>
      </c>
      <c r="E363" s="1"/>
      <c r="F363" s="1" t="s">
        <v>34</v>
      </c>
      <c r="G363" s="1"/>
      <c r="H363" s="1"/>
    </row>
    <row r="364" spans="1:8" ht="90" x14ac:dyDescent="0.25">
      <c r="A364" s="1" t="str">
        <f>HYPERLINK("https://www.albertahealthservices.ca/findhealth/Service.aspx?serviceAtFacilityId=1111145","Addiction and Mental Health - Acute Inpatient Services, Adult")</f>
        <v>Addiction and Mental Health - Acute Inpatient Services, Adult</v>
      </c>
      <c r="B364" s="1" t="s">
        <v>1310</v>
      </c>
      <c r="C364" s="2" t="s">
        <v>1311</v>
      </c>
      <c r="D364" s="2" t="s">
        <v>1308</v>
      </c>
      <c r="E364" s="1"/>
      <c r="F364" s="2" t="s">
        <v>23</v>
      </c>
      <c r="G364" s="2" t="s">
        <v>1307</v>
      </c>
      <c r="H364" s="2" t="s">
        <v>1309</v>
      </c>
    </row>
    <row r="365" spans="1:8" ht="105" x14ac:dyDescent="0.25">
      <c r="A365" s="1" t="str">
        <f>HYPERLINK("https://www.albertahealthservices.ca/findhealth/Service.aspx?serviceAtFacilityId=1004680","Adult Inpatient Program")</f>
        <v>Adult Inpatient Program</v>
      </c>
      <c r="B365" s="1" t="s">
        <v>301</v>
      </c>
      <c r="C365" s="2" t="s">
        <v>553</v>
      </c>
      <c r="D365" s="2" t="s">
        <v>1312</v>
      </c>
      <c r="E365" s="1"/>
      <c r="F365" s="2" t="s">
        <v>23</v>
      </c>
      <c r="G365" s="2" t="s">
        <v>550</v>
      </c>
      <c r="H365" s="1" t="s">
        <v>552</v>
      </c>
    </row>
    <row r="366" spans="1:8" ht="240" x14ac:dyDescent="0.25">
      <c r="A366" s="1" t="str">
        <f>HYPERLINK("https://www.albertahealthservices.ca/findhealth/Service.aspx?serviceAtFacilityId=1077465","Community Geriatric Psychiatry")</f>
        <v>Community Geriatric Psychiatry</v>
      </c>
      <c r="B366" s="1" t="s">
        <v>1316</v>
      </c>
      <c r="C366" s="2" t="s">
        <v>1317</v>
      </c>
      <c r="D366" s="2" t="s">
        <v>1314</v>
      </c>
      <c r="E366" s="2" t="s">
        <v>1315</v>
      </c>
      <c r="F366" s="2" t="s">
        <v>23</v>
      </c>
      <c r="G366" s="2" t="s">
        <v>1313</v>
      </c>
      <c r="H366" s="1"/>
    </row>
    <row r="367" spans="1:8" ht="409.5" x14ac:dyDescent="0.25">
      <c r="A367" s="1" t="str">
        <f>HYPERLINK("https://www.albertahealthservices.ca/findhealth/Service.aspx?serviceAtFacilityId=1105271","Therapeutic Recreation Services")</f>
        <v>Therapeutic Recreation Services</v>
      </c>
      <c r="B367" s="1" t="s">
        <v>1320</v>
      </c>
      <c r="C367" s="2" t="s">
        <v>37</v>
      </c>
      <c r="D367" s="2" t="s">
        <v>1318</v>
      </c>
      <c r="E367" s="1"/>
      <c r="F367" s="1" t="s">
        <v>34</v>
      </c>
      <c r="G367" s="2" t="s">
        <v>32</v>
      </c>
      <c r="H367" s="2" t="s">
        <v>1319</v>
      </c>
    </row>
    <row r="368" spans="1:8" ht="180" x14ac:dyDescent="0.25">
      <c r="A368" s="1" t="str">
        <f>HYPERLINK("https://www.albertahealthservices.ca/findhealth/Service.aspx?serviceAtFacilityId=1103588","Mental Health Outreach Depot Clinic")</f>
        <v>Mental Health Outreach Depot Clinic</v>
      </c>
      <c r="B368" s="1" t="s">
        <v>242</v>
      </c>
      <c r="C368" s="2" t="s">
        <v>1323</v>
      </c>
      <c r="D368" s="2" t="s">
        <v>1322</v>
      </c>
      <c r="E368" s="1"/>
      <c r="F368" s="2" t="s">
        <v>190</v>
      </c>
      <c r="G368" s="2" t="s">
        <v>1321</v>
      </c>
      <c r="H368" s="1" t="s">
        <v>243</v>
      </c>
    </row>
    <row r="369" spans="1:8" ht="390" x14ac:dyDescent="0.25">
      <c r="A369" s="1" t="str">
        <f>HYPERLINK("https://www.albertahealthservices.ca/findhealth/Service.aspx?serviceAtFacilityId=1116181","Designated Supportive Living Level 4 Dementia")</f>
        <v>Designated Supportive Living Level 4 Dementia</v>
      </c>
      <c r="B369" s="1" t="s">
        <v>1326</v>
      </c>
      <c r="C369" s="2" t="s">
        <v>31</v>
      </c>
      <c r="D369" s="2" t="s">
        <v>1324</v>
      </c>
      <c r="E369" s="1"/>
      <c r="F369" s="1" t="s">
        <v>34</v>
      </c>
      <c r="G369" s="2" t="s">
        <v>52</v>
      </c>
      <c r="H369" s="2" t="s">
        <v>1325</v>
      </c>
    </row>
    <row r="370" spans="1:8" ht="195" x14ac:dyDescent="0.25">
      <c r="A370" s="1" t="str">
        <f>HYPERLINK("https://www.albertahealthservices.ca/findhealth/Service.aspx?serviceAtFacilityId=1109767","Community Mental Health Rehabilitation Team")</f>
        <v>Community Mental Health Rehabilitation Team</v>
      </c>
      <c r="B370" s="1" t="s">
        <v>1113</v>
      </c>
      <c r="C370" s="2" t="s">
        <v>1329</v>
      </c>
      <c r="D370" s="2" t="s">
        <v>1328</v>
      </c>
      <c r="E370" s="1"/>
      <c r="F370" s="2" t="s">
        <v>117</v>
      </c>
      <c r="G370" s="2" t="s">
        <v>1327</v>
      </c>
      <c r="H370" s="1"/>
    </row>
    <row r="371" spans="1:8" ht="270" x14ac:dyDescent="0.25">
      <c r="A371" s="1" t="str">
        <f>HYPERLINK("https://www.albertahealthservices.ca/findhealth/Service.aspx?serviceAtFacilityId=1108903","Designated Supportive Living Level 4 Dementia")</f>
        <v>Designated Supportive Living Level 4 Dementia</v>
      </c>
      <c r="B371" s="1" t="s">
        <v>1332</v>
      </c>
      <c r="C371" s="2" t="s">
        <v>31</v>
      </c>
      <c r="D371" s="2" t="s">
        <v>1330</v>
      </c>
      <c r="E371" s="1"/>
      <c r="F371" s="2" t="s">
        <v>23</v>
      </c>
      <c r="G371" s="2" t="s">
        <v>27</v>
      </c>
      <c r="H371" s="2" t="s">
        <v>1331</v>
      </c>
    </row>
    <row r="372" spans="1:8" ht="285" x14ac:dyDescent="0.25">
      <c r="A372" s="1" t="str">
        <f>HYPERLINK("https://www.albertahealthservices.ca/findhealth/Service.aspx?serviceAtFacilityId=1103870","School Health Program")</f>
        <v>School Health Program</v>
      </c>
      <c r="B372" s="1" t="s">
        <v>50</v>
      </c>
      <c r="C372" s="2" t="s">
        <v>93</v>
      </c>
      <c r="D372" s="2" t="s">
        <v>1333</v>
      </c>
      <c r="E372" s="1"/>
      <c r="F372" s="2" t="s">
        <v>1334</v>
      </c>
      <c r="G372" s="1" t="s">
        <v>89</v>
      </c>
      <c r="H372" s="2" t="s">
        <v>1335</v>
      </c>
    </row>
    <row r="373" spans="1:8" ht="150" x14ac:dyDescent="0.25">
      <c r="A373" s="1" t="str">
        <f>HYPERLINK("https://www.albertahealthservices.ca/findhealth/Service.aspx?serviceAtFacilityId=1111276","Addiction and Mental Health - Psychiatry Ambulatory Services, Child and Adolescent")</f>
        <v>Addiction and Mental Health - Psychiatry Ambulatory Services, Child and Adolescent</v>
      </c>
      <c r="B373" s="1" t="s">
        <v>216</v>
      </c>
      <c r="C373" s="2" t="s">
        <v>1338</v>
      </c>
      <c r="D373" s="2" t="s">
        <v>1337</v>
      </c>
      <c r="E373" s="1"/>
      <c r="F373" s="2" t="s">
        <v>220</v>
      </c>
      <c r="G373" s="2" t="s">
        <v>1336</v>
      </c>
      <c r="H373" s="1"/>
    </row>
    <row r="374" spans="1:8" ht="270" x14ac:dyDescent="0.25">
      <c r="A374" s="1" t="str">
        <f>HYPERLINK("https://www.albertahealthservices.ca/findhealth/Service.aspx?serviceAtFacilityId=1107559","School Health Services")</f>
        <v>School Health Services</v>
      </c>
      <c r="B374" s="1" t="s">
        <v>144</v>
      </c>
      <c r="C374" s="2" t="s">
        <v>641</v>
      </c>
      <c r="D374" s="2" t="s">
        <v>1339</v>
      </c>
      <c r="E374" s="1"/>
      <c r="F374" s="2" t="s">
        <v>818</v>
      </c>
      <c r="G374" s="2" t="s">
        <v>636</v>
      </c>
      <c r="H374" s="2" t="s">
        <v>1340</v>
      </c>
    </row>
    <row r="375" spans="1:8" ht="270" x14ac:dyDescent="0.25">
      <c r="A375" s="1" t="str">
        <f>HYPERLINK("https://www.albertahealthservices.ca/findhealth/Service.aspx?serviceAtFacilityId=1115781","Addiction Services - Prevention")</f>
        <v>Addiction Services - Prevention</v>
      </c>
      <c r="B375" s="1" t="s">
        <v>1258</v>
      </c>
      <c r="C375" s="2" t="s">
        <v>493</v>
      </c>
      <c r="D375" s="2" t="s">
        <v>1341</v>
      </c>
      <c r="E375" s="1"/>
      <c r="F375" s="2" t="s">
        <v>311</v>
      </c>
      <c r="G375" s="2" t="s">
        <v>489</v>
      </c>
      <c r="H375" s="2" t="s">
        <v>1342</v>
      </c>
    </row>
    <row r="376" spans="1:8" ht="255" x14ac:dyDescent="0.25">
      <c r="A376" s="1" t="str">
        <f>HYPERLINK("https://www.albertahealthservices.ca/findhealth/Service.aspx?serviceAtFacilityId=1114925","Walk In Counselling Services")</f>
        <v>Walk In Counselling Services</v>
      </c>
      <c r="B376" s="1" t="s">
        <v>208</v>
      </c>
      <c r="C376" s="2" t="s">
        <v>773</v>
      </c>
      <c r="D376" s="2" t="s">
        <v>1343</v>
      </c>
      <c r="E376" s="1"/>
      <c r="F376" s="2" t="s">
        <v>1344</v>
      </c>
      <c r="G376" s="2" t="s">
        <v>769</v>
      </c>
      <c r="H376" s="2" t="s">
        <v>1345</v>
      </c>
    </row>
    <row r="377" spans="1:8" ht="240" x14ac:dyDescent="0.25">
      <c r="A377" s="1" t="str">
        <f>HYPERLINK("https://www.albertahealthservices.ca/findhealth/Service.aspx?serviceAtFacilityId=1093944","Addiction and Mental Health - Residential Treatment Services, Adult")</f>
        <v>Addiction and Mental Health - Residential Treatment Services, Adult</v>
      </c>
      <c r="B377" s="1" t="s">
        <v>1349</v>
      </c>
      <c r="C377" s="2" t="s">
        <v>1350</v>
      </c>
      <c r="D377" s="2" t="s">
        <v>1347</v>
      </c>
      <c r="E377" s="1"/>
      <c r="F377" s="2" t="s">
        <v>1348</v>
      </c>
      <c r="G377" s="2" t="s">
        <v>1346</v>
      </c>
      <c r="H377" s="1"/>
    </row>
    <row r="378" spans="1:8" ht="330" x14ac:dyDescent="0.25">
      <c r="A378" s="1" t="str">
        <f>HYPERLINK("https://www.albertahealthservices.ca/findhealth/Service.aspx?serviceAtFacilityId=1106251","Pastoral Care Services")</f>
        <v>Pastoral Care Services</v>
      </c>
      <c r="B378" s="1" t="s">
        <v>519</v>
      </c>
      <c r="C378" s="2" t="s">
        <v>423</v>
      </c>
      <c r="D378" s="2" t="s">
        <v>1351</v>
      </c>
      <c r="E378" s="1"/>
      <c r="F378" s="1" t="s">
        <v>34</v>
      </c>
      <c r="G378" s="2" t="s">
        <v>419</v>
      </c>
      <c r="H378" s="2" t="s">
        <v>1352</v>
      </c>
    </row>
    <row r="379" spans="1:8" ht="120" x14ac:dyDescent="0.25">
      <c r="A379" s="1" t="str">
        <f>HYPERLINK("https://www.albertahealthservices.ca/findhealth/Service.aspx?serviceAtFacilityId=1115862","Spiritual Care Services")</f>
        <v>Spiritual Care Services</v>
      </c>
      <c r="B379" s="1" t="s">
        <v>629</v>
      </c>
      <c r="C379" s="2" t="s">
        <v>453</v>
      </c>
      <c r="D379" s="2" t="s">
        <v>1353</v>
      </c>
      <c r="E379" s="1"/>
      <c r="F379" s="1" t="s">
        <v>34</v>
      </c>
      <c r="G379" s="2" t="s">
        <v>449</v>
      </c>
      <c r="H379" s="2" t="s">
        <v>1354</v>
      </c>
    </row>
    <row r="380" spans="1:8" ht="180" x14ac:dyDescent="0.25">
      <c r="A380" s="1" t="str">
        <f>HYPERLINK("https://www.albertahealthservices.ca/findhealth/Service.aspx?serviceAtFacilityId=1033919","Community Addiction and Mental Health Services - Rural")</f>
        <v>Community Addiction and Mental Health Services - Rural</v>
      </c>
      <c r="B380" s="1" t="s">
        <v>1358</v>
      </c>
      <c r="C380" s="2" t="s">
        <v>72</v>
      </c>
      <c r="D380" s="2" t="s">
        <v>1355</v>
      </c>
      <c r="E380" s="1"/>
      <c r="F380" s="2" t="s">
        <v>1356</v>
      </c>
      <c r="G380" s="2" t="s">
        <v>67</v>
      </c>
      <c r="H380" s="2" t="s">
        <v>1357</v>
      </c>
    </row>
    <row r="381" spans="1:8" ht="375" x14ac:dyDescent="0.25">
      <c r="A381" s="1" t="str">
        <f>HYPERLINK("https://www.albertahealthservices.ca/findhealth/Service.aspx?serviceAtFacilityId=1102482","Regional Collaborative Service Delivery - School based and school linked mental health teams")</f>
        <v>Regional Collaborative Service Delivery - School based and school linked mental health teams</v>
      </c>
      <c r="B381" s="1" t="s">
        <v>660</v>
      </c>
      <c r="C381" s="2" t="s">
        <v>688</v>
      </c>
      <c r="D381" s="2" t="s">
        <v>1359</v>
      </c>
      <c r="E381" s="1"/>
      <c r="F381" s="1" t="s">
        <v>34</v>
      </c>
      <c r="G381" s="2" t="s">
        <v>685</v>
      </c>
      <c r="H381" s="2" t="s">
        <v>1360</v>
      </c>
    </row>
    <row r="382" spans="1:8" ht="60" x14ac:dyDescent="0.25">
      <c r="A382" s="1" t="str">
        <f>HYPERLINK("https://www.albertahealthservices.ca/findhealth/Service.aspx?serviceAtFacilityId=1111519","Addiction and Mental Health - Police and Crisis Services, Adult")</f>
        <v>Addiction and Mental Health - Police and Crisis Services, Adult</v>
      </c>
      <c r="B382" s="1" t="s">
        <v>1364</v>
      </c>
      <c r="C382" s="2" t="s">
        <v>1365</v>
      </c>
      <c r="D382" s="2" t="s">
        <v>1362</v>
      </c>
      <c r="E382" s="2" t="s">
        <v>1363</v>
      </c>
      <c r="F382" s="2" t="s">
        <v>23</v>
      </c>
      <c r="G382" s="2" t="s">
        <v>1361</v>
      </c>
      <c r="H382" s="1"/>
    </row>
    <row r="383" spans="1:8" ht="315" x14ac:dyDescent="0.25">
      <c r="A383" s="1" t="str">
        <f>HYPERLINK("https://www.albertahealthservices.ca/findhealth/Service.aspx?serviceAtFacilityId=1001418","Postpartum Depression Support")</f>
        <v>Postpartum Depression Support</v>
      </c>
      <c r="B383" s="1" t="s">
        <v>1368</v>
      </c>
      <c r="C383" s="2" t="s">
        <v>114</v>
      </c>
      <c r="D383" s="2" t="s">
        <v>1366</v>
      </c>
      <c r="E383" s="1"/>
      <c r="F383" s="2" t="s">
        <v>340</v>
      </c>
      <c r="G383" s="1"/>
      <c r="H383" s="2" t="s">
        <v>1367</v>
      </c>
    </row>
    <row r="384" spans="1:8" ht="255" x14ac:dyDescent="0.25">
      <c r="A384" s="1" t="str">
        <f>HYPERLINK("https://www.albertahealthservices.ca/findhealth/Service.aspx?serviceAtFacilityId=1047873","Addiction and Mental Health - Adult and Youth Intake")</f>
        <v>Addiction and Mental Health - Adult and Youth Intake</v>
      </c>
      <c r="B384" s="1" t="s">
        <v>208</v>
      </c>
      <c r="C384" s="2" t="s">
        <v>78</v>
      </c>
      <c r="D384" s="2" t="s">
        <v>1369</v>
      </c>
      <c r="E384" s="1"/>
      <c r="F384" s="2" t="s">
        <v>1370</v>
      </c>
      <c r="G384" s="2" t="s">
        <v>73</v>
      </c>
      <c r="H384" s="2" t="s">
        <v>1371</v>
      </c>
    </row>
    <row r="385" spans="1:8" ht="120" x14ac:dyDescent="0.25">
      <c r="A385" s="1" t="str">
        <f>HYPERLINK("https://www.albertahealthservices.ca/findhealth/Service.aspx?serviceAtFacilityId=1116003","Spiritual Care Services")</f>
        <v>Spiritual Care Services</v>
      </c>
      <c r="B385" s="1" t="s">
        <v>350</v>
      </c>
      <c r="C385" s="2" t="s">
        <v>453</v>
      </c>
      <c r="D385" s="2" t="s">
        <v>1372</v>
      </c>
      <c r="E385" s="1"/>
      <c r="F385" s="1" t="s">
        <v>34</v>
      </c>
      <c r="G385" s="2" t="s">
        <v>449</v>
      </c>
      <c r="H385" s="2" t="s">
        <v>1373</v>
      </c>
    </row>
    <row r="386" spans="1:8" ht="150" x14ac:dyDescent="0.25">
      <c r="A386" s="1" t="str">
        <f>HYPERLINK("https://www.albertahealthservices.ca/findhealth/Service.aspx?serviceAtFacilityId=1118815","Calgary Rural Children's Rehabilitation Program")</f>
        <v>Calgary Rural Children's Rehabilitation Program</v>
      </c>
      <c r="B386" s="1" t="s">
        <v>1376</v>
      </c>
      <c r="C386" s="2" t="s">
        <v>1071</v>
      </c>
      <c r="D386" s="2" t="s">
        <v>1374</v>
      </c>
      <c r="E386" s="2" t="s">
        <v>1068</v>
      </c>
      <c r="F386" s="2" t="s">
        <v>190</v>
      </c>
      <c r="G386" s="2" t="s">
        <v>1066</v>
      </c>
      <c r="H386" s="2" t="s">
        <v>1375</v>
      </c>
    </row>
    <row r="387" spans="1:8" ht="270" x14ac:dyDescent="0.25">
      <c r="A387" s="1" t="str">
        <f>HYPERLINK("https://www.albertahealthservices.ca/findhealth/Service.aspx?serviceAtFacilityId=1107563","School Health Services")</f>
        <v>School Health Services</v>
      </c>
      <c r="B387" s="1" t="s">
        <v>1380</v>
      </c>
      <c r="C387" s="2" t="s">
        <v>641</v>
      </c>
      <c r="D387" s="2" t="s">
        <v>1377</v>
      </c>
      <c r="E387" s="1"/>
      <c r="F387" s="2" t="s">
        <v>1378</v>
      </c>
      <c r="G387" s="2" t="s">
        <v>636</v>
      </c>
      <c r="H387" s="2" t="s">
        <v>1379</v>
      </c>
    </row>
    <row r="388" spans="1:8" ht="409.5" x14ac:dyDescent="0.25">
      <c r="A388" s="1" t="str">
        <f>HYPERLINK("https://www.albertahealthservices.ca/findhealth/Service.aspx?serviceAtFacilityId=1102503","Eating Disorder Services")</f>
        <v>Eating Disorder Services</v>
      </c>
      <c r="B388" s="1" t="s">
        <v>1101</v>
      </c>
      <c r="C388" s="2" t="s">
        <v>212</v>
      </c>
      <c r="D388" s="2" t="s">
        <v>1381</v>
      </c>
      <c r="E388" s="1"/>
      <c r="F388" s="1" t="s">
        <v>34</v>
      </c>
      <c r="G388" s="2" t="s">
        <v>209</v>
      </c>
      <c r="H388" s="2" t="s">
        <v>1382</v>
      </c>
    </row>
    <row r="389" spans="1:8" ht="409.5" x14ac:dyDescent="0.25">
      <c r="A389" s="1" t="str">
        <f>HYPERLINK("https://www.albertahealthservices.ca/findhealth/Service.aspx?serviceAtFacilityId=1044057","Continuing Care Counselling")</f>
        <v>Continuing Care Counselling</v>
      </c>
      <c r="B389" s="1" t="s">
        <v>1385</v>
      </c>
      <c r="C389" s="2" t="s">
        <v>163</v>
      </c>
      <c r="D389" s="2" t="s">
        <v>1383</v>
      </c>
      <c r="E389" s="1"/>
      <c r="F389" s="2" t="s">
        <v>117</v>
      </c>
      <c r="G389" s="2" t="s">
        <v>158</v>
      </c>
      <c r="H389" s="2" t="s">
        <v>1384</v>
      </c>
    </row>
    <row r="390" spans="1:8" ht="300" x14ac:dyDescent="0.25">
      <c r="A390" s="1" t="str">
        <f>HYPERLINK("https://www.albertahealthservices.ca/findhealth/Service.aspx?serviceAtFacilityId=1111342","Addiction and Mental Health - Community Services, Adult")</f>
        <v>Addiction and Mental Health - Community Services, Adult</v>
      </c>
      <c r="B390" s="1" t="s">
        <v>646</v>
      </c>
      <c r="C390" s="2" t="s">
        <v>1388</v>
      </c>
      <c r="D390" s="2" t="s">
        <v>1387</v>
      </c>
      <c r="E390" s="1"/>
      <c r="F390" s="2" t="s">
        <v>311</v>
      </c>
      <c r="G390" s="2" t="s">
        <v>1386</v>
      </c>
      <c r="H390" s="1"/>
    </row>
    <row r="391" spans="1:8" ht="75" x14ac:dyDescent="0.25">
      <c r="A391" s="1" t="str">
        <f>HYPERLINK("https://www.albertahealthservices.ca/findhealth/Service.aspx?serviceAtFacilityId=1111897","Addiction and Mental Health - Emergency Services, Adult")</f>
        <v>Addiction and Mental Health - Emergency Services, Adult</v>
      </c>
      <c r="B391" s="1" t="s">
        <v>401</v>
      </c>
      <c r="C391" s="2" t="s">
        <v>1391</v>
      </c>
      <c r="D391" s="2" t="s">
        <v>1390</v>
      </c>
      <c r="E391" s="1"/>
      <c r="F391" s="2" t="s">
        <v>23</v>
      </c>
      <c r="G391" s="2" t="s">
        <v>1389</v>
      </c>
      <c r="H391" s="1" t="s">
        <v>177</v>
      </c>
    </row>
    <row r="392" spans="1:8" ht="150" x14ac:dyDescent="0.25">
      <c r="A392" s="1" t="str">
        <f>HYPERLINK("https://www.albertahealthservices.ca/findhealth/Service.aspx?serviceAtFacilityId=1110263","Seniors Mental Health Program Community Services, Seniors Outreach Nurses")</f>
        <v>Seniors Mental Health Program Community Services, Seniors Outreach Nurses</v>
      </c>
      <c r="B392" s="1" t="s">
        <v>492</v>
      </c>
      <c r="C392" s="2" t="s">
        <v>471</v>
      </c>
      <c r="D392" s="2" t="s">
        <v>1392</v>
      </c>
      <c r="E392" s="1"/>
      <c r="F392" s="2" t="s">
        <v>311</v>
      </c>
      <c r="G392" s="2" t="s">
        <v>467</v>
      </c>
      <c r="H392" s="2" t="s">
        <v>1393</v>
      </c>
    </row>
    <row r="393" spans="1:8" ht="165" x14ac:dyDescent="0.25">
      <c r="A393" s="1" t="str">
        <f>HYPERLINK("https://www.albertahealthservices.ca/findhealth/Service.aspx?serviceAtFacilityId=1089492","Emerging Adult Treatment Clinic")</f>
        <v>Emerging Adult Treatment Clinic</v>
      </c>
      <c r="B393" s="1" t="s">
        <v>276</v>
      </c>
      <c r="C393" s="2" t="s">
        <v>1396</v>
      </c>
      <c r="D393" s="2" t="s">
        <v>1395</v>
      </c>
      <c r="E393" s="1"/>
      <c r="F393" s="2" t="s">
        <v>311</v>
      </c>
      <c r="G393" s="2" t="s">
        <v>1394</v>
      </c>
      <c r="H393" s="1"/>
    </row>
    <row r="394" spans="1:8" ht="225" x14ac:dyDescent="0.25">
      <c r="A394" s="1" t="str">
        <f>HYPERLINK("https://www.albertahealthservices.ca/findhealth/Service.aspx?serviceAtFacilityId=1034301","Consultation Liaison Service - Mental Health")</f>
        <v>Consultation Liaison Service - Mental Health</v>
      </c>
      <c r="B394" s="1" t="s">
        <v>197</v>
      </c>
      <c r="C394" s="2" t="s">
        <v>623</v>
      </c>
      <c r="D394" s="2" t="s">
        <v>1397</v>
      </c>
      <c r="E394" s="1"/>
      <c r="F394" s="2" t="s">
        <v>1398</v>
      </c>
      <c r="G394" s="2" t="s">
        <v>620</v>
      </c>
      <c r="H394" s="2" t="s">
        <v>196</v>
      </c>
    </row>
    <row r="395" spans="1:8" ht="270" x14ac:dyDescent="0.25">
      <c r="A395" s="1" t="str">
        <f>HYPERLINK("https://www.albertahealthservices.ca/findhealth/Service.aspx?serviceAtFacilityId=1104459","Designated Supportive Living Level 4 Dementia")</f>
        <v>Designated Supportive Living Level 4 Dementia</v>
      </c>
      <c r="B395" s="1" t="s">
        <v>1401</v>
      </c>
      <c r="C395" s="2" t="s">
        <v>26</v>
      </c>
      <c r="D395" s="2" t="s">
        <v>1399</v>
      </c>
      <c r="E395" s="1"/>
      <c r="F395" s="2" t="s">
        <v>23</v>
      </c>
      <c r="G395" s="2" t="s">
        <v>21</v>
      </c>
      <c r="H395" s="2" t="s">
        <v>1400</v>
      </c>
    </row>
    <row r="396" spans="1:8" ht="375" x14ac:dyDescent="0.25">
      <c r="A396" s="1" t="str">
        <f>HYPERLINK("https://www.albertahealthservices.ca/findhealth/Service.aspx?serviceAtFacilityId=1102330","Mental Health Information, Promotion and Prevention")</f>
        <v>Mental Health Information, Promotion and Prevention</v>
      </c>
      <c r="B396" s="1" t="s">
        <v>1206</v>
      </c>
      <c r="C396" s="2" t="s">
        <v>20</v>
      </c>
      <c r="D396" s="2" t="s">
        <v>1402</v>
      </c>
      <c r="E396" s="2" t="s">
        <v>17</v>
      </c>
      <c r="F396" s="1" t="s">
        <v>34</v>
      </c>
      <c r="G396" s="2" t="s">
        <v>14</v>
      </c>
      <c r="H396" s="2" t="s">
        <v>1403</v>
      </c>
    </row>
    <row r="397" spans="1:8" ht="270" x14ac:dyDescent="0.25">
      <c r="A397" s="1" t="str">
        <f>HYPERLINK("https://www.albertahealthservices.ca/findhealth/Service.aspx?serviceAtFacilityId=1118837","Addiction Services - Prevention")</f>
        <v>Addiction Services - Prevention</v>
      </c>
      <c r="B397" s="1" t="s">
        <v>259</v>
      </c>
      <c r="C397" s="2" t="s">
        <v>493</v>
      </c>
      <c r="D397" s="2" t="s">
        <v>1404</v>
      </c>
      <c r="E397" s="1"/>
      <c r="F397" s="1" t="s">
        <v>34</v>
      </c>
      <c r="G397" s="2" t="s">
        <v>489</v>
      </c>
      <c r="H397" s="2" t="s">
        <v>1405</v>
      </c>
    </row>
    <row r="398" spans="1:8" ht="270" x14ac:dyDescent="0.25">
      <c r="A398" s="1" t="str">
        <f>HYPERLINK("https://www.albertahealthservices.ca/findhealth/Service.aspx?serviceAtFacilityId=1104405","Designated Supportive Living Level 4 Dementia")</f>
        <v>Designated Supportive Living Level 4 Dementia</v>
      </c>
      <c r="B398" s="1" t="s">
        <v>1408</v>
      </c>
      <c r="C398" s="2" t="s">
        <v>26</v>
      </c>
      <c r="D398" s="2" t="s">
        <v>1406</v>
      </c>
      <c r="E398" s="1"/>
      <c r="F398" s="2" t="s">
        <v>23</v>
      </c>
      <c r="G398" s="2" t="s">
        <v>21</v>
      </c>
      <c r="H398" s="2" t="s">
        <v>1407</v>
      </c>
    </row>
    <row r="399" spans="1:8" ht="409.5" x14ac:dyDescent="0.25">
      <c r="A399" s="1" t="str">
        <f>HYPERLINK("https://www.albertahealthservices.ca/findhealth/Service.aspx?serviceAtFacilityId=1119065","School Health Program")</f>
        <v>School Health Program</v>
      </c>
      <c r="B399" s="1" t="s">
        <v>410</v>
      </c>
      <c r="C399" s="2" t="s">
        <v>204</v>
      </c>
      <c r="D399" s="2" t="s">
        <v>1409</v>
      </c>
      <c r="E399" s="1"/>
      <c r="F399" s="2" t="s">
        <v>201</v>
      </c>
      <c r="G399" s="2" t="s">
        <v>199</v>
      </c>
      <c r="H399" s="2" t="s">
        <v>1410</v>
      </c>
    </row>
    <row r="400" spans="1:8" ht="409.5" x14ac:dyDescent="0.25">
      <c r="A400" s="1" t="str">
        <f>HYPERLINK("https://www.albertahealthservices.ca/findhealth/Service.aspx?serviceAtFacilityId=1111170","Therapeutic Recreation Services")</f>
        <v>Therapeutic Recreation Services</v>
      </c>
      <c r="B400" s="1" t="s">
        <v>330</v>
      </c>
      <c r="C400" s="2" t="s">
        <v>37</v>
      </c>
      <c r="D400" s="2" t="s">
        <v>692</v>
      </c>
      <c r="E400" s="1"/>
      <c r="F400" s="2" t="s">
        <v>517</v>
      </c>
      <c r="G400" s="2" t="s">
        <v>32</v>
      </c>
      <c r="H400" s="2" t="s">
        <v>1411</v>
      </c>
    </row>
    <row r="401" spans="1:8" ht="390" x14ac:dyDescent="0.25">
      <c r="A401" s="1" t="str">
        <f>HYPERLINK("https://www.albertahealthservices.ca/findhealth/Service.aspx?serviceAtFacilityId=1102360","Children's Mental Health Treatment Services")</f>
        <v>Children's Mental Health Treatment Services</v>
      </c>
      <c r="B401" s="1" t="s">
        <v>660</v>
      </c>
      <c r="C401" s="2" t="s">
        <v>84</v>
      </c>
      <c r="D401" s="2" t="s">
        <v>1412</v>
      </c>
      <c r="E401" s="2" t="s">
        <v>82</v>
      </c>
      <c r="F401" s="1" t="s">
        <v>34</v>
      </c>
      <c r="G401" s="2" t="s">
        <v>79</v>
      </c>
      <c r="H401" s="2" t="s">
        <v>1413</v>
      </c>
    </row>
    <row r="402" spans="1:8" ht="240" x14ac:dyDescent="0.25">
      <c r="A402" s="1" t="str">
        <f>HYPERLINK("https://www.albertahealthservices.ca/findhealth/Service.aspx?serviceAtFacilityId=1047737","Spiritual Care")</f>
        <v>Spiritual Care</v>
      </c>
      <c r="B402" s="1" t="s">
        <v>1310</v>
      </c>
      <c r="C402" s="2" t="s">
        <v>613</v>
      </c>
      <c r="D402" s="2" t="s">
        <v>1414</v>
      </c>
      <c r="E402" s="1"/>
      <c r="F402" s="2" t="s">
        <v>1415</v>
      </c>
      <c r="G402" s="2" t="s">
        <v>609</v>
      </c>
      <c r="H402" s="2" t="s">
        <v>1416</v>
      </c>
    </row>
    <row r="403" spans="1:8" ht="375" x14ac:dyDescent="0.25">
      <c r="A403" s="1" t="str">
        <f>HYPERLINK("https://www.albertahealthservices.ca/findhealth/Service.aspx?serviceAtFacilityId=1102335","Mental Health Information, Promotion and Prevention")</f>
        <v>Mental Health Information, Promotion and Prevention</v>
      </c>
      <c r="B403" s="1" t="s">
        <v>660</v>
      </c>
      <c r="C403" s="2" t="s">
        <v>20</v>
      </c>
      <c r="D403" s="2" t="s">
        <v>1417</v>
      </c>
      <c r="E403" s="2" t="s">
        <v>17</v>
      </c>
      <c r="F403" s="1" t="s">
        <v>34</v>
      </c>
      <c r="G403" s="2" t="s">
        <v>14</v>
      </c>
      <c r="H403" s="2" t="s">
        <v>1418</v>
      </c>
    </row>
    <row r="404" spans="1:8" ht="180" x14ac:dyDescent="0.25">
      <c r="A404" s="1" t="str">
        <f>HYPERLINK("https://www.albertahealthservices.ca/findhealth/Service.aspx?serviceAtFacilityId=1063952","Domestic Violence Offender Treatment Program")</f>
        <v>Domestic Violence Offender Treatment Program</v>
      </c>
      <c r="B404" s="1" t="s">
        <v>1422</v>
      </c>
      <c r="C404" s="2" t="s">
        <v>1423</v>
      </c>
      <c r="D404" s="2" t="s">
        <v>1420</v>
      </c>
      <c r="E404" s="1"/>
      <c r="F404" s="2" t="s">
        <v>1421</v>
      </c>
      <c r="G404" s="2" t="s">
        <v>1419</v>
      </c>
      <c r="H404" s="1" t="s">
        <v>270</v>
      </c>
    </row>
    <row r="405" spans="1:8" ht="135" x14ac:dyDescent="0.25">
      <c r="A405" s="1" t="str">
        <f>HYPERLINK("https://www.albertahealthservices.ca/findhealth/Service.aspx?serviceAtFacilityId=1089278","Psychiatric Emergency Team Rural")</f>
        <v>Psychiatric Emergency Team Rural</v>
      </c>
      <c r="B405" s="1" t="s">
        <v>363</v>
      </c>
      <c r="C405" s="2" t="s">
        <v>756</v>
      </c>
      <c r="D405" s="2" t="s">
        <v>361</v>
      </c>
      <c r="E405" s="1"/>
      <c r="F405" s="2" t="s">
        <v>753</v>
      </c>
      <c r="G405" s="2" t="s">
        <v>751</v>
      </c>
      <c r="H405" s="2" t="s">
        <v>1424</v>
      </c>
    </row>
    <row r="406" spans="1:8" ht="90" x14ac:dyDescent="0.25">
      <c r="A406" s="1" t="str">
        <f>HYPERLINK("https://www.albertahealthservices.ca/findhealth/Service.aspx?serviceAtFacilityId=1005775","Addiction and Mental Health - Emergency Services, Adult")</f>
        <v>Addiction and Mental Health - Emergency Services, Adult</v>
      </c>
      <c r="B406" s="1" t="s">
        <v>177</v>
      </c>
      <c r="C406" s="2" t="s">
        <v>1391</v>
      </c>
      <c r="D406" s="2" t="s">
        <v>174</v>
      </c>
      <c r="E406" s="1"/>
      <c r="F406" s="2" t="s">
        <v>23</v>
      </c>
      <c r="G406" s="2" t="s">
        <v>1389</v>
      </c>
      <c r="H406" s="1" t="s">
        <v>401</v>
      </c>
    </row>
    <row r="407" spans="1:8" ht="75" x14ac:dyDescent="0.25">
      <c r="A407" s="1" t="str">
        <f>HYPERLINK("https://www.albertahealthservices.ca/findhealth/Service.aspx?serviceAtFacilityId=1040519","Short Stay Assessment Unit")</f>
        <v>Short Stay Assessment Unit</v>
      </c>
      <c r="B407" s="1" t="s">
        <v>657</v>
      </c>
      <c r="C407" s="2" t="s">
        <v>1427</v>
      </c>
      <c r="D407" s="2" t="s">
        <v>1426</v>
      </c>
      <c r="E407" s="1"/>
      <c r="F407" s="1" t="s">
        <v>34</v>
      </c>
      <c r="G407" s="2" t="s">
        <v>1425</v>
      </c>
      <c r="H407" s="1"/>
    </row>
    <row r="408" spans="1:8" ht="270" x14ac:dyDescent="0.25">
      <c r="A408" s="1" t="str">
        <f>HYPERLINK("https://www.albertahealthservices.ca/findhealth/Service.aspx?serviceAtFacilityId=1111308","Addiction Services - Prevention")</f>
        <v>Addiction Services - Prevention</v>
      </c>
      <c r="B408" s="1" t="s">
        <v>330</v>
      </c>
      <c r="C408" s="2" t="s">
        <v>782</v>
      </c>
      <c r="D408" s="2" t="s">
        <v>327</v>
      </c>
      <c r="E408" s="1"/>
      <c r="F408" s="2" t="s">
        <v>220</v>
      </c>
      <c r="G408" s="2" t="s">
        <v>778</v>
      </c>
      <c r="H408" s="2" t="s">
        <v>1428</v>
      </c>
    </row>
    <row r="409" spans="1:8" ht="165" x14ac:dyDescent="0.25">
      <c r="A409" s="1" t="str">
        <f>HYPERLINK("https://www.albertahealthservices.ca/findhealth/Service.aspx?serviceAtFacilityId=1113710","Adult Gender Clinic")</f>
        <v>Adult Gender Clinic</v>
      </c>
      <c r="B409" s="1" t="s">
        <v>197</v>
      </c>
      <c r="C409" s="2" t="s">
        <v>1430</v>
      </c>
      <c r="D409" s="2" t="s">
        <v>237</v>
      </c>
      <c r="E409" s="1"/>
      <c r="F409" s="2" t="s">
        <v>465</v>
      </c>
      <c r="G409" s="2" t="s">
        <v>1429</v>
      </c>
      <c r="H409" s="1"/>
    </row>
    <row r="410" spans="1:8" ht="409.5" x14ac:dyDescent="0.25">
      <c r="A410" s="1" t="str">
        <f>HYPERLINK("https://www.albertahealthservices.ca/findhealth/Service.aspx?serviceAtFacilityId=1039804","Mental Health Services")</f>
        <v>Mental Health Services</v>
      </c>
      <c r="B410" s="1" t="s">
        <v>77</v>
      </c>
      <c r="C410" s="2" t="s">
        <v>98</v>
      </c>
      <c r="D410" s="2" t="s">
        <v>1431</v>
      </c>
      <c r="E410" s="1"/>
      <c r="F410" s="2" t="s">
        <v>1432</v>
      </c>
      <c r="G410" s="2" t="s">
        <v>94</v>
      </c>
      <c r="H410" s="2" t="s">
        <v>1433</v>
      </c>
    </row>
    <row r="411" spans="1:8" ht="180" x14ac:dyDescent="0.25">
      <c r="A411" s="1" t="str">
        <f>HYPERLINK("https://www.albertahealthservices.ca/findhealth/Service.aspx?serviceAtFacilityId=1032827","Emergency Services - Child and Adolescent Mental Health")</f>
        <v>Emergency Services - Child and Adolescent Mental Health</v>
      </c>
      <c r="B411" s="1" t="s">
        <v>456</v>
      </c>
      <c r="C411" s="2" t="s">
        <v>198</v>
      </c>
      <c r="D411" s="2" t="s">
        <v>1434</v>
      </c>
      <c r="E411" s="1"/>
      <c r="F411" s="2" t="s">
        <v>1435</v>
      </c>
      <c r="G411" s="2" t="s">
        <v>193</v>
      </c>
      <c r="H411" s="2" t="s">
        <v>1436</v>
      </c>
    </row>
    <row r="412" spans="1:8" ht="409.5" x14ac:dyDescent="0.25">
      <c r="A412" s="1" t="str">
        <f>HYPERLINK("https://www.albertahealthservices.ca/findhealth/Service.aspx?serviceAtFacilityId=1043803","Continuing Care Counselling")</f>
        <v>Continuing Care Counselling</v>
      </c>
      <c r="B412" s="1" t="s">
        <v>1439</v>
      </c>
      <c r="C412" s="2" t="s">
        <v>163</v>
      </c>
      <c r="D412" s="2" t="s">
        <v>1437</v>
      </c>
      <c r="E412" s="1"/>
      <c r="F412" s="2" t="s">
        <v>261</v>
      </c>
      <c r="G412" s="2" t="s">
        <v>158</v>
      </c>
      <c r="H412" s="2" t="s">
        <v>1438</v>
      </c>
    </row>
    <row r="413" spans="1:8" ht="409.5" x14ac:dyDescent="0.25">
      <c r="A413" s="1" t="str">
        <f>HYPERLINK("https://www.albertahealthservices.ca/findhealth/Service.aspx?serviceAtFacilityId=1044054","Continuing Care Counselling")</f>
        <v>Continuing Care Counselling</v>
      </c>
      <c r="B413" s="1" t="s">
        <v>132</v>
      </c>
      <c r="C413" s="2" t="s">
        <v>163</v>
      </c>
      <c r="D413" s="2" t="s">
        <v>1440</v>
      </c>
      <c r="E413" s="1"/>
      <c r="F413" s="2" t="s">
        <v>261</v>
      </c>
      <c r="G413" s="2" t="s">
        <v>158</v>
      </c>
      <c r="H413" s="2" t="s">
        <v>1441</v>
      </c>
    </row>
    <row r="414" spans="1:8" ht="409.5" x14ac:dyDescent="0.25">
      <c r="A414" s="1" t="str">
        <f>HYPERLINK("https://www.albertahealthservices.ca/findhealth/Service.aspx?serviceAtFacilityId=1001805","Continuing Care Counselling")</f>
        <v>Continuing Care Counselling</v>
      </c>
      <c r="B414" s="1" t="s">
        <v>1444</v>
      </c>
      <c r="C414" s="2" t="s">
        <v>163</v>
      </c>
      <c r="D414" s="2" t="s">
        <v>1442</v>
      </c>
      <c r="E414" s="1"/>
      <c r="F414" s="2" t="s">
        <v>160</v>
      </c>
      <c r="G414" s="2" t="s">
        <v>158</v>
      </c>
      <c r="H414" s="2" t="s">
        <v>1443</v>
      </c>
    </row>
    <row r="415" spans="1:8" ht="270" x14ac:dyDescent="0.25">
      <c r="A415" s="1" t="str">
        <f>HYPERLINK("https://www.albertahealthservices.ca/findhealth/Service.aspx?serviceAtFacilityId=1107572","School Health Services")</f>
        <v>School Health Services</v>
      </c>
      <c r="B415" s="1" t="s">
        <v>595</v>
      </c>
      <c r="C415" s="2" t="s">
        <v>641</v>
      </c>
      <c r="D415" s="2" t="s">
        <v>1445</v>
      </c>
      <c r="E415" s="1"/>
      <c r="F415" s="2" t="s">
        <v>818</v>
      </c>
      <c r="G415" s="2" t="s">
        <v>636</v>
      </c>
      <c r="H415" s="2" t="s">
        <v>1446</v>
      </c>
    </row>
    <row r="416" spans="1:8" ht="150" x14ac:dyDescent="0.25">
      <c r="A416" s="1" t="str">
        <f>HYPERLINK("https://www.albertahealthservices.ca/findhealth/Service.aspx?serviceAtFacilityId=1107401","Mental Health Capacity Building - Together We're Better")</f>
        <v>Mental Health Capacity Building - Together We're Better</v>
      </c>
      <c r="B416" s="1" t="s">
        <v>1449</v>
      </c>
      <c r="C416" s="2" t="s">
        <v>462</v>
      </c>
      <c r="D416" s="2" t="s">
        <v>1447</v>
      </c>
      <c r="E416" s="1"/>
      <c r="F416" s="2" t="s">
        <v>117</v>
      </c>
      <c r="G416" s="2" t="s">
        <v>458</v>
      </c>
      <c r="H416" s="2" t="s">
        <v>1448</v>
      </c>
    </row>
    <row r="417" spans="1:8" ht="210" x14ac:dyDescent="0.25">
      <c r="A417" s="1" t="str">
        <f>HYPERLINK("https://www.albertahealthservices.ca/findhealth/Service.aspx?serviceAtFacilityId=1118315","Youth Day Program")</f>
        <v>Youth Day Program</v>
      </c>
      <c r="B417" s="1" t="s">
        <v>840</v>
      </c>
      <c r="C417" s="2" t="s">
        <v>1453</v>
      </c>
      <c r="D417" s="2" t="s">
        <v>1451</v>
      </c>
      <c r="E417" s="1"/>
      <c r="F417" s="2" t="s">
        <v>1452</v>
      </c>
      <c r="G417" s="2" t="s">
        <v>1450</v>
      </c>
      <c r="H417" s="1"/>
    </row>
    <row r="418" spans="1:8" ht="409.5" x14ac:dyDescent="0.25">
      <c r="A418" s="1" t="str">
        <f>HYPERLINK("https://www.albertahealthservices.ca/findhealth/Service.aspx?serviceAtFacilityId=1119068","School Health Program")</f>
        <v>School Health Program</v>
      </c>
      <c r="B418" s="1" t="s">
        <v>113</v>
      </c>
      <c r="C418" s="2" t="s">
        <v>204</v>
      </c>
      <c r="D418" s="2" t="s">
        <v>1454</v>
      </c>
      <c r="E418" s="1"/>
      <c r="F418" s="2" t="s">
        <v>201</v>
      </c>
      <c r="G418" s="2" t="s">
        <v>199</v>
      </c>
      <c r="H418" s="2" t="s">
        <v>1455</v>
      </c>
    </row>
    <row r="419" spans="1:8" ht="390" x14ac:dyDescent="0.25">
      <c r="A419" s="1" t="str">
        <f>HYPERLINK("https://www.albertahealthservices.ca/findhealth/Service.aspx?serviceAtFacilityId=1104612","Designated Supportive Living Level 4 Dementia")</f>
        <v>Designated Supportive Living Level 4 Dementia</v>
      </c>
      <c r="B419" s="1" t="s">
        <v>1458</v>
      </c>
      <c r="C419" s="2" t="s">
        <v>31</v>
      </c>
      <c r="D419" s="2" t="s">
        <v>1456</v>
      </c>
      <c r="E419" s="1"/>
      <c r="F419" s="2" t="s">
        <v>23</v>
      </c>
      <c r="G419" s="2" t="s">
        <v>52</v>
      </c>
      <c r="H419" s="2" t="s">
        <v>1457</v>
      </c>
    </row>
    <row r="420" spans="1:8" ht="150" x14ac:dyDescent="0.25">
      <c r="A420" s="1" t="str">
        <f>HYPERLINK("https://www.albertahealthservices.ca/findhealth/Service.aspx?serviceAtFacilityId=1107517","Mental Health Capacity Building - Vermilion Is Being Empowered")</f>
        <v>Mental Health Capacity Building - Vermilion Is Being Empowered</v>
      </c>
      <c r="B420" s="1" t="s">
        <v>1461</v>
      </c>
      <c r="C420" s="2" t="s">
        <v>826</v>
      </c>
      <c r="D420" s="2" t="s">
        <v>1459</v>
      </c>
      <c r="E420" s="1"/>
      <c r="F420" s="1" t="s">
        <v>34</v>
      </c>
      <c r="G420" s="2" t="s">
        <v>821</v>
      </c>
      <c r="H420" s="2" t="s">
        <v>1460</v>
      </c>
    </row>
    <row r="421" spans="1:8" ht="240" x14ac:dyDescent="0.25">
      <c r="A421" s="1" t="str">
        <f>HYPERLINK("https://www.albertahealthservices.ca/findhealth/Service.aspx?serviceAtFacilityId=1047742","Spiritual Care")</f>
        <v>Spiritual Care</v>
      </c>
      <c r="B421" s="1" t="s">
        <v>57</v>
      </c>
      <c r="C421" s="2" t="s">
        <v>613</v>
      </c>
      <c r="D421" s="2" t="s">
        <v>1462</v>
      </c>
      <c r="E421" s="1"/>
      <c r="F421" s="2" t="s">
        <v>201</v>
      </c>
      <c r="G421" s="2" t="s">
        <v>609</v>
      </c>
      <c r="H421" s="2" t="s">
        <v>1463</v>
      </c>
    </row>
    <row r="422" spans="1:8" ht="195" x14ac:dyDescent="0.25">
      <c r="A422" s="1" t="str">
        <f>HYPERLINK("https://www.albertahealthservices.ca/findhealth/Service.aspx?serviceAtFacilityId=1923","Consultation Liaison Service - Mental Health")</f>
        <v>Consultation Liaison Service - Mental Health</v>
      </c>
      <c r="B422" s="1" t="s">
        <v>378</v>
      </c>
      <c r="C422" s="2" t="s">
        <v>623</v>
      </c>
      <c r="D422" s="2" t="s">
        <v>1464</v>
      </c>
      <c r="E422" s="1"/>
      <c r="F422" s="2" t="s">
        <v>1465</v>
      </c>
      <c r="G422" s="2" t="s">
        <v>620</v>
      </c>
      <c r="H422" s="2" t="s">
        <v>377</v>
      </c>
    </row>
    <row r="423" spans="1:8" ht="409.5" x14ac:dyDescent="0.25">
      <c r="A423" s="1" t="str">
        <f>HYPERLINK("https://www.albertahealthservices.ca/findhealth/Service.aspx?serviceAtFacilityId=1102299","Adult Mental Health Treatment Services")</f>
        <v>Adult Mental Health Treatment Services</v>
      </c>
      <c r="B423" s="1" t="s">
        <v>203</v>
      </c>
      <c r="C423" s="2" t="s">
        <v>125</v>
      </c>
      <c r="D423" s="2" t="s">
        <v>1466</v>
      </c>
      <c r="E423" s="1"/>
      <c r="F423" s="1" t="s">
        <v>34</v>
      </c>
      <c r="G423" s="2" t="s">
        <v>121</v>
      </c>
      <c r="H423" s="2" t="s">
        <v>1467</v>
      </c>
    </row>
    <row r="424" spans="1:8" ht="409.5" x14ac:dyDescent="0.25">
      <c r="A424" s="1" t="str">
        <f>HYPERLINK("https://www.albertahealthservices.ca/findhealth/Service.aspx?serviceAtFacilityId=1010738","Eating Disorder Services")</f>
        <v>Eating Disorder Services</v>
      </c>
      <c r="B424" s="1" t="s">
        <v>19</v>
      </c>
      <c r="C424" s="2" t="s">
        <v>212</v>
      </c>
      <c r="D424" s="2" t="s">
        <v>1468</v>
      </c>
      <c r="E424" s="1"/>
      <c r="F424" s="1" t="s">
        <v>34</v>
      </c>
      <c r="G424" s="2" t="s">
        <v>209</v>
      </c>
      <c r="H424" s="2" t="s">
        <v>1469</v>
      </c>
    </row>
    <row r="425" spans="1:8" ht="409.5" x14ac:dyDescent="0.25">
      <c r="A425" s="1" t="str">
        <f>HYPERLINK("https://www.albertahealthservices.ca/findhealth/Service.aspx?serviceAtFacilityId=1079533","Mental Health Services")</f>
        <v>Mental Health Services</v>
      </c>
      <c r="B425" s="1" t="s">
        <v>410</v>
      </c>
      <c r="C425" s="2" t="s">
        <v>98</v>
      </c>
      <c r="D425" s="2" t="s">
        <v>1470</v>
      </c>
      <c r="E425" s="1"/>
      <c r="F425" s="2" t="s">
        <v>716</v>
      </c>
      <c r="G425" s="2" t="s">
        <v>94</v>
      </c>
      <c r="H425" s="2" t="s">
        <v>1471</v>
      </c>
    </row>
    <row r="426" spans="1:8" ht="409.5" x14ac:dyDescent="0.25">
      <c r="A426" s="1" t="str">
        <f>HYPERLINK("https://www.albertahealthservices.ca/findhealth/Service.aspx?serviceAtFacilityId=1108519","Provincial Family Violence Treatment Program")</f>
        <v>Provincial Family Violence Treatment Program</v>
      </c>
      <c r="B426" s="1" t="s">
        <v>1474</v>
      </c>
      <c r="C426" s="2" t="s">
        <v>232</v>
      </c>
      <c r="D426" s="2" t="s">
        <v>1472</v>
      </c>
      <c r="E426" s="1"/>
      <c r="F426" s="1" t="s">
        <v>34</v>
      </c>
      <c r="G426" s="2" t="s">
        <v>227</v>
      </c>
      <c r="H426" s="2" t="s">
        <v>1473</v>
      </c>
    </row>
    <row r="427" spans="1:8" ht="409.5" x14ac:dyDescent="0.25">
      <c r="A427" s="1" t="str">
        <f>HYPERLINK("https://www.albertahealthservices.ca/findhealth/Service.aspx?serviceAtFacilityId=1004781","Mental Health Services")</f>
        <v>Mental Health Services</v>
      </c>
      <c r="B427" s="1" t="s">
        <v>19</v>
      </c>
      <c r="C427" s="2" t="s">
        <v>98</v>
      </c>
      <c r="D427" s="2" t="s">
        <v>15</v>
      </c>
      <c r="E427" s="1"/>
      <c r="F427" s="2" t="s">
        <v>1475</v>
      </c>
      <c r="G427" s="2" t="s">
        <v>94</v>
      </c>
      <c r="H427" s="2" t="s">
        <v>1476</v>
      </c>
    </row>
    <row r="428" spans="1:8" ht="405" x14ac:dyDescent="0.25">
      <c r="A428" s="1" t="str">
        <f>HYPERLINK("https://www.albertahealthservices.ca/findhealth/Service.aspx?serviceAtFacilityId=1105587","Community Addiction &amp; Mental Health - Adult &amp; Youth Services")</f>
        <v>Community Addiction &amp; Mental Health - Adult &amp; Youth Services</v>
      </c>
      <c r="B428" s="1" t="s">
        <v>1094</v>
      </c>
      <c r="C428" s="2" t="s">
        <v>133</v>
      </c>
      <c r="D428" s="2" t="s">
        <v>1477</v>
      </c>
      <c r="E428" s="1"/>
      <c r="F428" s="2" t="s">
        <v>1478</v>
      </c>
      <c r="G428" s="2" t="s">
        <v>129</v>
      </c>
      <c r="H428" s="2" t="s">
        <v>1479</v>
      </c>
    </row>
    <row r="429" spans="1:8" ht="345" x14ac:dyDescent="0.25">
      <c r="A429" s="1" t="str">
        <f>HYPERLINK("https://www.albertahealthservices.ca/findhealth/Service.aspx?serviceAtFacilityId=1018921","Sexual and Reproductive Health - Clinical Services")</f>
        <v>Sexual and Reproductive Health - Clinical Services</v>
      </c>
      <c r="B429" s="1" t="s">
        <v>50</v>
      </c>
      <c r="C429" s="2" t="s">
        <v>905</v>
      </c>
      <c r="D429" s="2" t="s">
        <v>1480</v>
      </c>
      <c r="E429" s="2" t="s">
        <v>903</v>
      </c>
      <c r="F429" s="2" t="s">
        <v>1481</v>
      </c>
      <c r="G429" s="2" t="s">
        <v>900</v>
      </c>
      <c r="H429" s="2" t="s">
        <v>1482</v>
      </c>
    </row>
    <row r="430" spans="1:8" ht="390" x14ac:dyDescent="0.25">
      <c r="A430" s="1" t="str">
        <f>HYPERLINK("https://www.albertahealthservices.ca/findhealth/Service.aspx?serviceAtFacilityId=1104573","Designated Supportive Living Level 4 Dementia")</f>
        <v>Designated Supportive Living Level 4 Dementia</v>
      </c>
      <c r="B430" s="1" t="s">
        <v>1485</v>
      </c>
      <c r="C430" s="2" t="s">
        <v>31</v>
      </c>
      <c r="D430" s="2" t="s">
        <v>1483</v>
      </c>
      <c r="E430" s="1"/>
      <c r="F430" s="2" t="s">
        <v>23</v>
      </c>
      <c r="G430" s="2" t="s">
        <v>52</v>
      </c>
      <c r="H430" s="2" t="s">
        <v>1484</v>
      </c>
    </row>
    <row r="431" spans="1:8" ht="409.5" x14ac:dyDescent="0.25">
      <c r="A431" s="1" t="str">
        <f>HYPERLINK("https://www.albertahealthservices.ca/findhealth/Service.aspx?serviceAtFacilityId=1082324","Mental Health Services")</f>
        <v>Mental Health Services</v>
      </c>
      <c r="B431" s="1" t="s">
        <v>1101</v>
      </c>
      <c r="C431" s="2" t="s">
        <v>98</v>
      </c>
      <c r="D431" s="2" t="s">
        <v>1486</v>
      </c>
      <c r="E431" s="1"/>
      <c r="F431" s="2" t="s">
        <v>1487</v>
      </c>
      <c r="G431" s="2" t="s">
        <v>94</v>
      </c>
      <c r="H431" s="2" t="s">
        <v>1488</v>
      </c>
    </row>
    <row r="432" spans="1:8" ht="210" x14ac:dyDescent="0.25">
      <c r="A432" s="1" t="str">
        <f>HYPERLINK("https://www.albertahealthservices.ca/findhealth/Service.aspx?serviceAtFacilityId=1099650","Mental Health Urgent Care")</f>
        <v>Mental Health Urgent Care</v>
      </c>
      <c r="B432" s="1" t="s">
        <v>252</v>
      </c>
      <c r="C432" s="2" t="s">
        <v>360</v>
      </c>
      <c r="D432" s="2" t="s">
        <v>1489</v>
      </c>
      <c r="E432" s="1"/>
      <c r="F432" s="2" t="s">
        <v>1490</v>
      </c>
      <c r="G432" s="2" t="s">
        <v>356</v>
      </c>
      <c r="H432" s="2" t="s">
        <v>1491</v>
      </c>
    </row>
    <row r="433" spans="1:8" ht="135" x14ac:dyDescent="0.25">
      <c r="A433" s="1" t="str">
        <f>HYPERLINK("https://www.albertahealthservices.ca/findhealth/Service.aspx?serviceAtFacilityId=1090160","Addiction and Mental Health - Mobile Addiction Services, Adolescent")</f>
        <v>Addiction and Mental Health - Mobile Addiction Services, Adolescent</v>
      </c>
      <c r="B433" s="1" t="s">
        <v>1364</v>
      </c>
      <c r="C433" s="2" t="s">
        <v>1497</v>
      </c>
      <c r="D433" s="2" t="s">
        <v>1493</v>
      </c>
      <c r="E433" s="2" t="s">
        <v>1495</v>
      </c>
      <c r="F433" s="2" t="s">
        <v>1494</v>
      </c>
      <c r="G433" s="2" t="s">
        <v>1492</v>
      </c>
      <c r="H433" s="1" t="s">
        <v>1496</v>
      </c>
    </row>
    <row r="434" spans="1:8" ht="240" x14ac:dyDescent="0.25">
      <c r="A434" s="1" t="str">
        <f>HYPERLINK("https://www.albertahealthservices.ca/findhealth/Service.aspx?serviceAtFacilityId=1047766","Spiritual Care")</f>
        <v>Spiritual Care</v>
      </c>
      <c r="B434" s="1" t="s">
        <v>1501</v>
      </c>
      <c r="C434" s="2" t="s">
        <v>613</v>
      </c>
      <c r="D434" s="2" t="s">
        <v>1498</v>
      </c>
      <c r="E434" s="1"/>
      <c r="F434" s="2" t="s">
        <v>1499</v>
      </c>
      <c r="G434" s="2" t="s">
        <v>609</v>
      </c>
      <c r="H434" s="2" t="s">
        <v>1500</v>
      </c>
    </row>
    <row r="435" spans="1:8" ht="315" x14ac:dyDescent="0.25">
      <c r="A435" s="1" t="str">
        <f>HYPERLINK("https://www.albertahealthservices.ca/findhealth/Service.aspx?serviceAtFacilityId=1006531","Postpartum Depression Support")</f>
        <v>Postpartum Depression Support</v>
      </c>
      <c r="B435" s="1" t="s">
        <v>1504</v>
      </c>
      <c r="C435" s="2" t="s">
        <v>114</v>
      </c>
      <c r="D435" s="2" t="s">
        <v>1502</v>
      </c>
      <c r="E435" s="1"/>
      <c r="F435" s="1" t="s">
        <v>34</v>
      </c>
      <c r="G435" s="1"/>
      <c r="H435" s="2" t="s">
        <v>1503</v>
      </c>
    </row>
    <row r="436" spans="1:8" ht="75" x14ac:dyDescent="0.25">
      <c r="A436" s="1" t="str">
        <f>HYPERLINK("https://www.albertahealthservices.ca/findhealth/Service.aspx?serviceAtFacilityId=1111141","Addiction and Mental Health - Acute Inpatient Services, Adult")</f>
        <v>Addiction and Mental Health - Acute Inpatient Services, Adult</v>
      </c>
      <c r="B436" s="1" t="s">
        <v>57</v>
      </c>
      <c r="C436" s="2" t="s">
        <v>1311</v>
      </c>
      <c r="D436" s="2" t="s">
        <v>1505</v>
      </c>
      <c r="E436" s="1"/>
      <c r="F436" s="2" t="s">
        <v>23</v>
      </c>
      <c r="G436" s="2" t="s">
        <v>1307</v>
      </c>
      <c r="H436" s="2" t="s">
        <v>1506</v>
      </c>
    </row>
    <row r="437" spans="1:8" ht="225" x14ac:dyDescent="0.25">
      <c r="A437" s="1" t="str">
        <f>HYPERLINK("https://www.albertahealthservices.ca/findhealth/Service.aspx?serviceAtFacilityId=1111333","Addiction and Mental Health - Suburban Community Assessment and Treatment Services, Adult")</f>
        <v>Addiction and Mental Health - Suburban Community Assessment and Treatment Services, Adult</v>
      </c>
      <c r="B437" s="1" t="s">
        <v>1509</v>
      </c>
      <c r="C437" s="2" t="s">
        <v>145</v>
      </c>
      <c r="D437" s="2" t="s">
        <v>1507</v>
      </c>
      <c r="E437" s="1"/>
      <c r="F437" s="2" t="s">
        <v>142</v>
      </c>
      <c r="G437" s="2" t="s">
        <v>140</v>
      </c>
      <c r="H437" s="2" t="s">
        <v>1508</v>
      </c>
    </row>
    <row r="438" spans="1:8" ht="315" x14ac:dyDescent="0.25">
      <c r="A438" s="1" t="str">
        <f>HYPERLINK("https://www.albertahealthservices.ca/findhealth/Service.aspx?serviceAtFacilityId=1097012","Postpartum Depression Support")</f>
        <v>Postpartum Depression Support</v>
      </c>
      <c r="B438" s="1" t="s">
        <v>660</v>
      </c>
      <c r="C438" s="2" t="s">
        <v>114</v>
      </c>
      <c r="D438" s="2" t="s">
        <v>1510</v>
      </c>
      <c r="E438" s="1"/>
      <c r="F438" s="2" t="s">
        <v>311</v>
      </c>
      <c r="G438" s="1"/>
      <c r="H438" s="2" t="s">
        <v>1511</v>
      </c>
    </row>
    <row r="439" spans="1:8" ht="409.5" x14ac:dyDescent="0.25">
      <c r="A439" s="1" t="str">
        <f>HYPERLINK("https://www.albertahealthservices.ca/findhealth/Service.aspx?serviceAtFacilityId=1090107","Continuing Care Counselling")</f>
        <v>Continuing Care Counselling</v>
      </c>
      <c r="B439" s="1" t="s">
        <v>1514</v>
      </c>
      <c r="C439" s="2" t="s">
        <v>163</v>
      </c>
      <c r="D439" s="2" t="s">
        <v>1512</v>
      </c>
      <c r="E439" s="1"/>
      <c r="F439" s="2" t="s">
        <v>261</v>
      </c>
      <c r="G439" s="2" t="s">
        <v>158</v>
      </c>
      <c r="H439" s="2" t="s">
        <v>1513</v>
      </c>
    </row>
    <row r="440" spans="1:8" ht="165" x14ac:dyDescent="0.25">
      <c r="A440" s="1" t="str">
        <f>HYPERLINK("https://www.albertahealthservices.ca/findhealth/Service.aspx?serviceAtFacilityId=1104109","Adolescent Group Program")</f>
        <v>Adolescent Group Program</v>
      </c>
      <c r="B440" s="1" t="s">
        <v>1310</v>
      </c>
      <c r="C440" s="2" t="s">
        <v>1518</v>
      </c>
      <c r="D440" s="2" t="s">
        <v>1516</v>
      </c>
      <c r="E440" s="1"/>
      <c r="F440" s="2" t="s">
        <v>1517</v>
      </c>
      <c r="G440" s="2" t="s">
        <v>1515</v>
      </c>
      <c r="H440" s="1"/>
    </row>
    <row r="441" spans="1:8" ht="105" x14ac:dyDescent="0.25">
      <c r="A441" s="1" t="str">
        <f>HYPERLINK("https://www.albertahealthservices.ca/findhealth/Service.aspx?serviceAtFacilityId=1112307","Mental Health Capacity Building - Community Attachment Purpose")</f>
        <v>Mental Health Capacity Building - Community Attachment Purpose</v>
      </c>
      <c r="B441" s="1" t="s">
        <v>1521</v>
      </c>
      <c r="C441" s="2" t="s">
        <v>1522</v>
      </c>
      <c r="D441" s="2" t="s">
        <v>1520</v>
      </c>
      <c r="E441" s="1"/>
      <c r="F441" s="2" t="s">
        <v>201</v>
      </c>
      <c r="G441" s="2" t="s">
        <v>1519</v>
      </c>
      <c r="H441" s="1"/>
    </row>
    <row r="442" spans="1:8" ht="405" x14ac:dyDescent="0.25">
      <c r="A442" s="1" t="str">
        <f>HYPERLINK("https://www.albertahealthservices.ca/findhealth/Service.aspx?serviceAtFacilityId=1119243","Community Addiction &amp; Mental Health - Adult &amp; Youth Services")</f>
        <v>Community Addiction &amp; Mental Health - Adult &amp; Youth Services</v>
      </c>
      <c r="B442" s="1" t="s">
        <v>1526</v>
      </c>
      <c r="C442" s="2" t="s">
        <v>133</v>
      </c>
      <c r="D442" s="2" t="s">
        <v>1523</v>
      </c>
      <c r="E442" s="1"/>
      <c r="F442" s="2" t="s">
        <v>1524</v>
      </c>
      <c r="G442" s="2" t="s">
        <v>129</v>
      </c>
      <c r="H442" s="2" t="s">
        <v>1525</v>
      </c>
    </row>
    <row r="443" spans="1:8" ht="210" x14ac:dyDescent="0.25">
      <c r="A443" s="1" t="str">
        <f>HYPERLINK("https://www.albertahealthservices.ca/findhealth/Service.aspx?serviceAtFacilityId=1072808","Spiritual Care Services")</f>
        <v>Spiritual Care Services</v>
      </c>
      <c r="B443" s="1" t="s">
        <v>103</v>
      </c>
      <c r="C443" s="2" t="s">
        <v>971</v>
      </c>
      <c r="D443" s="2" t="s">
        <v>1527</v>
      </c>
      <c r="E443" s="1"/>
      <c r="F443" s="2" t="s">
        <v>1528</v>
      </c>
      <c r="G443" s="2" t="s">
        <v>968</v>
      </c>
      <c r="H443" s="2" t="s">
        <v>1529</v>
      </c>
    </row>
    <row r="444" spans="1:8" ht="405" x14ac:dyDescent="0.25">
      <c r="A444" s="1" t="str">
        <f>HYPERLINK("https://www.albertahealthservices.ca/findhealth/Service.aspx?serviceAtFacilityId=1000787","Community Addiction &amp; Mental Health - Adult &amp; Youth Services")</f>
        <v>Community Addiction &amp; Mental Health - Adult &amp; Youth Services</v>
      </c>
      <c r="B444" s="1" t="s">
        <v>336</v>
      </c>
      <c r="C444" s="2" t="s">
        <v>133</v>
      </c>
      <c r="D444" s="2" t="s">
        <v>1530</v>
      </c>
      <c r="E444" s="1"/>
      <c r="F444" s="2" t="s">
        <v>1531</v>
      </c>
      <c r="G444" s="2" t="s">
        <v>129</v>
      </c>
      <c r="H444" s="2" t="s">
        <v>1532</v>
      </c>
    </row>
    <row r="445" spans="1:8" ht="150" x14ac:dyDescent="0.25">
      <c r="A445" s="1" t="str">
        <f>HYPERLINK("https://www.albertahealthservices.ca/findhealth/Service.aspx?serviceAtFacilityId=1107655","Mental Health Capacity Building - Wainwright On Wellness")</f>
        <v>Mental Health Capacity Building - Wainwright On Wellness</v>
      </c>
      <c r="B445" s="1" t="s">
        <v>1535</v>
      </c>
      <c r="C445" s="2" t="s">
        <v>13</v>
      </c>
      <c r="D445" s="2" t="s">
        <v>1533</v>
      </c>
      <c r="E445" s="1"/>
      <c r="F445" s="2" t="s">
        <v>10</v>
      </c>
      <c r="G445" s="2" t="s">
        <v>8</v>
      </c>
      <c r="H445" s="2" t="s">
        <v>1534</v>
      </c>
    </row>
    <row r="446" spans="1:8" ht="195" x14ac:dyDescent="0.25">
      <c r="A446" s="1" t="str">
        <f>HYPERLINK("https://www.albertahealthservices.ca/findhealth/Service.aspx?serviceAtFacilityId=1105429","Mental Health Intake")</f>
        <v>Mental Health Intake</v>
      </c>
      <c r="B446" s="1" t="s">
        <v>1538</v>
      </c>
      <c r="C446" s="2" t="s">
        <v>856</v>
      </c>
      <c r="D446" s="2" t="s">
        <v>1536</v>
      </c>
      <c r="E446" s="1"/>
      <c r="F446" s="2" t="s">
        <v>220</v>
      </c>
      <c r="G446" s="2" t="s">
        <v>852</v>
      </c>
      <c r="H446" s="2" t="s">
        <v>1537</v>
      </c>
    </row>
    <row r="447" spans="1:8" ht="315" x14ac:dyDescent="0.25">
      <c r="A447" s="1" t="str">
        <f>HYPERLINK("https://www.albertahealthservices.ca/findhealth/Service.aspx?serviceAtFacilityId=1088156","Postpartum Depression Support")</f>
        <v>Postpartum Depression Support</v>
      </c>
      <c r="B447" s="1" t="s">
        <v>1541</v>
      </c>
      <c r="C447" s="2" t="s">
        <v>114</v>
      </c>
      <c r="D447" s="2" t="s">
        <v>1539</v>
      </c>
      <c r="E447" s="1"/>
      <c r="F447" s="1" t="s">
        <v>34</v>
      </c>
      <c r="G447" s="1"/>
      <c r="H447" s="2" t="s">
        <v>1540</v>
      </c>
    </row>
    <row r="448" spans="1:8" ht="180" x14ac:dyDescent="0.25">
      <c r="A448" s="1" t="str">
        <f>HYPERLINK("https://www.albertahealthservices.ca/findhealth/Service.aspx?serviceAtFacilityId=1046074","Community Addiction and Mental Health Clinics")</f>
        <v>Community Addiction and Mental Health Clinics</v>
      </c>
      <c r="B448" s="1" t="s">
        <v>1020</v>
      </c>
      <c r="C448" s="2" t="s">
        <v>1546</v>
      </c>
      <c r="D448" s="2" t="s">
        <v>1543</v>
      </c>
      <c r="E448" s="1"/>
      <c r="F448" s="2" t="s">
        <v>1544</v>
      </c>
      <c r="G448" s="2" t="s">
        <v>1542</v>
      </c>
      <c r="H448" s="2" t="s">
        <v>1545</v>
      </c>
    </row>
    <row r="449" spans="1:8" ht="105" x14ac:dyDescent="0.25">
      <c r="A449" s="1" t="str">
        <f>HYPERLINK("https://www.albertahealthservices.ca/findhealth/Service.aspx?serviceAtFacilityId=1038812","Mental Health Diversion")</f>
        <v>Mental Health Diversion</v>
      </c>
      <c r="B449" s="1" t="s">
        <v>1550</v>
      </c>
      <c r="C449" s="2" t="s">
        <v>1551</v>
      </c>
      <c r="D449" s="2" t="s">
        <v>1548</v>
      </c>
      <c r="E449" s="2" t="s">
        <v>1549</v>
      </c>
      <c r="F449" s="2" t="s">
        <v>311</v>
      </c>
      <c r="G449" s="2" t="s">
        <v>1547</v>
      </c>
      <c r="H449" s="1"/>
    </row>
    <row r="450" spans="1:8" ht="210" x14ac:dyDescent="0.25">
      <c r="A450" s="1" t="str">
        <f>HYPERLINK("https://www.albertahealthservices.ca/findhealth/Service.aspx?serviceAtFacilityId=1031272","Community Geriatric Mental Health Service")</f>
        <v>Community Geriatric Mental Health Service</v>
      </c>
      <c r="B450" s="1" t="s">
        <v>50</v>
      </c>
      <c r="C450" s="2" t="s">
        <v>375</v>
      </c>
      <c r="D450" s="2" t="s">
        <v>1552</v>
      </c>
      <c r="E450" s="1"/>
      <c r="F450" s="2" t="s">
        <v>190</v>
      </c>
      <c r="G450" s="2" t="s">
        <v>370</v>
      </c>
      <c r="H450" s="2" t="s">
        <v>1553</v>
      </c>
    </row>
    <row r="451" spans="1:8" ht="285" x14ac:dyDescent="0.25">
      <c r="A451" s="1" t="str">
        <f>HYPERLINK("https://www.albertahealthservices.ca/findhealth/Service.aspx?serviceAtFacilityId=1103865","School Health Program")</f>
        <v>School Health Program</v>
      </c>
      <c r="B451" s="1" t="s">
        <v>1557</v>
      </c>
      <c r="C451" s="2" t="s">
        <v>93</v>
      </c>
      <c r="D451" s="2" t="s">
        <v>1554</v>
      </c>
      <c r="E451" s="1"/>
      <c r="F451" s="2" t="s">
        <v>1555</v>
      </c>
      <c r="G451" s="1" t="s">
        <v>89</v>
      </c>
      <c r="H451" s="2" t="s">
        <v>1556</v>
      </c>
    </row>
    <row r="452" spans="1:8" ht="285" x14ac:dyDescent="0.25">
      <c r="A452" s="1" t="str">
        <f>HYPERLINK("https://www.albertahealthservices.ca/findhealth/Service.aspx?serviceAtFacilityId=1051987","School Health Program")</f>
        <v>School Health Program</v>
      </c>
      <c r="B452" s="1" t="s">
        <v>791</v>
      </c>
      <c r="C452" s="2" t="s">
        <v>93</v>
      </c>
      <c r="D452" s="2" t="s">
        <v>1558</v>
      </c>
      <c r="E452" s="1"/>
      <c r="F452" s="2" t="s">
        <v>10</v>
      </c>
      <c r="G452" s="1" t="s">
        <v>89</v>
      </c>
      <c r="H452" s="2" t="s">
        <v>1559</v>
      </c>
    </row>
    <row r="453" spans="1:8" ht="409.5" x14ac:dyDescent="0.25">
      <c r="A453" s="1" t="str">
        <f>HYPERLINK("https://www.albertahealthservices.ca/findhealth/Service.aspx?serviceAtFacilityId=1090387","Eating Disorder Services")</f>
        <v>Eating Disorder Services</v>
      </c>
      <c r="B453" s="1" t="s">
        <v>65</v>
      </c>
      <c r="C453" s="2" t="s">
        <v>212</v>
      </c>
      <c r="D453" s="2" t="s">
        <v>1560</v>
      </c>
      <c r="E453" s="1"/>
      <c r="F453" s="1" t="s">
        <v>34</v>
      </c>
      <c r="G453" s="2" t="s">
        <v>209</v>
      </c>
      <c r="H453" s="2" t="s">
        <v>1561</v>
      </c>
    </row>
    <row r="454" spans="1:8" ht="180" x14ac:dyDescent="0.25">
      <c r="A454" s="1" t="str">
        <f>HYPERLINK("https://www.albertahealthservices.ca/findhealth/Service.aspx?serviceAtFacilityId=1038535","Child and Adolescent Addiction and Mental Health Community Clinics")</f>
        <v>Child and Adolescent Addiction and Mental Health Community Clinics</v>
      </c>
      <c r="B454" s="1" t="s">
        <v>730</v>
      </c>
      <c r="C454" s="2" t="s">
        <v>1566</v>
      </c>
      <c r="D454" s="2" t="s">
        <v>1563</v>
      </c>
      <c r="E454" s="1"/>
      <c r="F454" s="2" t="s">
        <v>1564</v>
      </c>
      <c r="G454" s="2" t="s">
        <v>1562</v>
      </c>
      <c r="H454" s="2" t="s">
        <v>1565</v>
      </c>
    </row>
    <row r="455" spans="1:8" ht="375" x14ac:dyDescent="0.25">
      <c r="A455" s="1" t="str">
        <f>HYPERLINK("https://www.albertahealthservices.ca/findhealth/Service.aspx?serviceAtFacilityId=1102475","Regional Collaborative Service Delivery - School based and school linked mental health teams")</f>
        <v>Regional Collaborative Service Delivery - School based and school linked mental health teams</v>
      </c>
      <c r="B455" s="1" t="s">
        <v>1569</v>
      </c>
      <c r="C455" s="2" t="s">
        <v>688</v>
      </c>
      <c r="D455" s="2" t="s">
        <v>1567</v>
      </c>
      <c r="E455" s="1"/>
      <c r="F455" s="1" t="s">
        <v>34</v>
      </c>
      <c r="G455" s="2" t="s">
        <v>685</v>
      </c>
      <c r="H455" s="2" t="s">
        <v>1568</v>
      </c>
    </row>
    <row r="456" spans="1:8" ht="165" x14ac:dyDescent="0.25">
      <c r="A456" s="1" t="str">
        <f>HYPERLINK("https://www.albertahealthservices.ca/findhealth/Service.aspx?serviceAtFacilityId=1038569","Community Addiction and Mental Health Services - Rural")</f>
        <v>Community Addiction and Mental Health Services - Rural</v>
      </c>
      <c r="B456" s="1" t="s">
        <v>1573</v>
      </c>
      <c r="C456" s="2" t="s">
        <v>72</v>
      </c>
      <c r="D456" s="2" t="s">
        <v>1570</v>
      </c>
      <c r="E456" s="1"/>
      <c r="F456" s="2" t="s">
        <v>1571</v>
      </c>
      <c r="G456" s="2" t="s">
        <v>67</v>
      </c>
      <c r="H456" s="2" t="s">
        <v>1572</v>
      </c>
    </row>
    <row r="457" spans="1:8" ht="105" x14ac:dyDescent="0.25">
      <c r="A457" s="1" t="str">
        <f>HYPERLINK("https://www.albertahealthservices.ca/findhealth/Service.aspx?serviceAtFacilityId=1115305","Addiction and Mental Health - Inner City Services, Adult")</f>
        <v>Addiction and Mental Health - Inner City Services, Adult</v>
      </c>
      <c r="B457" s="1" t="s">
        <v>1578</v>
      </c>
      <c r="C457" s="2" t="s">
        <v>1579</v>
      </c>
      <c r="D457" s="2" t="s">
        <v>1575</v>
      </c>
      <c r="E457" s="2" t="s">
        <v>1576</v>
      </c>
      <c r="F457" s="2" t="s">
        <v>201</v>
      </c>
      <c r="G457" s="2" t="s">
        <v>1574</v>
      </c>
      <c r="H457" s="2" t="s">
        <v>1577</v>
      </c>
    </row>
    <row r="458" spans="1:8" ht="409.5" x14ac:dyDescent="0.25">
      <c r="A458" s="1" t="str">
        <f>HYPERLINK("https://www.albertahealthservices.ca/findhealth/Service.aspx?serviceAtFacilityId=1102298","Adult Mental Health Treatment Services")</f>
        <v>Adult Mental Health Treatment Services</v>
      </c>
      <c r="B458" s="1" t="s">
        <v>484</v>
      </c>
      <c r="C458" s="2" t="s">
        <v>125</v>
      </c>
      <c r="D458" s="2" t="s">
        <v>1580</v>
      </c>
      <c r="E458" s="1"/>
      <c r="F458" s="2" t="s">
        <v>1581</v>
      </c>
      <c r="G458" s="2" t="s">
        <v>121</v>
      </c>
      <c r="H458" s="2" t="s">
        <v>1582</v>
      </c>
    </row>
    <row r="459" spans="1:8" ht="270" x14ac:dyDescent="0.25">
      <c r="A459" s="1" t="str">
        <f>HYPERLINK("https://www.albertahealthservices.ca/findhealth/Service.aspx?serviceAtFacilityId=1104409","Designated Supportive Living Level 4 Dementia")</f>
        <v>Designated Supportive Living Level 4 Dementia</v>
      </c>
      <c r="B459" s="1" t="s">
        <v>1585</v>
      </c>
      <c r="C459" s="2" t="s">
        <v>26</v>
      </c>
      <c r="D459" s="2" t="s">
        <v>1583</v>
      </c>
      <c r="E459" s="1"/>
      <c r="F459" s="2" t="s">
        <v>23</v>
      </c>
      <c r="G459" s="2" t="s">
        <v>21</v>
      </c>
      <c r="H459" s="2" t="s">
        <v>1584</v>
      </c>
    </row>
    <row r="460" spans="1:8" ht="409.5" x14ac:dyDescent="0.25">
      <c r="A460" s="1" t="str">
        <f>HYPERLINK("https://www.albertahealthservices.ca/findhealth/Service.aspx?serviceAtFacilityId=1082326","Mental Health Services")</f>
        <v>Mental Health Services</v>
      </c>
      <c r="B460" s="1" t="s">
        <v>1001</v>
      </c>
      <c r="C460" s="2" t="s">
        <v>98</v>
      </c>
      <c r="D460" s="2" t="s">
        <v>1586</v>
      </c>
      <c r="E460" s="1"/>
      <c r="F460" s="2" t="s">
        <v>392</v>
      </c>
      <c r="G460" s="2" t="s">
        <v>94</v>
      </c>
      <c r="H460" s="2" t="s">
        <v>1587</v>
      </c>
    </row>
    <row r="461" spans="1:8" ht="405" x14ac:dyDescent="0.25">
      <c r="A461" s="1" t="str">
        <f>HYPERLINK("https://www.albertahealthservices.ca/findhealth/Service.aspx?serviceAtFacilityId=1115406","Addiction and Mental Health - Recovery Supports Services, Adult")</f>
        <v>Addiction and Mental Health - Recovery Supports Services, Adult</v>
      </c>
      <c r="B461" s="1" t="s">
        <v>1591</v>
      </c>
      <c r="C461" s="2" t="s">
        <v>666</v>
      </c>
      <c r="D461" s="2" t="s">
        <v>1588</v>
      </c>
      <c r="E461" s="2" t="s">
        <v>663</v>
      </c>
      <c r="F461" s="2" t="s">
        <v>1589</v>
      </c>
      <c r="G461" s="1"/>
      <c r="H461" s="2" t="s">
        <v>1590</v>
      </c>
    </row>
    <row r="462" spans="1:8" ht="409.5" x14ac:dyDescent="0.25">
      <c r="A462" s="1" t="str">
        <f>HYPERLINK("https://www.albertahealthservices.ca/findhealth/Service.aspx?serviceAtFacilityId=1111310","Adult Mental Health Treatment Services")</f>
        <v>Adult Mental Health Treatment Services</v>
      </c>
      <c r="B462" s="1" t="s">
        <v>330</v>
      </c>
      <c r="C462" s="2" t="s">
        <v>125</v>
      </c>
      <c r="D462" s="2" t="s">
        <v>1592</v>
      </c>
      <c r="E462" s="1"/>
      <c r="F462" s="2" t="s">
        <v>1593</v>
      </c>
      <c r="G462" s="2" t="s">
        <v>121</v>
      </c>
      <c r="H462" s="2" t="s">
        <v>1594</v>
      </c>
    </row>
    <row r="463" spans="1:8" ht="270" x14ac:dyDescent="0.25">
      <c r="A463" s="1" t="str">
        <f>HYPERLINK("https://www.albertahealthservices.ca/findhealth/Service.aspx?serviceAtFacilityId=1104403","Designated Supportive Living Level 4 Dementia")</f>
        <v>Designated Supportive Living Level 4 Dementia</v>
      </c>
      <c r="B463" s="1" t="s">
        <v>1597</v>
      </c>
      <c r="C463" s="2" t="s">
        <v>26</v>
      </c>
      <c r="D463" s="2" t="s">
        <v>1595</v>
      </c>
      <c r="E463" s="1"/>
      <c r="F463" s="2" t="s">
        <v>23</v>
      </c>
      <c r="G463" s="2" t="s">
        <v>21</v>
      </c>
      <c r="H463" s="2" t="s">
        <v>1596</v>
      </c>
    </row>
    <row r="464" spans="1:8" ht="390" x14ac:dyDescent="0.25">
      <c r="A464" s="1" t="str">
        <f>HYPERLINK("https://www.albertahealthservices.ca/findhealth/Service.aspx?serviceAtFacilityId=1102357","Children's Mental Health Treatment Services")</f>
        <v>Children's Mental Health Treatment Services</v>
      </c>
      <c r="B464" s="1" t="s">
        <v>188</v>
      </c>
      <c r="C464" s="2" t="s">
        <v>84</v>
      </c>
      <c r="D464" s="2" t="s">
        <v>1598</v>
      </c>
      <c r="E464" s="2" t="s">
        <v>82</v>
      </c>
      <c r="F464" s="1" t="s">
        <v>34</v>
      </c>
      <c r="G464" s="2" t="s">
        <v>79</v>
      </c>
      <c r="H464" s="2" t="s">
        <v>1599</v>
      </c>
    </row>
    <row r="465" spans="1:8" ht="135" x14ac:dyDescent="0.25">
      <c r="A465" s="1" t="str">
        <f>HYPERLINK("https://www.albertahealthservices.ca/findhealth/Service.aspx?serviceAtFacilityId=1081974","Psychosocial and Spiritual Resources")</f>
        <v>Psychosocial and Spiritual Resources</v>
      </c>
      <c r="B465" s="1" t="s">
        <v>1602</v>
      </c>
      <c r="C465" s="2" t="s">
        <v>1603</v>
      </c>
      <c r="D465" s="2" t="s">
        <v>1601</v>
      </c>
      <c r="E465" s="1"/>
      <c r="F465" s="1" t="s">
        <v>34</v>
      </c>
      <c r="G465" s="2" t="s">
        <v>1600</v>
      </c>
      <c r="H465" s="1" t="s">
        <v>595</v>
      </c>
    </row>
    <row r="466" spans="1:8" ht="409.5" x14ac:dyDescent="0.25">
      <c r="A466" s="1" t="str">
        <f>HYPERLINK("https://www.albertahealthservices.ca/findhealth/Service.aspx?serviceAtFacilityId=1090156","Continuing Care Counselling")</f>
        <v>Continuing Care Counselling</v>
      </c>
      <c r="B466" s="1" t="s">
        <v>1606</v>
      </c>
      <c r="C466" s="2" t="s">
        <v>163</v>
      </c>
      <c r="D466" s="2" t="s">
        <v>1604</v>
      </c>
      <c r="E466" s="1"/>
      <c r="F466" s="2" t="s">
        <v>261</v>
      </c>
      <c r="G466" s="2" t="s">
        <v>158</v>
      </c>
      <c r="H466" s="2" t="s">
        <v>1605</v>
      </c>
    </row>
    <row r="467" spans="1:8" ht="105" x14ac:dyDescent="0.25">
      <c r="A467" s="1" t="str">
        <f>HYPERLINK("https://www.albertahealthservices.ca/findhealth/Service.aspx?serviceAtFacilityId=1049807","Addiction and Mental Health - Intake Services, Child and Adolescent")</f>
        <v>Addiction and Mental Health - Intake Services, Child and Adolescent</v>
      </c>
      <c r="B467" s="1" t="s">
        <v>646</v>
      </c>
      <c r="C467" s="2" t="s">
        <v>1609</v>
      </c>
      <c r="D467" s="2" t="s">
        <v>1608</v>
      </c>
      <c r="E467" s="1"/>
      <c r="F467" s="2" t="s">
        <v>220</v>
      </c>
      <c r="G467" s="2" t="s">
        <v>1607</v>
      </c>
      <c r="H467" s="1"/>
    </row>
    <row r="468" spans="1:8" ht="195" x14ac:dyDescent="0.25">
      <c r="A468" s="1" t="str">
        <f>HYPERLINK("https://www.albertahealthservices.ca/findhealth/Service.aspx?serviceAtFacilityId=1105430","Mental Health Intake")</f>
        <v>Mental Health Intake</v>
      </c>
      <c r="B468" s="1" t="s">
        <v>1612</v>
      </c>
      <c r="C468" s="2" t="s">
        <v>856</v>
      </c>
      <c r="D468" s="2" t="s">
        <v>1610</v>
      </c>
      <c r="E468" s="1"/>
      <c r="F468" s="2" t="s">
        <v>220</v>
      </c>
      <c r="G468" s="2" t="s">
        <v>852</v>
      </c>
      <c r="H468" s="2" t="s">
        <v>1611</v>
      </c>
    </row>
    <row r="469" spans="1:8" ht="409.5" x14ac:dyDescent="0.25">
      <c r="A469" s="1" t="str">
        <f>HYPERLINK("https://www.albertahealthservices.ca/findhealth/Service.aspx?serviceAtFacilityId=1047081","Therapeutic Recreation Services")</f>
        <v>Therapeutic Recreation Services</v>
      </c>
      <c r="B469" s="1" t="s">
        <v>1615</v>
      </c>
      <c r="C469" s="2" t="s">
        <v>37</v>
      </c>
      <c r="D469" s="2" t="s">
        <v>1613</v>
      </c>
      <c r="E469" s="1"/>
      <c r="F469" s="1" t="s">
        <v>34</v>
      </c>
      <c r="G469" s="2" t="s">
        <v>32</v>
      </c>
      <c r="H469" s="2" t="s">
        <v>1614</v>
      </c>
    </row>
    <row r="470" spans="1:8" ht="405" x14ac:dyDescent="0.25">
      <c r="A470" s="1" t="str">
        <f>HYPERLINK("https://www.albertahealthservices.ca/findhealth/Service.aspx?serviceAtFacilityId=1111378","Addiction and Mental Health - Recovery Supports Services, Adult")</f>
        <v>Addiction and Mental Health - Recovery Supports Services, Adult</v>
      </c>
      <c r="B470" s="1" t="s">
        <v>221</v>
      </c>
      <c r="C470" s="2" t="s">
        <v>666</v>
      </c>
      <c r="D470" s="2" t="s">
        <v>1616</v>
      </c>
      <c r="E470" s="2" t="s">
        <v>663</v>
      </c>
      <c r="F470" s="1" t="s">
        <v>34</v>
      </c>
      <c r="G470" s="1"/>
      <c r="H470" s="2" t="s">
        <v>1617</v>
      </c>
    </row>
    <row r="471" spans="1:8" ht="120" x14ac:dyDescent="0.25">
      <c r="A471" s="1" t="str">
        <f>HYPERLINK("https://www.albertahealthservices.ca/findhealth/Service.aspx?serviceAtFacilityId=1093778","Addiction Services - Youth Outpatient Counselling")</f>
        <v>Addiction Services - Youth Outpatient Counselling</v>
      </c>
      <c r="B471" s="1" t="s">
        <v>1621</v>
      </c>
      <c r="C471" s="2" t="s">
        <v>499</v>
      </c>
      <c r="D471" s="2" t="s">
        <v>1618</v>
      </c>
      <c r="E471" s="1"/>
      <c r="F471" s="2" t="s">
        <v>1619</v>
      </c>
      <c r="G471" s="2" t="s">
        <v>494</v>
      </c>
      <c r="H471" s="2" t="s">
        <v>1620</v>
      </c>
    </row>
    <row r="472" spans="1:8" ht="409.5" x14ac:dyDescent="0.25">
      <c r="A472" s="1" t="str">
        <f>HYPERLINK("https://www.albertahealthservices.ca/findhealth/Service.aspx?serviceAtFacilityId=1108531","Provincial Family Violence Treatment Program")</f>
        <v>Provincial Family Violence Treatment Program</v>
      </c>
      <c r="B472" s="1" t="s">
        <v>1624</v>
      </c>
      <c r="C472" s="2" t="s">
        <v>232</v>
      </c>
      <c r="D472" s="2" t="s">
        <v>1622</v>
      </c>
      <c r="E472" s="1"/>
      <c r="F472" s="1" t="s">
        <v>34</v>
      </c>
      <c r="G472" s="2" t="s">
        <v>227</v>
      </c>
      <c r="H472" s="2" t="s">
        <v>1623</v>
      </c>
    </row>
    <row r="473" spans="1:8" ht="270" x14ac:dyDescent="0.25">
      <c r="A473" s="1" t="str">
        <f>HYPERLINK("https://www.albertahealthservices.ca/findhealth/Service.aspx?serviceAtFacilityId=1104568","Designated Supportive Living Level 4 Dementia")</f>
        <v>Designated Supportive Living Level 4 Dementia</v>
      </c>
      <c r="B473" s="1" t="s">
        <v>1627</v>
      </c>
      <c r="C473" s="2" t="s">
        <v>31</v>
      </c>
      <c r="D473" s="2" t="s">
        <v>1625</v>
      </c>
      <c r="E473" s="1"/>
      <c r="F473" s="2" t="s">
        <v>23</v>
      </c>
      <c r="G473" s="2" t="s">
        <v>27</v>
      </c>
      <c r="H473" s="2" t="s">
        <v>1626</v>
      </c>
    </row>
    <row r="474" spans="1:8" ht="409.5" x14ac:dyDescent="0.25">
      <c r="A474" s="1" t="str">
        <f>HYPERLINK("https://www.albertahealthservices.ca/findhealth/Service.aspx?serviceAtFacilityId=1076404","Police and Crisis Team")</f>
        <v>Police and Crisis Team</v>
      </c>
      <c r="B474" s="1" t="s">
        <v>1265</v>
      </c>
      <c r="C474" s="2" t="s">
        <v>1631</v>
      </c>
      <c r="D474" s="2" t="s">
        <v>1629</v>
      </c>
      <c r="E474" s="2" t="s">
        <v>1630</v>
      </c>
      <c r="F474" s="1" t="s">
        <v>34</v>
      </c>
      <c r="G474" s="2" t="s">
        <v>1628</v>
      </c>
      <c r="H474" s="1"/>
    </row>
    <row r="475" spans="1:8" ht="375" x14ac:dyDescent="0.25">
      <c r="A475" s="1" t="str">
        <f>HYPERLINK("https://www.albertahealthservices.ca/findhealth/Service.aspx?serviceAtFacilityId=1115418","Community Helpers Program")</f>
        <v>Community Helpers Program</v>
      </c>
      <c r="B475" s="1" t="s">
        <v>1634</v>
      </c>
      <c r="C475" s="2" t="s">
        <v>120</v>
      </c>
      <c r="D475" s="2" t="s">
        <v>1632</v>
      </c>
      <c r="E475" s="1"/>
      <c r="F475" s="2" t="s">
        <v>117</v>
      </c>
      <c r="G475" s="2" t="s">
        <v>115</v>
      </c>
      <c r="H475" s="2" t="s">
        <v>1633</v>
      </c>
    </row>
    <row r="476" spans="1:8" ht="195" x14ac:dyDescent="0.25">
      <c r="A476" s="1" t="str">
        <f>HYPERLINK("https://www.albertahealthservices.ca/findhealth/Service.aspx?serviceAtFacilityId=1116135","Calgary Heart and Minds Clinic")</f>
        <v>Calgary Heart and Minds Clinic</v>
      </c>
      <c r="B476" s="1" t="s">
        <v>108</v>
      </c>
      <c r="C476" s="2" t="s">
        <v>1638</v>
      </c>
      <c r="D476" s="2" t="s">
        <v>1636</v>
      </c>
      <c r="E476" s="1"/>
      <c r="F476" s="2" t="s">
        <v>1637</v>
      </c>
      <c r="G476" s="2" t="s">
        <v>1635</v>
      </c>
      <c r="H476" s="1"/>
    </row>
    <row r="477" spans="1:8" ht="409.5" x14ac:dyDescent="0.25">
      <c r="A477" s="1" t="str">
        <f>HYPERLINK("https://www.albertahealthservices.ca/findhealth/Service.aspx?serviceAtFacilityId=1119072","School Health Program")</f>
        <v>School Health Program</v>
      </c>
      <c r="B477" s="1" t="s">
        <v>1541</v>
      </c>
      <c r="C477" s="2" t="s">
        <v>204</v>
      </c>
      <c r="D477" s="2" t="s">
        <v>1639</v>
      </c>
      <c r="E477" s="1"/>
      <c r="F477" s="2" t="s">
        <v>201</v>
      </c>
      <c r="G477" s="2" t="s">
        <v>199</v>
      </c>
      <c r="H477" s="2" t="s">
        <v>1640</v>
      </c>
    </row>
    <row r="478" spans="1:8" ht="180" x14ac:dyDescent="0.25">
      <c r="A478" s="1" t="str">
        <f>HYPERLINK("https://www.albertahealthservices.ca/findhealth/Service.aspx?serviceAtFacilityId=1045823","Maternal Child Counselling Services")</f>
        <v>Maternal Child Counselling Services</v>
      </c>
      <c r="B478" s="1" t="s">
        <v>301</v>
      </c>
      <c r="C478" s="2" t="s">
        <v>1642</v>
      </c>
      <c r="D478" s="2" t="s">
        <v>1034</v>
      </c>
      <c r="E478" s="1"/>
      <c r="F478" s="2" t="s">
        <v>190</v>
      </c>
      <c r="G478" s="2" t="s">
        <v>1641</v>
      </c>
      <c r="H478" s="1"/>
    </row>
    <row r="479" spans="1:8" ht="375" x14ac:dyDescent="0.25">
      <c r="A479" s="1" t="str">
        <f>HYPERLINK("https://www.albertahealthservices.ca/findhealth/Service.aspx?serviceAtFacilityId=1046256","Sexual and Reproductive Health")</f>
        <v>Sexual and Reproductive Health</v>
      </c>
      <c r="B479" s="1" t="s">
        <v>270</v>
      </c>
      <c r="C479" s="2" t="s">
        <v>351</v>
      </c>
      <c r="D479" s="2" t="s">
        <v>1643</v>
      </c>
      <c r="E479" s="1"/>
      <c r="F479" s="2" t="s">
        <v>1644</v>
      </c>
      <c r="G479" s="2" t="s">
        <v>346</v>
      </c>
      <c r="H479" s="2" t="s">
        <v>1645</v>
      </c>
    </row>
    <row r="480" spans="1:8" ht="225" x14ac:dyDescent="0.25">
      <c r="A480" s="1" t="str">
        <f>HYPERLINK("https://www.albertahealthservices.ca/findhealth/Service.aspx?serviceAtFacilityId=1104031","Corrections Transition Team - Mental Health")</f>
        <v>Corrections Transition Team - Mental Health</v>
      </c>
      <c r="B480" s="1" t="s">
        <v>781</v>
      </c>
      <c r="C480" s="2" t="s">
        <v>1650</v>
      </c>
      <c r="D480" s="2" t="s">
        <v>1647</v>
      </c>
      <c r="E480" s="2" t="s">
        <v>1648</v>
      </c>
      <c r="F480" s="2" t="s">
        <v>311</v>
      </c>
      <c r="G480" s="2" t="s">
        <v>1646</v>
      </c>
      <c r="H480" s="1" t="s">
        <v>1649</v>
      </c>
    </row>
    <row r="481" spans="1:8" ht="255" x14ac:dyDescent="0.25">
      <c r="A481" s="1" t="str">
        <f>HYPERLINK("https://www.albertahealthservices.ca/findhealth/Service.aspx?serviceAtFacilityId=1110869","Addiction and Mental Health - Adult and Youth Intake")</f>
        <v>Addiction and Mental Health - Adult and Youth Intake</v>
      </c>
      <c r="B481" s="1" t="s">
        <v>1654</v>
      </c>
      <c r="C481" s="2" t="s">
        <v>78</v>
      </c>
      <c r="D481" s="2" t="s">
        <v>1651</v>
      </c>
      <c r="E481" s="1"/>
      <c r="F481" s="2" t="s">
        <v>1652</v>
      </c>
      <c r="G481" s="2" t="s">
        <v>73</v>
      </c>
      <c r="H481" s="2" t="s">
        <v>1653</v>
      </c>
    </row>
    <row r="482" spans="1:8" ht="165" x14ac:dyDescent="0.25">
      <c r="A482" s="1" t="str">
        <f>HYPERLINK("https://www.albertahealthservices.ca/findhealth/Service.aspx?serviceAtFacilityId=1093940","Addiction Services - Adult Residential")</f>
        <v>Addiction Services - Adult Residential</v>
      </c>
      <c r="B482" s="1" t="s">
        <v>1657</v>
      </c>
      <c r="C482" s="2" t="s">
        <v>1658</v>
      </c>
      <c r="D482" s="2" t="s">
        <v>1656</v>
      </c>
      <c r="E482" s="1"/>
      <c r="F482" s="2" t="s">
        <v>23</v>
      </c>
      <c r="G482" s="2" t="s">
        <v>1655</v>
      </c>
      <c r="H482" s="1"/>
    </row>
    <row r="483" spans="1:8" ht="210" x14ac:dyDescent="0.25">
      <c r="A483" s="1" t="str">
        <f>HYPERLINK("https://www.albertahealthservices.ca/findhealth/Service.aspx?serviceAtFacilityId=1019446","Access Mental Health")</f>
        <v>Access Mental Health</v>
      </c>
      <c r="B483" s="1" t="s">
        <v>1265</v>
      </c>
      <c r="C483" s="2" t="s">
        <v>1662</v>
      </c>
      <c r="D483" s="2" t="s">
        <v>1660</v>
      </c>
      <c r="E483" s="1"/>
      <c r="F483" s="2" t="s">
        <v>1661</v>
      </c>
      <c r="G483" s="2" t="s">
        <v>1659</v>
      </c>
      <c r="H483" s="1"/>
    </row>
    <row r="484" spans="1:8" ht="135" x14ac:dyDescent="0.25">
      <c r="A484" s="1" t="str">
        <f>HYPERLINK("https://www.albertahealthservices.ca/findhealth/Service.aspx?serviceAtFacilityId=1024023","Emergency Room Outreach Team - Mental Health")</f>
        <v>Emergency Room Outreach Team - Mental Health</v>
      </c>
      <c r="B484" s="1" t="s">
        <v>197</v>
      </c>
      <c r="C484" s="2" t="s">
        <v>104</v>
      </c>
      <c r="D484" s="2" t="s">
        <v>1663</v>
      </c>
      <c r="E484" s="1"/>
      <c r="F484" s="2" t="s">
        <v>101</v>
      </c>
      <c r="G484" s="2" t="s">
        <v>99</v>
      </c>
      <c r="H484" s="2" t="s">
        <v>1181</v>
      </c>
    </row>
    <row r="485" spans="1:8" ht="135" x14ac:dyDescent="0.25">
      <c r="A485" s="1" t="str">
        <f>HYPERLINK("https://www.albertahealthservices.ca/findhealth/Service.aspx?serviceAtFacilityId=1102263","Acute Inpatient Psychiatry")</f>
        <v>Acute Inpatient Psychiatry</v>
      </c>
      <c r="B485" s="1" t="s">
        <v>394</v>
      </c>
      <c r="C485" s="2" t="s">
        <v>1667</v>
      </c>
      <c r="D485" s="2" t="s">
        <v>1665</v>
      </c>
      <c r="E485" s="1"/>
      <c r="F485" s="2" t="s">
        <v>23</v>
      </c>
      <c r="G485" s="2" t="s">
        <v>1664</v>
      </c>
      <c r="H485" s="2" t="s">
        <v>1666</v>
      </c>
    </row>
    <row r="486" spans="1:8" ht="409.5" x14ac:dyDescent="0.25">
      <c r="A486" s="1" t="str">
        <f>HYPERLINK("https://www.albertahealthservices.ca/findhealth/Service.aspx?serviceAtFacilityId=1109750","Provincial Family Violence Treatment Program")</f>
        <v>Provincial Family Violence Treatment Program</v>
      </c>
      <c r="B486" s="1" t="s">
        <v>92</v>
      </c>
      <c r="C486" s="2" t="s">
        <v>232</v>
      </c>
      <c r="D486" s="2" t="s">
        <v>1668</v>
      </c>
      <c r="E486" s="1"/>
      <c r="F486" s="2" t="s">
        <v>201</v>
      </c>
      <c r="G486" s="2" t="s">
        <v>227</v>
      </c>
      <c r="H486" s="2" t="s">
        <v>1669</v>
      </c>
    </row>
    <row r="487" spans="1:8" ht="195" x14ac:dyDescent="0.25">
      <c r="A487" s="1" t="str">
        <f>HYPERLINK("https://www.albertahealthservices.ca/findhealth/Service.aspx?serviceAtFacilityId=1105431","Mental Health Intake")</f>
        <v>Mental Health Intake</v>
      </c>
      <c r="B487" s="1" t="s">
        <v>1672</v>
      </c>
      <c r="C487" s="2" t="s">
        <v>856</v>
      </c>
      <c r="D487" s="2" t="s">
        <v>1670</v>
      </c>
      <c r="E487" s="1"/>
      <c r="F487" s="2" t="s">
        <v>220</v>
      </c>
      <c r="G487" s="2" t="s">
        <v>852</v>
      </c>
      <c r="H487" s="2" t="s">
        <v>1671</v>
      </c>
    </row>
    <row r="488" spans="1:8" ht="135" x14ac:dyDescent="0.25">
      <c r="A488" s="1" t="str">
        <f>HYPERLINK("https://www.albertahealthservices.ca/findhealth/Service.aspx?serviceAtFacilityId=1116868","Addiction and Mental Health - Diversion Services")</f>
        <v>Addiction and Mental Health - Diversion Services</v>
      </c>
      <c r="B488" s="1" t="s">
        <v>87</v>
      </c>
      <c r="C488" s="2" t="s">
        <v>154</v>
      </c>
      <c r="D488" s="2" t="s">
        <v>85</v>
      </c>
      <c r="E488" s="2" t="s">
        <v>152</v>
      </c>
      <c r="F488" s="2" t="s">
        <v>311</v>
      </c>
      <c r="G488" s="2" t="s">
        <v>149</v>
      </c>
      <c r="H488" s="2" t="s">
        <v>1673</v>
      </c>
    </row>
    <row r="489" spans="1:8" ht="409.5" x14ac:dyDescent="0.25">
      <c r="A489" s="1" t="str">
        <f>HYPERLINK("https://www.albertahealthservices.ca/findhealth/Service.aspx?serviceAtFacilityId=1001818","Continuing Care Counselling")</f>
        <v>Continuing Care Counselling</v>
      </c>
      <c r="B489" s="1" t="s">
        <v>1677</v>
      </c>
      <c r="C489" s="2" t="s">
        <v>163</v>
      </c>
      <c r="D489" s="2" t="s">
        <v>1674</v>
      </c>
      <c r="E489" s="1"/>
      <c r="F489" s="2" t="s">
        <v>1675</v>
      </c>
      <c r="G489" s="2" t="s">
        <v>158</v>
      </c>
      <c r="H489" s="2" t="s">
        <v>1676</v>
      </c>
    </row>
    <row r="490" spans="1:8" ht="409.5" x14ac:dyDescent="0.25">
      <c r="A490" s="1" t="str">
        <f>HYPERLINK("https://www.albertahealthservices.ca/findhealth/Service.aspx?serviceAtFacilityId=1044059","Continuing Care Counselling")</f>
        <v>Continuing Care Counselling</v>
      </c>
      <c r="B490" s="1" t="s">
        <v>1680</v>
      </c>
      <c r="C490" s="2" t="s">
        <v>163</v>
      </c>
      <c r="D490" s="2" t="s">
        <v>1678</v>
      </c>
      <c r="E490" s="1"/>
      <c r="F490" s="2" t="s">
        <v>261</v>
      </c>
      <c r="G490" s="2" t="s">
        <v>158</v>
      </c>
      <c r="H490" s="2" t="s">
        <v>1679</v>
      </c>
    </row>
    <row r="491" spans="1:8" ht="195" x14ac:dyDescent="0.25">
      <c r="A491" s="1" t="str">
        <f>HYPERLINK("https://www.albertahealthservices.ca/findhealth/Service.aspx?serviceAtFacilityId=1065905","Pediatric Specialty Clinic")</f>
        <v>Pediatric Specialty Clinic</v>
      </c>
      <c r="B491" s="1" t="s">
        <v>1684</v>
      </c>
      <c r="C491" s="2" t="s">
        <v>1685</v>
      </c>
      <c r="D491" s="2" t="s">
        <v>1682</v>
      </c>
      <c r="E491" s="1"/>
      <c r="F491" s="2" t="s">
        <v>1683</v>
      </c>
      <c r="G491" s="2" t="s">
        <v>1681</v>
      </c>
      <c r="H491" s="1"/>
    </row>
    <row r="492" spans="1:8" ht="210" x14ac:dyDescent="0.25">
      <c r="A492" s="1" t="str">
        <f>HYPERLINK("https://www.albertahealthservices.ca/findhealth/Service.aspx?serviceAtFacilityId=1100104","Spiritual Care Services")</f>
        <v>Spiritual Care Services</v>
      </c>
      <c r="B492" s="1" t="s">
        <v>108</v>
      </c>
      <c r="C492" s="2" t="s">
        <v>971</v>
      </c>
      <c r="D492" s="2" t="s">
        <v>1686</v>
      </c>
      <c r="E492" s="1"/>
      <c r="F492" s="2" t="s">
        <v>1687</v>
      </c>
      <c r="G492" s="2" t="s">
        <v>968</v>
      </c>
      <c r="H492" s="2" t="s">
        <v>1688</v>
      </c>
    </row>
    <row r="493" spans="1:8" ht="255" x14ac:dyDescent="0.25">
      <c r="A493" s="1" t="str">
        <f>HYPERLINK("https://www.albertahealthservices.ca/findhealth/Service.aspx?serviceAtFacilityId=1098071","Addiction and Mental Health - Adult and Youth Intake")</f>
        <v>Addiction and Mental Health - Adult and Youth Intake</v>
      </c>
      <c r="B493" s="1" t="s">
        <v>660</v>
      </c>
      <c r="C493" s="2" t="s">
        <v>78</v>
      </c>
      <c r="D493" s="2" t="s">
        <v>1417</v>
      </c>
      <c r="E493" s="1"/>
      <c r="F493" s="2" t="s">
        <v>201</v>
      </c>
      <c r="G493" s="2" t="s">
        <v>73</v>
      </c>
      <c r="H493" s="2" t="s">
        <v>1689</v>
      </c>
    </row>
    <row r="494" spans="1:8" ht="270" x14ac:dyDescent="0.25">
      <c r="A494" s="1" t="str">
        <f>HYPERLINK("https://www.albertahealthservices.ca/findhealth/Service.aspx?serviceAtFacilityId=1093985","Addiction Services - Prevention")</f>
        <v>Addiction Services - Prevention</v>
      </c>
      <c r="B494" s="1" t="s">
        <v>1692</v>
      </c>
      <c r="C494" s="2" t="s">
        <v>493</v>
      </c>
      <c r="D494" s="2" t="s">
        <v>1690</v>
      </c>
      <c r="E494" s="1"/>
      <c r="F494" s="2" t="s">
        <v>311</v>
      </c>
      <c r="G494" s="2" t="s">
        <v>489</v>
      </c>
      <c r="H494" s="2" t="s">
        <v>1691</v>
      </c>
    </row>
    <row r="495" spans="1:8" ht="210" x14ac:dyDescent="0.25">
      <c r="A495" s="1" t="str">
        <f>HYPERLINK("https://www.albertahealthservices.ca/findhealth/Service.aspx?serviceAtFacilityId=1106517","Infant and Preschool Mental Health Services")</f>
        <v>Infant and Preschool Mental Health Services</v>
      </c>
      <c r="B495" s="1" t="s">
        <v>1422</v>
      </c>
      <c r="C495" s="2" t="s">
        <v>1197</v>
      </c>
      <c r="D495" s="2" t="s">
        <v>1693</v>
      </c>
      <c r="E495" s="1"/>
      <c r="F495" s="2" t="s">
        <v>311</v>
      </c>
      <c r="G495" s="2" t="s">
        <v>1194</v>
      </c>
      <c r="H495" s="2" t="s">
        <v>1694</v>
      </c>
    </row>
    <row r="496" spans="1:8" ht="180" x14ac:dyDescent="0.25">
      <c r="A496" s="1" t="str">
        <f>HYPERLINK("https://www.albertahealthservices.ca/findhealth/Service.aspx?serviceAtFacilityId=1094025","Addiction Services - Prevention")</f>
        <v>Addiction Services - Prevention</v>
      </c>
      <c r="B496" s="1" t="s">
        <v>1422</v>
      </c>
      <c r="C496" s="2" t="s">
        <v>635</v>
      </c>
      <c r="D496" s="2" t="s">
        <v>1695</v>
      </c>
      <c r="E496" s="1"/>
      <c r="F496" s="2" t="s">
        <v>1696</v>
      </c>
      <c r="G496" s="2" t="s">
        <v>630</v>
      </c>
      <c r="H496" s="2" t="s">
        <v>1697</v>
      </c>
    </row>
    <row r="497" spans="1:8" ht="180" x14ac:dyDescent="0.25">
      <c r="A497" s="1" t="str">
        <f>HYPERLINK("https://www.albertahealthservices.ca/findhealth/Service.aspx?serviceAtFacilityId=1103601","Domestic Violence Offender Treatment Program")</f>
        <v>Domestic Violence Offender Treatment Program</v>
      </c>
      <c r="B497" s="1" t="s">
        <v>270</v>
      </c>
      <c r="C497" s="2" t="s">
        <v>1423</v>
      </c>
      <c r="D497" s="2" t="s">
        <v>1698</v>
      </c>
      <c r="E497" s="1"/>
      <c r="F497" s="2" t="s">
        <v>1699</v>
      </c>
      <c r="G497" s="2" t="s">
        <v>1419</v>
      </c>
      <c r="H497" s="1" t="s">
        <v>1422</v>
      </c>
    </row>
    <row r="498" spans="1:8" ht="105" x14ac:dyDescent="0.25">
      <c r="A498" s="1" t="str">
        <f>HYPERLINK("https://www.albertahealthservices.ca/findhealth/Service.aspx?serviceAtFacilityId=1111379","Addiction and Mental Health - Group Home Support Services, Adult")</f>
        <v>Addiction and Mental Health - Group Home Support Services, Adult</v>
      </c>
      <c r="B498" s="1" t="s">
        <v>57</v>
      </c>
      <c r="C498" s="2" t="s">
        <v>1702</v>
      </c>
      <c r="D498" s="2" t="s">
        <v>1701</v>
      </c>
      <c r="E498" s="1"/>
      <c r="F498" s="2" t="s">
        <v>190</v>
      </c>
      <c r="G498" s="2" t="s">
        <v>1700</v>
      </c>
      <c r="H498" s="1"/>
    </row>
    <row r="499" spans="1:8" ht="270" x14ac:dyDescent="0.25">
      <c r="A499" s="1" t="str">
        <f>HYPERLINK("https://www.albertahealthservices.ca/findhealth/Service.aspx?serviceAtFacilityId=1104461","Designated Supportive Living Level 4 Dementia")</f>
        <v>Designated Supportive Living Level 4 Dementia</v>
      </c>
      <c r="B499" s="1" t="s">
        <v>1705</v>
      </c>
      <c r="C499" s="2" t="s">
        <v>26</v>
      </c>
      <c r="D499" s="2" t="s">
        <v>1703</v>
      </c>
      <c r="E499" s="1"/>
      <c r="F499" s="2" t="s">
        <v>23</v>
      </c>
      <c r="G499" s="2" t="s">
        <v>21</v>
      </c>
      <c r="H499" s="2" t="s">
        <v>1704</v>
      </c>
    </row>
    <row r="500" spans="1:8" ht="375" x14ac:dyDescent="0.25">
      <c r="A500" s="1" t="str">
        <f>HYPERLINK("https://www.albertahealthservices.ca/findhealth/Service.aspx?serviceAtFacilityId=1053060","Regional Collaborative Service Delivery - School based and school linked mental health teams")</f>
        <v>Regional Collaborative Service Delivery - School based and school linked mental health teams</v>
      </c>
      <c r="B500" s="1" t="s">
        <v>1101</v>
      </c>
      <c r="C500" s="2" t="s">
        <v>688</v>
      </c>
      <c r="D500" s="2" t="s">
        <v>1706</v>
      </c>
      <c r="E500" s="1"/>
      <c r="F500" s="1" t="s">
        <v>34</v>
      </c>
      <c r="G500" s="2" t="s">
        <v>685</v>
      </c>
      <c r="H500" s="2" t="s">
        <v>1707</v>
      </c>
    </row>
    <row r="501" spans="1:8" ht="409.5" x14ac:dyDescent="0.25">
      <c r="A501" s="1" t="str">
        <f>HYPERLINK("https://www.albertahealthservices.ca/findhealth/Service.aspx?serviceAtFacilityId=1046149","Adult Mental Health Treatment Services")</f>
        <v>Adult Mental Health Treatment Services</v>
      </c>
      <c r="B501" s="1" t="s">
        <v>1711</v>
      </c>
      <c r="C501" s="2" t="s">
        <v>125</v>
      </c>
      <c r="D501" s="2" t="s">
        <v>1708</v>
      </c>
      <c r="E501" s="1"/>
      <c r="F501" s="2" t="s">
        <v>1709</v>
      </c>
      <c r="G501" s="2" t="s">
        <v>121</v>
      </c>
      <c r="H501" s="2" t="s">
        <v>1710</v>
      </c>
    </row>
    <row r="502" spans="1:8" ht="375" x14ac:dyDescent="0.25">
      <c r="A502" s="1" t="str">
        <f>HYPERLINK("https://www.albertahealthservices.ca/findhealth/Service.aspx?serviceAtFacilityId=1115285","Community Helpers Program")</f>
        <v>Community Helpers Program</v>
      </c>
      <c r="B502" s="1" t="s">
        <v>1714</v>
      </c>
      <c r="C502" s="2" t="s">
        <v>120</v>
      </c>
      <c r="D502" s="2" t="s">
        <v>1712</v>
      </c>
      <c r="E502" s="1"/>
      <c r="F502" s="2" t="s">
        <v>117</v>
      </c>
      <c r="G502" s="2" t="s">
        <v>115</v>
      </c>
      <c r="H502" s="2" t="s">
        <v>1713</v>
      </c>
    </row>
    <row r="503" spans="1:8" ht="390" x14ac:dyDescent="0.25">
      <c r="A503" s="1" t="str">
        <f>HYPERLINK("https://www.albertahealthservices.ca/findhealth/Service.aspx?serviceAtFacilityId=1115279","Community Helpers Program")</f>
        <v>Community Helpers Program</v>
      </c>
      <c r="B503" s="1" t="s">
        <v>1717</v>
      </c>
      <c r="C503" s="2" t="s">
        <v>120</v>
      </c>
      <c r="D503" s="2" t="s">
        <v>1715</v>
      </c>
      <c r="E503" s="1"/>
      <c r="F503" s="2" t="s">
        <v>117</v>
      </c>
      <c r="G503" s="2" t="s">
        <v>115</v>
      </c>
      <c r="H503" s="2" t="s">
        <v>1716</v>
      </c>
    </row>
    <row r="504" spans="1:8" ht="405" x14ac:dyDescent="0.25">
      <c r="A504" s="1" t="str">
        <f>HYPERLINK("https://www.albertahealthservices.ca/findhealth/Service.aspx?serviceAtFacilityId=1115422","Addiction and Mental Health - Recovery Supports Services, Adult")</f>
        <v>Addiction and Mental Health - Recovery Supports Services, Adult</v>
      </c>
      <c r="B504" s="1" t="s">
        <v>1721</v>
      </c>
      <c r="C504" s="2" t="s">
        <v>666</v>
      </c>
      <c r="D504" s="2" t="s">
        <v>1718</v>
      </c>
      <c r="E504" s="2" t="s">
        <v>663</v>
      </c>
      <c r="F504" s="2" t="s">
        <v>1719</v>
      </c>
      <c r="G504" s="1"/>
      <c r="H504" s="2" t="s">
        <v>1720</v>
      </c>
    </row>
    <row r="505" spans="1:8" ht="255" x14ac:dyDescent="0.25">
      <c r="A505" s="1" t="str">
        <f>HYPERLINK("https://www.albertahealthservices.ca/findhealth/Service.aspx?serviceAtFacilityId=1072112","Labour and Delivery Services, Postpartum and Newborn Care")</f>
        <v>Labour and Delivery Services, Postpartum and Newborn Care</v>
      </c>
      <c r="B505" s="1" t="s">
        <v>1724</v>
      </c>
      <c r="C505" s="2" t="s">
        <v>109</v>
      </c>
      <c r="D505" s="2" t="s">
        <v>1722</v>
      </c>
      <c r="E505" s="1"/>
      <c r="F505" s="2" t="s">
        <v>23</v>
      </c>
      <c r="G505" s="2" t="s">
        <v>105</v>
      </c>
      <c r="H505" s="2" t="s">
        <v>1723</v>
      </c>
    </row>
    <row r="506" spans="1:8" ht="255" x14ac:dyDescent="0.25">
      <c r="A506" s="1" t="str">
        <f>HYPERLINK("https://www.albertahealthservices.ca/findhealth/Service.aspx?serviceAtFacilityId=1046502","Addiction and Mental Health - Adult and Youth Intake")</f>
        <v>Addiction and Mental Health - Adult and Youth Intake</v>
      </c>
      <c r="B506" s="1" t="s">
        <v>1728</v>
      </c>
      <c r="C506" s="2" t="s">
        <v>78</v>
      </c>
      <c r="D506" s="2" t="s">
        <v>1725</v>
      </c>
      <c r="E506" s="1"/>
      <c r="F506" s="2" t="s">
        <v>1726</v>
      </c>
      <c r="G506" s="2" t="s">
        <v>73</v>
      </c>
      <c r="H506" s="2" t="s">
        <v>1727</v>
      </c>
    </row>
    <row r="507" spans="1:8" ht="409.5" x14ac:dyDescent="0.25">
      <c r="A507" s="1" t="str">
        <f>HYPERLINK("https://www.albertahealthservices.ca/findhealth/Service.aspx?serviceAtFacilityId=1090367","Eating Disorder Services")</f>
        <v>Eating Disorder Services</v>
      </c>
      <c r="B507" s="1" t="s">
        <v>963</v>
      </c>
      <c r="C507" s="2" t="s">
        <v>212</v>
      </c>
      <c r="D507" s="2" t="s">
        <v>1729</v>
      </c>
      <c r="E507" s="1"/>
      <c r="F507" s="2" t="s">
        <v>201</v>
      </c>
      <c r="G507" s="2" t="s">
        <v>209</v>
      </c>
      <c r="H507" s="2" t="s">
        <v>1730</v>
      </c>
    </row>
    <row r="508" spans="1:8" ht="409.5" x14ac:dyDescent="0.25">
      <c r="A508" s="1" t="str">
        <f>HYPERLINK("https://www.albertahealthservices.ca/findhealth/Service.aspx?serviceAtFacilityId=1082322","Mental Health Services")</f>
        <v>Mental Health Services</v>
      </c>
      <c r="B508" s="1" t="s">
        <v>1179</v>
      </c>
      <c r="C508" s="2" t="s">
        <v>98</v>
      </c>
      <c r="D508" s="2" t="s">
        <v>1731</v>
      </c>
      <c r="E508" s="1"/>
      <c r="F508" s="2" t="s">
        <v>392</v>
      </c>
      <c r="G508" s="2" t="s">
        <v>94</v>
      </c>
      <c r="H508" s="2" t="s">
        <v>1732</v>
      </c>
    </row>
    <row r="509" spans="1:8" ht="409.5" x14ac:dyDescent="0.25">
      <c r="A509" s="1" t="str">
        <f>HYPERLINK("https://www.albertahealthservices.ca/findhealth/Service.aspx?serviceAtFacilityId=1090162","Continuing Care Counselling")</f>
        <v>Continuing Care Counselling</v>
      </c>
      <c r="B509" s="1" t="s">
        <v>1735</v>
      </c>
      <c r="C509" s="2" t="s">
        <v>163</v>
      </c>
      <c r="D509" s="2" t="s">
        <v>1733</v>
      </c>
      <c r="E509" s="1"/>
      <c r="F509" s="2" t="s">
        <v>1103</v>
      </c>
      <c r="G509" s="2" t="s">
        <v>158</v>
      </c>
      <c r="H509" s="2" t="s">
        <v>1734</v>
      </c>
    </row>
    <row r="510" spans="1:8" ht="135" x14ac:dyDescent="0.25">
      <c r="A510" s="1" t="str">
        <f>HYPERLINK("https://www.albertahealthservices.ca/findhealth/Service.aspx?serviceAtFacilityId=1107666","Mental Health Capacity Building - Team For Success")</f>
        <v>Mental Health Capacity Building - Team For Success</v>
      </c>
      <c r="B510" s="1" t="s">
        <v>1739</v>
      </c>
      <c r="C510" s="2" t="s">
        <v>1740</v>
      </c>
      <c r="D510" s="2" t="s">
        <v>1737</v>
      </c>
      <c r="E510" s="1"/>
      <c r="F510" s="1" t="s">
        <v>34</v>
      </c>
      <c r="G510" s="2" t="s">
        <v>1736</v>
      </c>
      <c r="H510" s="2" t="s">
        <v>1738</v>
      </c>
    </row>
    <row r="511" spans="1:8" ht="135" x14ac:dyDescent="0.25">
      <c r="A511" s="1" t="str">
        <f>HYPERLINK("https://www.albertahealthservices.ca/findhealth/Service.aspx?serviceAtFacilityId=1005336","Psychiatric Emergency Services")</f>
        <v>Psychiatric Emergency Services</v>
      </c>
      <c r="B511" s="1" t="s">
        <v>378</v>
      </c>
      <c r="C511" s="2" t="s">
        <v>322</v>
      </c>
      <c r="D511" s="2" t="s">
        <v>376</v>
      </c>
      <c r="E511" s="1"/>
      <c r="F511" s="2" t="s">
        <v>1741</v>
      </c>
      <c r="G511" s="2" t="s">
        <v>319</v>
      </c>
      <c r="H511" s="2" t="s">
        <v>681</v>
      </c>
    </row>
    <row r="512" spans="1:8" ht="135" x14ac:dyDescent="0.25">
      <c r="A512" s="1" t="str">
        <f>HYPERLINK("https://www.albertahealthservices.ca/findhealth/Service.aspx?serviceAtFacilityId=1107665","Mental Health Capacity Building - Team For Success")</f>
        <v>Mental Health Capacity Building - Team For Success</v>
      </c>
      <c r="B512" s="1" t="s">
        <v>1744</v>
      </c>
      <c r="C512" s="2" t="s">
        <v>1740</v>
      </c>
      <c r="D512" s="2" t="s">
        <v>1742</v>
      </c>
      <c r="E512" s="1"/>
      <c r="F512" s="1" t="s">
        <v>34</v>
      </c>
      <c r="G512" s="2" t="s">
        <v>1736</v>
      </c>
      <c r="H512" s="2" t="s">
        <v>1743</v>
      </c>
    </row>
    <row r="513" spans="1:8" ht="225" x14ac:dyDescent="0.25">
      <c r="A513" s="1" t="str">
        <f>HYPERLINK("https://www.albertahealthservices.ca/findhealth/Service.aspx?serviceAtFacilityId=1023529","Calgary Eating Disorder Program - Outpatient Treatment")</f>
        <v>Calgary Eating Disorder Program - Outpatient Treatment</v>
      </c>
      <c r="B513" s="1" t="s">
        <v>276</v>
      </c>
      <c r="C513" s="2" t="s">
        <v>1747</v>
      </c>
      <c r="D513" s="2" t="s">
        <v>1003</v>
      </c>
      <c r="E513" s="2" t="s">
        <v>1005</v>
      </c>
      <c r="F513" s="2" t="s">
        <v>1746</v>
      </c>
      <c r="G513" s="2" t="s">
        <v>1745</v>
      </c>
      <c r="H513" s="1"/>
    </row>
    <row r="514" spans="1:8" ht="135" x14ac:dyDescent="0.25">
      <c r="A514" s="1" t="str">
        <f>HYPERLINK("https://www.albertahealthservices.ca/findhealth/Service.aspx?serviceAtFacilityId=1098287","Community Mental Health Service")</f>
        <v>Community Mental Health Service</v>
      </c>
      <c r="B514" s="1" t="s">
        <v>1751</v>
      </c>
      <c r="C514" s="2" t="s">
        <v>313</v>
      </c>
      <c r="D514" s="2" t="s">
        <v>1748</v>
      </c>
      <c r="E514" s="1"/>
      <c r="F514" s="2" t="s">
        <v>1749</v>
      </c>
      <c r="G514" s="2" t="s">
        <v>309</v>
      </c>
      <c r="H514" s="2" t="s">
        <v>1750</v>
      </c>
    </row>
    <row r="515" spans="1:8" ht="120" x14ac:dyDescent="0.25">
      <c r="A515" s="1" t="str">
        <f>HYPERLINK("https://www.albertahealthservices.ca/findhealth/Service.aspx?serviceAtFacilityId=1093785","Addiction Services - Youth Outpatient Counselling")</f>
        <v>Addiction Services - Youth Outpatient Counselling</v>
      </c>
      <c r="B515" s="1" t="s">
        <v>1754</v>
      </c>
      <c r="C515" s="2" t="s">
        <v>499</v>
      </c>
      <c r="D515" s="2" t="s">
        <v>1752</v>
      </c>
      <c r="E515" s="1"/>
      <c r="F515" s="2" t="s">
        <v>311</v>
      </c>
      <c r="G515" s="2" t="s">
        <v>494</v>
      </c>
      <c r="H515" s="2" t="s">
        <v>1753</v>
      </c>
    </row>
    <row r="516" spans="1:8" ht="409.5" x14ac:dyDescent="0.25">
      <c r="A516" s="1" t="str">
        <f>HYPERLINK("https://www.albertahealthservices.ca/findhealth/Service.aspx?serviceAtFacilityId=1119056","School Health Program")</f>
        <v>School Health Program</v>
      </c>
      <c r="B516" s="1" t="s">
        <v>608</v>
      </c>
      <c r="C516" s="2" t="s">
        <v>204</v>
      </c>
      <c r="D516" s="2" t="s">
        <v>1755</v>
      </c>
      <c r="E516" s="1"/>
      <c r="F516" s="2" t="s">
        <v>201</v>
      </c>
      <c r="G516" s="2" t="s">
        <v>199</v>
      </c>
      <c r="H516" s="2" t="s">
        <v>1756</v>
      </c>
    </row>
    <row r="517" spans="1:8" ht="409.5" x14ac:dyDescent="0.25">
      <c r="A517" s="1" t="str">
        <f>HYPERLINK("https://www.albertahealthservices.ca/findhealth/Service.aspx?serviceAtFacilityId=1044066","Continuing Care Counselling")</f>
        <v>Continuing Care Counselling</v>
      </c>
      <c r="B517" s="1" t="s">
        <v>1759</v>
      </c>
      <c r="C517" s="2" t="s">
        <v>163</v>
      </c>
      <c r="D517" s="2" t="s">
        <v>1757</v>
      </c>
      <c r="E517" s="1"/>
      <c r="F517" s="2" t="s">
        <v>261</v>
      </c>
      <c r="G517" s="2" t="s">
        <v>158</v>
      </c>
      <c r="H517" s="2" t="s">
        <v>1758</v>
      </c>
    </row>
    <row r="518" spans="1:8" ht="195" x14ac:dyDescent="0.25">
      <c r="A518" s="1" t="str">
        <f>HYPERLINK("https://www.albertahealthservices.ca/findhealth/Service.aspx?serviceAtFacilityId=1102442","Community Extension Team - Child and Adolescent Mental Health")</f>
        <v>Community Extension Team - Child and Adolescent Mental Health</v>
      </c>
      <c r="B518" s="1" t="s">
        <v>730</v>
      </c>
      <c r="C518" s="2" t="s">
        <v>1762</v>
      </c>
      <c r="D518" s="2" t="s">
        <v>728</v>
      </c>
      <c r="E518" s="1"/>
      <c r="F518" s="2" t="s">
        <v>1761</v>
      </c>
      <c r="G518" s="2" t="s">
        <v>1760</v>
      </c>
      <c r="H518" s="1"/>
    </row>
    <row r="519" spans="1:8" ht="270" x14ac:dyDescent="0.25">
      <c r="A519" s="1" t="str">
        <f>HYPERLINK("https://www.albertahealthservices.ca/findhealth/Service.aspx?serviceAtFacilityId=1094018","Addiction Services - Prevention")</f>
        <v>Addiction Services - Prevention</v>
      </c>
      <c r="B519" s="1" t="s">
        <v>1765</v>
      </c>
      <c r="C519" s="2" t="s">
        <v>782</v>
      </c>
      <c r="D519" s="2" t="s">
        <v>1763</v>
      </c>
      <c r="E519" s="1"/>
      <c r="F519" s="2" t="s">
        <v>311</v>
      </c>
      <c r="G519" s="2" t="s">
        <v>778</v>
      </c>
      <c r="H519" s="2" t="s">
        <v>1764</v>
      </c>
    </row>
    <row r="520" spans="1:8" ht="409.5" x14ac:dyDescent="0.25">
      <c r="A520" s="1" t="str">
        <f>HYPERLINK("https://www.albertahealthservices.ca/findhealth/Service.aspx?serviceAtFacilityId=1107754","Adult Mental Health Treatment Services")</f>
        <v>Adult Mental Health Treatment Services</v>
      </c>
      <c r="B520" s="1" t="s">
        <v>1768</v>
      </c>
      <c r="C520" s="2" t="s">
        <v>125</v>
      </c>
      <c r="D520" s="2" t="s">
        <v>1766</v>
      </c>
      <c r="E520" s="1"/>
      <c r="F520" s="2" t="s">
        <v>716</v>
      </c>
      <c r="G520" s="2" t="s">
        <v>121</v>
      </c>
      <c r="H520" s="2" t="s">
        <v>1767</v>
      </c>
    </row>
    <row r="521" spans="1:8" ht="180" x14ac:dyDescent="0.25">
      <c r="A521" s="1" t="str">
        <f>HYPERLINK("https://www.albertahealthservices.ca/findhealth/Service.aspx?serviceAtFacilityId=1104802","Community Addiction and Mental Health Clinics")</f>
        <v>Community Addiction and Mental Health Clinics</v>
      </c>
      <c r="B521" s="1" t="s">
        <v>730</v>
      </c>
      <c r="C521" s="2" t="s">
        <v>1546</v>
      </c>
      <c r="D521" s="2" t="s">
        <v>1769</v>
      </c>
      <c r="E521" s="1"/>
      <c r="F521" s="2" t="s">
        <v>1544</v>
      </c>
      <c r="G521" s="2" t="s">
        <v>1542</v>
      </c>
      <c r="H521" s="2" t="s">
        <v>1770</v>
      </c>
    </row>
    <row r="522" spans="1:8" ht="375" x14ac:dyDescent="0.25">
      <c r="A522" s="1" t="str">
        <f>HYPERLINK("https://www.albertahealthservices.ca/findhealth/Service.aspx?serviceAtFacilityId=1102479","Regional Collaborative Service Delivery - School based and school linked mental health teams")</f>
        <v>Regional Collaborative Service Delivery - School based and school linked mental health teams</v>
      </c>
      <c r="B522" s="1" t="s">
        <v>188</v>
      </c>
      <c r="C522" s="2" t="s">
        <v>688</v>
      </c>
      <c r="D522" s="2" t="s">
        <v>186</v>
      </c>
      <c r="E522" s="1"/>
      <c r="F522" s="1" t="s">
        <v>34</v>
      </c>
      <c r="G522" s="2" t="s">
        <v>685</v>
      </c>
      <c r="H522" s="2" t="s">
        <v>1771</v>
      </c>
    </row>
    <row r="523" spans="1:8" ht="255" x14ac:dyDescent="0.25">
      <c r="A523" s="1" t="str">
        <f>HYPERLINK("https://www.albertahealthservices.ca/findhealth/Service.aspx?serviceAtFacilityId=1078051","Addiction and Mental Health - Adult and Youth Intake")</f>
        <v>Addiction and Mental Health - Adult and Youth Intake</v>
      </c>
      <c r="B523" s="1" t="s">
        <v>188</v>
      </c>
      <c r="C523" s="2" t="s">
        <v>78</v>
      </c>
      <c r="D523" s="2" t="s">
        <v>186</v>
      </c>
      <c r="E523" s="1"/>
      <c r="F523" s="2" t="s">
        <v>1772</v>
      </c>
      <c r="G523" s="2" t="s">
        <v>73</v>
      </c>
      <c r="H523" s="2" t="s">
        <v>1773</v>
      </c>
    </row>
    <row r="524" spans="1:8" ht="270" x14ac:dyDescent="0.25">
      <c r="A524" s="1" t="str">
        <f>HYPERLINK("https://www.albertahealthservices.ca/findhealth/Service.aspx?serviceAtFacilityId=1093980","Addiction Services - Prevention")</f>
        <v>Addiction Services - Prevention</v>
      </c>
      <c r="B524" s="1" t="s">
        <v>1474</v>
      </c>
      <c r="C524" s="2" t="s">
        <v>493</v>
      </c>
      <c r="D524" s="2" t="s">
        <v>1774</v>
      </c>
      <c r="E524" s="1"/>
      <c r="F524" s="2" t="s">
        <v>1775</v>
      </c>
      <c r="G524" s="2" t="s">
        <v>489</v>
      </c>
      <c r="H524" s="2" t="s">
        <v>1776</v>
      </c>
    </row>
    <row r="525" spans="1:8" ht="409.5" x14ac:dyDescent="0.25">
      <c r="A525" s="1" t="str">
        <f>HYPERLINK("https://www.albertahealthservices.ca/findhealth/Service.aspx?serviceAtFacilityId=1120859","Provincial Family Violence Treatment Program")</f>
        <v>Provincial Family Violence Treatment Program</v>
      </c>
      <c r="B525" s="1" t="s">
        <v>243</v>
      </c>
      <c r="C525" s="2" t="s">
        <v>232</v>
      </c>
      <c r="D525" s="2" t="s">
        <v>1777</v>
      </c>
      <c r="E525" s="1"/>
      <c r="F525" s="2" t="s">
        <v>10</v>
      </c>
      <c r="G525" s="2" t="s">
        <v>227</v>
      </c>
      <c r="H525" s="2" t="s">
        <v>1778</v>
      </c>
    </row>
    <row r="526" spans="1:8" ht="405" x14ac:dyDescent="0.25">
      <c r="A526" s="1" t="str">
        <f>HYPERLINK("https://www.albertahealthservices.ca/findhealth/Service.aspx?serviceAtFacilityId=1115419","Addiction and Mental Health - Recovery Supports Services, Adult")</f>
        <v>Addiction and Mental Health - Recovery Supports Services, Adult</v>
      </c>
      <c r="B526" s="1" t="s">
        <v>1782</v>
      </c>
      <c r="C526" s="2" t="s">
        <v>666</v>
      </c>
      <c r="D526" s="2" t="s">
        <v>1779</v>
      </c>
      <c r="E526" s="2" t="s">
        <v>663</v>
      </c>
      <c r="F526" s="2" t="s">
        <v>1780</v>
      </c>
      <c r="G526" s="1"/>
      <c r="H526" s="2" t="s">
        <v>1781</v>
      </c>
    </row>
    <row r="527" spans="1:8" ht="90" x14ac:dyDescent="0.25">
      <c r="A527" s="1" t="str">
        <f>HYPERLINK("https://www.albertahealthservices.ca/findhealth/Service.aspx?serviceAtFacilityId=1111365","Addiction and Mental Health - Inpatient Alternate Level of Care Services, Adult")</f>
        <v>Addiction and Mental Health - Inpatient Alternate Level of Care Services, Adult</v>
      </c>
      <c r="B527" s="1" t="s">
        <v>57</v>
      </c>
      <c r="C527" s="2" t="s">
        <v>1785</v>
      </c>
      <c r="D527" s="2" t="s">
        <v>1784</v>
      </c>
      <c r="E527" s="1"/>
      <c r="F527" s="1" t="s">
        <v>34</v>
      </c>
      <c r="G527" s="2" t="s">
        <v>1783</v>
      </c>
      <c r="H527" s="1"/>
    </row>
    <row r="528" spans="1:8" ht="285" x14ac:dyDescent="0.25">
      <c r="A528" s="1" t="str">
        <f>HYPERLINK("https://www.albertahealthservices.ca/findhealth/Service.aspx?serviceAtFacilityId=1051995","School Health Program")</f>
        <v>School Health Program</v>
      </c>
      <c r="B528" s="1" t="s">
        <v>1788</v>
      </c>
      <c r="C528" s="2" t="s">
        <v>93</v>
      </c>
      <c r="D528" s="2" t="s">
        <v>1786</v>
      </c>
      <c r="E528" s="1"/>
      <c r="F528" s="1" t="s">
        <v>34</v>
      </c>
      <c r="G528" s="1" t="s">
        <v>89</v>
      </c>
      <c r="H528" s="2" t="s">
        <v>1787</v>
      </c>
    </row>
    <row r="529" spans="1:8" ht="210" x14ac:dyDescent="0.25">
      <c r="A529" s="1" t="str">
        <f>HYPERLINK("https://www.albertahealthservices.ca/findhealth/Service.aspx?serviceAtFacilityId=1106317","Addiction Services - Youth Counselling")</f>
        <v>Addiction Services - Youth Counselling</v>
      </c>
      <c r="B529" s="1" t="s">
        <v>1792</v>
      </c>
      <c r="C529" s="2" t="s">
        <v>875</v>
      </c>
      <c r="D529" s="2" t="s">
        <v>1789</v>
      </c>
      <c r="E529" s="1"/>
      <c r="F529" s="2" t="s">
        <v>1790</v>
      </c>
      <c r="G529" s="2" t="s">
        <v>870</v>
      </c>
      <c r="H529" s="2" t="s">
        <v>1791</v>
      </c>
    </row>
    <row r="530" spans="1:8" ht="135" x14ac:dyDescent="0.25">
      <c r="A530" s="1" t="str">
        <f>HYPERLINK("https://www.albertahealthservices.ca/findhealth/Service.aspx?serviceAtFacilityId=1114414","Sexual Assault Response Team")</f>
        <v>Sexual Assault Response Team</v>
      </c>
      <c r="B530" s="1" t="s">
        <v>1795</v>
      </c>
      <c r="C530" s="2" t="s">
        <v>512</v>
      </c>
      <c r="D530" s="2" t="s">
        <v>1793</v>
      </c>
      <c r="E530" s="1"/>
      <c r="F530" s="1" t="s">
        <v>34</v>
      </c>
      <c r="G530" s="2" t="s">
        <v>508</v>
      </c>
      <c r="H530" s="2" t="s">
        <v>1794</v>
      </c>
    </row>
    <row r="531" spans="1:8" ht="240" x14ac:dyDescent="0.25">
      <c r="A531" s="1" t="str">
        <f>HYPERLINK("https://www.albertahealthservices.ca/findhealth/Service.aspx?serviceAtFacilityId=1096966","Consultation Liaison Service - Mental Health")</f>
        <v>Consultation Liaison Service - Mental Health</v>
      </c>
      <c r="B531" s="1" t="s">
        <v>108</v>
      </c>
      <c r="C531" s="2" t="s">
        <v>623</v>
      </c>
      <c r="D531" s="2" t="s">
        <v>367</v>
      </c>
      <c r="E531" s="1"/>
      <c r="F531" s="2" t="s">
        <v>1796</v>
      </c>
      <c r="G531" s="2" t="s">
        <v>620</v>
      </c>
      <c r="H531" s="2" t="s">
        <v>1797</v>
      </c>
    </row>
    <row r="532" spans="1:8" ht="315" x14ac:dyDescent="0.25">
      <c r="A532" s="1" t="str">
        <f>HYPERLINK("https://www.albertahealthservices.ca/findhealth/Service.aspx?serviceAtFacilityId=1006536","Postpartum Depression Support")</f>
        <v>Postpartum Depression Support</v>
      </c>
      <c r="B532" s="1" t="s">
        <v>1800</v>
      </c>
      <c r="C532" s="2" t="s">
        <v>114</v>
      </c>
      <c r="D532" s="2" t="s">
        <v>1798</v>
      </c>
      <c r="E532" s="1"/>
      <c r="F532" s="1" t="s">
        <v>34</v>
      </c>
      <c r="G532" s="1"/>
      <c r="H532" s="2" t="s">
        <v>1799</v>
      </c>
    </row>
    <row r="533" spans="1:8" ht="409.5" x14ac:dyDescent="0.25">
      <c r="A533" s="1" t="str">
        <f>HYPERLINK("https://www.albertahealthservices.ca/findhealth/Service.aspx?serviceAtFacilityId=1082315","Mental Health Services")</f>
        <v>Mental Health Services</v>
      </c>
      <c r="B533" s="1" t="s">
        <v>188</v>
      </c>
      <c r="C533" s="2" t="s">
        <v>98</v>
      </c>
      <c r="D533" s="2" t="s">
        <v>1801</v>
      </c>
      <c r="E533" s="1"/>
      <c r="F533" s="2" t="s">
        <v>392</v>
      </c>
      <c r="G533" s="2" t="s">
        <v>94</v>
      </c>
      <c r="H533" s="2" t="s">
        <v>1802</v>
      </c>
    </row>
    <row r="534" spans="1:8" ht="405" x14ac:dyDescent="0.25">
      <c r="A534" s="1" t="str">
        <f>HYPERLINK("https://www.albertahealthservices.ca/findhealth/Service.aspx?serviceAtFacilityId=1115409","Addiction and Mental Health - Recovery Supports Services, Adult")</f>
        <v>Addiction and Mental Health - Recovery Supports Services, Adult</v>
      </c>
      <c r="B534" s="1" t="s">
        <v>1806</v>
      </c>
      <c r="C534" s="2" t="s">
        <v>666</v>
      </c>
      <c r="D534" s="2" t="s">
        <v>1803</v>
      </c>
      <c r="E534" s="2" t="s">
        <v>663</v>
      </c>
      <c r="F534" s="2" t="s">
        <v>1804</v>
      </c>
      <c r="G534" s="1"/>
      <c r="H534" s="2" t="s">
        <v>1805</v>
      </c>
    </row>
    <row r="535" spans="1:8" ht="270" x14ac:dyDescent="0.25">
      <c r="A535" s="1" t="str">
        <f>HYPERLINK("https://www.albertahealthservices.ca/findhealth/Service.aspx?serviceAtFacilityId=1110661","Designated Supportive Living Level 4 Dementia")</f>
        <v>Designated Supportive Living Level 4 Dementia</v>
      </c>
      <c r="B535" s="1" t="s">
        <v>1809</v>
      </c>
      <c r="C535" s="2" t="s">
        <v>31</v>
      </c>
      <c r="D535" s="2" t="s">
        <v>1807</v>
      </c>
      <c r="E535" s="1"/>
      <c r="F535" s="1" t="s">
        <v>34</v>
      </c>
      <c r="G535" s="2" t="s">
        <v>27</v>
      </c>
      <c r="H535" s="2" t="s">
        <v>1808</v>
      </c>
    </row>
    <row r="536" spans="1:8" ht="409.5" x14ac:dyDescent="0.25">
      <c r="A536" s="1" t="str">
        <f>HYPERLINK("https://www.albertahealthservices.ca/findhealth/Service.aspx?serviceAtFacilityId=1014515","School Health Program")</f>
        <v>School Health Program</v>
      </c>
      <c r="B536" s="1" t="s">
        <v>1711</v>
      </c>
      <c r="C536" s="2" t="s">
        <v>204</v>
      </c>
      <c r="D536" s="2" t="s">
        <v>1810</v>
      </c>
      <c r="E536" s="1"/>
      <c r="F536" s="1" t="s">
        <v>34</v>
      </c>
      <c r="G536" s="2" t="s">
        <v>199</v>
      </c>
      <c r="H536" s="2" t="s">
        <v>1811</v>
      </c>
    </row>
    <row r="537" spans="1:8" ht="270" x14ac:dyDescent="0.25">
      <c r="A537" s="1" t="str">
        <f>HYPERLINK("https://www.albertahealthservices.ca/findhealth/Service.aspx?serviceAtFacilityId=1107560","School Health Services")</f>
        <v>School Health Services</v>
      </c>
      <c r="B537" s="1" t="s">
        <v>1814</v>
      </c>
      <c r="C537" s="2" t="s">
        <v>641</v>
      </c>
      <c r="D537" s="2" t="s">
        <v>1812</v>
      </c>
      <c r="E537" s="1"/>
      <c r="F537" s="2" t="s">
        <v>638</v>
      </c>
      <c r="G537" s="2" t="s">
        <v>636</v>
      </c>
      <c r="H537" s="2" t="s">
        <v>1813</v>
      </c>
    </row>
    <row r="538" spans="1:8" ht="409.5" x14ac:dyDescent="0.25">
      <c r="A538" s="1" t="str">
        <f>HYPERLINK("https://www.albertahealthservices.ca/findhealth/Service.aspx?serviceAtFacilityId=1001820","Continuing Care Counselling")</f>
        <v>Continuing Care Counselling</v>
      </c>
      <c r="B538" s="1" t="s">
        <v>1817</v>
      </c>
      <c r="C538" s="2" t="s">
        <v>163</v>
      </c>
      <c r="D538" s="2" t="s">
        <v>1815</v>
      </c>
      <c r="E538" s="1"/>
      <c r="F538" s="2" t="s">
        <v>486</v>
      </c>
      <c r="G538" s="2" t="s">
        <v>158</v>
      </c>
      <c r="H538" s="2" t="s">
        <v>1816</v>
      </c>
    </row>
    <row r="539" spans="1:8" ht="409.5" x14ac:dyDescent="0.25">
      <c r="A539" s="1" t="str">
        <f>HYPERLINK("https://www.albertahealthservices.ca/findhealth/Service.aspx?serviceAtFacilityId=1102500","Eating Disorder Services")</f>
        <v>Eating Disorder Services</v>
      </c>
      <c r="B539" s="1" t="s">
        <v>840</v>
      </c>
      <c r="C539" s="2" t="s">
        <v>212</v>
      </c>
      <c r="D539" s="2" t="s">
        <v>1818</v>
      </c>
      <c r="E539" s="1"/>
      <c r="F539" s="1" t="s">
        <v>34</v>
      </c>
      <c r="G539" s="2" t="s">
        <v>209</v>
      </c>
      <c r="H539" s="2" t="s">
        <v>1819</v>
      </c>
    </row>
    <row r="540" spans="1:8" ht="409.5" x14ac:dyDescent="0.25">
      <c r="A540" s="1" t="str">
        <f>HYPERLINK("https://www.albertahealthservices.ca/findhealth/Service.aspx?serviceAtFacilityId=1109748","Provincial Family Violence Treatment Program")</f>
        <v>Provincial Family Violence Treatment Program</v>
      </c>
      <c r="B540" s="1" t="s">
        <v>1823</v>
      </c>
      <c r="C540" s="2" t="s">
        <v>232</v>
      </c>
      <c r="D540" s="2" t="s">
        <v>1820</v>
      </c>
      <c r="E540" s="1"/>
      <c r="F540" s="2" t="s">
        <v>1821</v>
      </c>
      <c r="G540" s="2" t="s">
        <v>227</v>
      </c>
      <c r="H540" s="2" t="s">
        <v>1822</v>
      </c>
    </row>
    <row r="541" spans="1:8" ht="409.5" x14ac:dyDescent="0.25">
      <c r="A541" s="1" t="str">
        <f>HYPERLINK("https://www.albertahealthservices.ca/findhealth/Service.aspx?serviceAtFacilityId=1119057","School Health Program")</f>
        <v>School Health Program</v>
      </c>
      <c r="B541" s="1" t="s">
        <v>77</v>
      </c>
      <c r="C541" s="2" t="s">
        <v>204</v>
      </c>
      <c r="D541" s="2" t="s">
        <v>1824</v>
      </c>
      <c r="E541" s="1"/>
      <c r="F541" s="2" t="s">
        <v>201</v>
      </c>
      <c r="G541" s="2" t="s">
        <v>199</v>
      </c>
      <c r="H541" s="2" t="s">
        <v>1825</v>
      </c>
    </row>
    <row r="542" spans="1:8" ht="405" x14ac:dyDescent="0.25">
      <c r="A542" s="1" t="str">
        <f>HYPERLINK("https://www.albertahealthservices.ca/findhealth/Service.aspx?serviceAtFacilityId=1110204","Community Addiction &amp; Mental Health - Adult &amp; Youth Services")</f>
        <v>Community Addiction &amp; Mental Health - Adult &amp; Youth Services</v>
      </c>
      <c r="B542" s="1" t="s">
        <v>1828</v>
      </c>
      <c r="C542" s="2" t="s">
        <v>133</v>
      </c>
      <c r="D542" s="2" t="s">
        <v>1826</v>
      </c>
      <c r="E542" s="1"/>
      <c r="F542" s="2" t="s">
        <v>311</v>
      </c>
      <c r="G542" s="2" t="s">
        <v>129</v>
      </c>
      <c r="H542" s="2" t="s">
        <v>1827</v>
      </c>
    </row>
    <row r="543" spans="1:8" ht="409.5" x14ac:dyDescent="0.25">
      <c r="A543" s="1" t="str">
        <f>HYPERLINK("https://www.albertahealthservices.ca/findhealth/Service.aspx?serviceAtFacilityId=1006101","Sexual Health Service")</f>
        <v>Sexual Health Service</v>
      </c>
      <c r="B543" s="1" t="s">
        <v>216</v>
      </c>
      <c r="C543" s="2" t="s">
        <v>1833</v>
      </c>
      <c r="D543" s="2" t="s">
        <v>1830</v>
      </c>
      <c r="E543" s="2" t="s">
        <v>1832</v>
      </c>
      <c r="F543" s="2" t="s">
        <v>1831</v>
      </c>
      <c r="G543" s="2" t="s">
        <v>1829</v>
      </c>
      <c r="H543" s="1"/>
    </row>
    <row r="544" spans="1:8" ht="270" x14ac:dyDescent="0.25">
      <c r="A544" s="1" t="str">
        <f>HYPERLINK("https://www.albertahealthservices.ca/findhealth/Service.aspx?serviceAtFacilityId=1104570","Designated Supportive Living Level 4 Dementia")</f>
        <v>Designated Supportive Living Level 4 Dementia</v>
      </c>
      <c r="B544" s="1" t="s">
        <v>1836</v>
      </c>
      <c r="C544" s="2" t="s">
        <v>31</v>
      </c>
      <c r="D544" s="2" t="s">
        <v>1834</v>
      </c>
      <c r="E544" s="1"/>
      <c r="F544" s="2" t="s">
        <v>23</v>
      </c>
      <c r="G544" s="2" t="s">
        <v>27</v>
      </c>
      <c r="H544" s="2" t="s">
        <v>1835</v>
      </c>
    </row>
    <row r="545" spans="1:8" ht="330" x14ac:dyDescent="0.25">
      <c r="A545" s="1" t="str">
        <f>HYPERLINK("https://www.albertahealthservices.ca/findhealth/Service.aspx?serviceAtFacilityId=1082207","Pastoral Care Services")</f>
        <v>Pastoral Care Services</v>
      </c>
      <c r="B545" s="1" t="s">
        <v>192</v>
      </c>
      <c r="C545" s="2" t="s">
        <v>423</v>
      </c>
      <c r="D545" s="2" t="s">
        <v>1837</v>
      </c>
      <c r="E545" s="1"/>
      <c r="F545" s="2" t="s">
        <v>1838</v>
      </c>
      <c r="G545" s="2" t="s">
        <v>419</v>
      </c>
      <c r="H545" s="2" t="s">
        <v>1839</v>
      </c>
    </row>
    <row r="546" spans="1:8" ht="375" x14ac:dyDescent="0.25">
      <c r="A546" s="1" t="str">
        <f>HYPERLINK("https://www.albertahealthservices.ca/findhealth/Service.aspx?serviceAtFacilityId=1076057","Sexual and Reproductive Health")</f>
        <v>Sexual and Reproductive Health</v>
      </c>
      <c r="B546" s="1" t="s">
        <v>1843</v>
      </c>
      <c r="C546" s="2" t="s">
        <v>351</v>
      </c>
      <c r="D546" s="2" t="s">
        <v>1840</v>
      </c>
      <c r="E546" s="1"/>
      <c r="F546" s="2" t="s">
        <v>1841</v>
      </c>
      <c r="G546" s="2" t="s">
        <v>346</v>
      </c>
      <c r="H546" s="2" t="s">
        <v>1842</v>
      </c>
    </row>
    <row r="547" spans="1:8" ht="409.5" x14ac:dyDescent="0.25">
      <c r="A547" s="1" t="str">
        <f>HYPERLINK("https://www.albertahealthservices.ca/findhealth/Service.aspx?serviceAtFacilityId=1004624","Continuing Care Counselling")</f>
        <v>Continuing Care Counselling</v>
      </c>
      <c r="B547" s="1" t="s">
        <v>492</v>
      </c>
      <c r="C547" s="2" t="s">
        <v>163</v>
      </c>
      <c r="D547" s="2" t="s">
        <v>1844</v>
      </c>
      <c r="E547" s="1"/>
      <c r="F547" s="2" t="s">
        <v>160</v>
      </c>
      <c r="G547" s="2" t="s">
        <v>158</v>
      </c>
      <c r="H547" s="2" t="s">
        <v>1845</v>
      </c>
    </row>
    <row r="548" spans="1:8" ht="409.5" x14ac:dyDescent="0.25">
      <c r="A548" s="1" t="str">
        <f>HYPERLINK("https://www.albertahealthservices.ca/findhealth/Service.aspx?serviceAtFacilityId=1119069","School Health Program")</f>
        <v>School Health Program</v>
      </c>
      <c r="B548" s="1" t="s">
        <v>397</v>
      </c>
      <c r="C548" s="2" t="s">
        <v>204</v>
      </c>
      <c r="D548" s="2" t="s">
        <v>1846</v>
      </c>
      <c r="E548" s="1"/>
      <c r="F548" s="2" t="s">
        <v>201</v>
      </c>
      <c r="G548" s="2" t="s">
        <v>199</v>
      </c>
      <c r="H548" s="2" t="s">
        <v>1847</v>
      </c>
    </row>
    <row r="549" spans="1:8" ht="409.5" x14ac:dyDescent="0.25">
      <c r="A549" s="1" t="str">
        <f>HYPERLINK("https://www.albertahealthservices.ca/findhealth/Service.aspx?serviceAtFacilityId=1108513","Provincial Family Violence Treatment Program")</f>
        <v>Provincial Family Violence Treatment Program</v>
      </c>
      <c r="B549" s="1" t="s">
        <v>815</v>
      </c>
      <c r="C549" s="2" t="s">
        <v>232</v>
      </c>
      <c r="D549" s="2" t="s">
        <v>1848</v>
      </c>
      <c r="E549" s="1"/>
      <c r="F549" s="2" t="s">
        <v>1849</v>
      </c>
      <c r="G549" s="2" t="s">
        <v>227</v>
      </c>
      <c r="H549" s="2" t="s">
        <v>1850</v>
      </c>
    </row>
    <row r="550" spans="1:8" ht="180" x14ac:dyDescent="0.25">
      <c r="A550" s="1" t="str">
        <f>HYPERLINK("https://www.albertahealthservices.ca/findhealth/Service.aspx?serviceAtFacilityId=1117933","Family Connections - Skill Development")</f>
        <v>Family Connections - Skill Development</v>
      </c>
      <c r="B550" s="1" t="s">
        <v>1854</v>
      </c>
      <c r="C550" s="2" t="s">
        <v>302</v>
      </c>
      <c r="D550" s="2" t="s">
        <v>1851</v>
      </c>
      <c r="E550" s="2" t="s">
        <v>299</v>
      </c>
      <c r="F550" s="2" t="s">
        <v>1852</v>
      </c>
      <c r="G550" s="2" t="s">
        <v>296</v>
      </c>
      <c r="H550" s="2" t="s">
        <v>1853</v>
      </c>
    </row>
    <row r="551" spans="1:8" ht="300" x14ac:dyDescent="0.25">
      <c r="A551" s="1" t="str">
        <f>HYPERLINK("https://www.albertahealthservices.ca/findhealth/Service.aspx?serviceAtFacilityId=1111937","Addiction and Mental Health - Housing Outreach and Stabilization Services, Adult")</f>
        <v>Addiction and Mental Health - Housing Outreach and Stabilization Services, Adult</v>
      </c>
      <c r="B551" s="1" t="s">
        <v>221</v>
      </c>
      <c r="C551" s="2" t="s">
        <v>1859</v>
      </c>
      <c r="D551" s="2" t="s">
        <v>1856</v>
      </c>
      <c r="E551" s="2" t="s">
        <v>1858</v>
      </c>
      <c r="F551" s="2" t="s">
        <v>1857</v>
      </c>
      <c r="G551" s="2" t="s">
        <v>1855</v>
      </c>
      <c r="H551" s="1"/>
    </row>
    <row r="552" spans="1:8" ht="409.5" x14ac:dyDescent="0.25">
      <c r="A552" s="1" t="str">
        <f>HYPERLINK("https://www.albertahealthservices.ca/findhealth/Service.aspx?serviceAtFacilityId=1040568","Eating Disorder Services")</f>
        <v>Eating Disorder Services</v>
      </c>
      <c r="B552" s="1" t="s">
        <v>124</v>
      </c>
      <c r="C552" s="2" t="s">
        <v>212</v>
      </c>
      <c r="D552" s="2" t="s">
        <v>1860</v>
      </c>
      <c r="E552" s="1"/>
      <c r="F552" s="2" t="s">
        <v>1861</v>
      </c>
      <c r="G552" s="2" t="s">
        <v>209</v>
      </c>
      <c r="H552" s="2" t="s">
        <v>1862</v>
      </c>
    </row>
    <row r="553" spans="1:8" ht="120" x14ac:dyDescent="0.25">
      <c r="A553" s="1" t="str">
        <f>HYPERLINK("https://www.albertahealthservices.ca/findhealth/Service.aspx?serviceAtFacilityId=1110634","Child Abuse Services")</f>
        <v>Child Abuse Services</v>
      </c>
      <c r="B553" s="1" t="s">
        <v>1865</v>
      </c>
      <c r="C553" s="2" t="s">
        <v>1866</v>
      </c>
      <c r="D553" s="2" t="s">
        <v>1864</v>
      </c>
      <c r="E553" s="1"/>
      <c r="F553" s="2" t="s">
        <v>311</v>
      </c>
      <c r="G553" s="2" t="s">
        <v>1863</v>
      </c>
      <c r="H553" s="1"/>
    </row>
    <row r="554" spans="1:8" ht="409.5" x14ac:dyDescent="0.25">
      <c r="A554" s="1" t="str">
        <f>HYPERLINK("https://www.albertahealthservices.ca/findhealth/Service.aspx?serviceAtFacilityId=1082249","Therapeutic Recreation Services")</f>
        <v>Therapeutic Recreation Services</v>
      </c>
      <c r="B554" s="1" t="s">
        <v>188</v>
      </c>
      <c r="C554" s="2" t="s">
        <v>37</v>
      </c>
      <c r="D554" s="2" t="s">
        <v>1867</v>
      </c>
      <c r="E554" s="1"/>
      <c r="F554" s="1" t="s">
        <v>34</v>
      </c>
      <c r="G554" s="2" t="s">
        <v>32</v>
      </c>
      <c r="H554" s="2" t="s">
        <v>1868</v>
      </c>
    </row>
    <row r="555" spans="1:8" ht="409.5" x14ac:dyDescent="0.25">
      <c r="A555" s="1" t="str">
        <f>HYPERLINK("https://www.albertahealthservices.ca/findhealth/Service.aspx?serviceAtFacilityId=1102315","Adult Mental Health Treatment Services")</f>
        <v>Adult Mental Health Treatment Services</v>
      </c>
      <c r="B555" s="1" t="s">
        <v>448</v>
      </c>
      <c r="C555" s="2" t="s">
        <v>125</v>
      </c>
      <c r="D555" s="2" t="s">
        <v>1869</v>
      </c>
      <c r="E555" s="1"/>
      <c r="F555" s="1" t="s">
        <v>34</v>
      </c>
      <c r="G555" s="2" t="s">
        <v>121</v>
      </c>
      <c r="H555" s="2" t="s">
        <v>1870</v>
      </c>
    </row>
    <row r="556" spans="1:8" ht="105" x14ac:dyDescent="0.25">
      <c r="A556" s="1" t="str">
        <f>HYPERLINK("https://www.albertahealthservices.ca/findhealth/Service.aspx?serviceAtFacilityId=1013061","Child and Adolescent Inpatient Mental Health Services")</f>
        <v>Child and Adolescent Inpatient Mental Health Services</v>
      </c>
      <c r="B556" s="1" t="s">
        <v>301</v>
      </c>
      <c r="C556" s="2" t="s">
        <v>1874</v>
      </c>
      <c r="D556" s="2" t="s">
        <v>1872</v>
      </c>
      <c r="E556" s="1"/>
      <c r="F556" s="2" t="s">
        <v>1873</v>
      </c>
      <c r="G556" s="2" t="s">
        <v>1871</v>
      </c>
      <c r="H556" s="1"/>
    </row>
    <row r="557" spans="1:8" ht="390" x14ac:dyDescent="0.25">
      <c r="A557" s="1" t="str">
        <f>HYPERLINK("https://www.albertahealthservices.ca/findhealth/Service.aspx?serviceAtFacilityId=1104586","Designated Supportive Living Level 4 Dementia")</f>
        <v>Designated Supportive Living Level 4 Dementia</v>
      </c>
      <c r="B557" s="1" t="s">
        <v>1877</v>
      </c>
      <c r="C557" s="2" t="s">
        <v>31</v>
      </c>
      <c r="D557" s="2" t="s">
        <v>1875</v>
      </c>
      <c r="E557" s="1"/>
      <c r="F557" s="2" t="s">
        <v>23</v>
      </c>
      <c r="G557" s="2" t="s">
        <v>52</v>
      </c>
      <c r="H557" s="2" t="s">
        <v>1876</v>
      </c>
    </row>
    <row r="558" spans="1:8" ht="390" x14ac:dyDescent="0.25">
      <c r="A558" s="1" t="str">
        <f>HYPERLINK("https://www.albertahealthservices.ca/findhealth/Service.aspx?serviceAtFacilityId=1102361","Children's Mental Health Treatment Services")</f>
        <v>Children's Mental Health Treatment Services</v>
      </c>
      <c r="B558" s="1" t="s">
        <v>855</v>
      </c>
      <c r="C558" s="2" t="s">
        <v>84</v>
      </c>
      <c r="D558" s="2" t="s">
        <v>1236</v>
      </c>
      <c r="E558" s="2" t="s">
        <v>82</v>
      </c>
      <c r="F558" s="2" t="s">
        <v>716</v>
      </c>
      <c r="G558" s="2" t="s">
        <v>79</v>
      </c>
      <c r="H558" s="2" t="s">
        <v>1878</v>
      </c>
    </row>
    <row r="559" spans="1:8" ht="180" x14ac:dyDescent="0.25">
      <c r="A559" s="1" t="str">
        <f>HYPERLINK("https://www.albertahealthservices.ca/findhealth/Service.aspx?serviceAtFacilityId=1107155","Corrections Transition Team")</f>
        <v>Corrections Transition Team</v>
      </c>
      <c r="B559" s="1" t="s">
        <v>847</v>
      </c>
      <c r="C559" s="2" t="s">
        <v>1881</v>
      </c>
      <c r="D559" s="2" t="s">
        <v>1880</v>
      </c>
      <c r="E559" s="1"/>
      <c r="F559" s="2" t="s">
        <v>190</v>
      </c>
      <c r="G559" s="2" t="s">
        <v>1879</v>
      </c>
      <c r="H559" s="1"/>
    </row>
    <row r="560" spans="1:8" ht="375" x14ac:dyDescent="0.25">
      <c r="A560" s="1" t="str">
        <f>HYPERLINK("https://www.albertahealthservices.ca/findhealth/Service.aspx?serviceAtFacilityId=1102329","Mental Health Information, Promotion and Prevention")</f>
        <v>Mental Health Information, Promotion and Prevention</v>
      </c>
      <c r="B560" s="1" t="s">
        <v>1001</v>
      </c>
      <c r="C560" s="2" t="s">
        <v>20</v>
      </c>
      <c r="D560" s="2" t="s">
        <v>1882</v>
      </c>
      <c r="E560" s="2" t="s">
        <v>17</v>
      </c>
      <c r="F560" s="1" t="s">
        <v>34</v>
      </c>
      <c r="G560" s="2" t="s">
        <v>14</v>
      </c>
      <c r="H560" s="2" t="s">
        <v>1883</v>
      </c>
    </row>
    <row r="561" spans="1:8" ht="195" x14ac:dyDescent="0.25">
      <c r="A561" s="1" t="str">
        <f>HYPERLINK("https://www.albertahealthservices.ca/findhealth/Service.aspx?serviceAtFacilityId=1107208","Building Blocks")</f>
        <v>Building Blocks</v>
      </c>
      <c r="B561" s="1" t="s">
        <v>1792</v>
      </c>
      <c r="C561" s="2" t="s">
        <v>991</v>
      </c>
      <c r="D561" s="2" t="s">
        <v>1884</v>
      </c>
      <c r="E561" s="2" t="s">
        <v>988</v>
      </c>
      <c r="F561" s="2" t="s">
        <v>1885</v>
      </c>
      <c r="G561" s="2" t="s">
        <v>985</v>
      </c>
      <c r="H561" s="2" t="s">
        <v>1886</v>
      </c>
    </row>
    <row r="562" spans="1:8" ht="180" x14ac:dyDescent="0.25">
      <c r="A562" s="1" t="str">
        <f>HYPERLINK("https://www.albertahealthservices.ca/findhealth/Service.aspx?serviceAtFacilityId=1114615","Shared Mental Health Care Program")</f>
        <v>Shared Mental Health Care Program</v>
      </c>
      <c r="B562" s="1" t="s">
        <v>1265</v>
      </c>
      <c r="C562" s="2" t="s">
        <v>1889</v>
      </c>
      <c r="D562" s="2" t="s">
        <v>1888</v>
      </c>
      <c r="E562" s="1"/>
      <c r="F562" s="2" t="s">
        <v>311</v>
      </c>
      <c r="G562" s="2" t="s">
        <v>1887</v>
      </c>
      <c r="H562" s="1"/>
    </row>
    <row r="563" spans="1:8" ht="390" x14ac:dyDescent="0.25">
      <c r="A563" s="1" t="str">
        <f>HYPERLINK("https://www.albertahealthservices.ca/findhealth/Service.aspx?serviceAtFacilityId=1111311","Children's Mental Health Treatment Services")</f>
        <v>Children's Mental Health Treatment Services</v>
      </c>
      <c r="B563" s="1" t="s">
        <v>330</v>
      </c>
      <c r="C563" s="2" t="s">
        <v>84</v>
      </c>
      <c r="D563" s="2" t="s">
        <v>624</v>
      </c>
      <c r="E563" s="2" t="s">
        <v>82</v>
      </c>
      <c r="F563" s="2" t="s">
        <v>1890</v>
      </c>
      <c r="G563" s="2" t="s">
        <v>79</v>
      </c>
      <c r="H563" s="2" t="s">
        <v>1891</v>
      </c>
    </row>
    <row r="564" spans="1:8" ht="255" x14ac:dyDescent="0.25">
      <c r="A564" s="1" t="str">
        <f>HYPERLINK("https://www.albertahealthservices.ca/findhealth/Service.aspx?serviceAtFacilityId=1048567","Addiction and Mental Health - Adult and Youth Intake")</f>
        <v>Addiction and Mental Health - Adult and Youth Intake</v>
      </c>
      <c r="B564" s="1" t="s">
        <v>860</v>
      </c>
      <c r="C564" s="2" t="s">
        <v>78</v>
      </c>
      <c r="D564" s="2" t="s">
        <v>1892</v>
      </c>
      <c r="E564" s="1"/>
      <c r="F564" s="2" t="s">
        <v>1893</v>
      </c>
      <c r="G564" s="2" t="s">
        <v>73</v>
      </c>
      <c r="H564" s="2" t="s">
        <v>1894</v>
      </c>
    </row>
    <row r="565" spans="1:8" ht="345" x14ac:dyDescent="0.25">
      <c r="A565" s="1" t="str">
        <f>HYPERLINK("https://www.albertahealthservices.ca/findhealth/Service.aspx?serviceAtFacilityId=1104493","Designated Supportive Living Level 4 Dementia")</f>
        <v>Designated Supportive Living Level 4 Dementia</v>
      </c>
      <c r="B565" s="1" t="s">
        <v>1897</v>
      </c>
      <c r="C565" s="2" t="s">
        <v>31</v>
      </c>
      <c r="D565" s="2" t="s">
        <v>1895</v>
      </c>
      <c r="E565" s="1"/>
      <c r="F565" s="2" t="s">
        <v>23</v>
      </c>
      <c r="G565" s="2" t="s">
        <v>182</v>
      </c>
      <c r="H565" s="2" t="s">
        <v>1896</v>
      </c>
    </row>
    <row r="566" spans="1:8" ht="105" x14ac:dyDescent="0.25">
      <c r="A566" s="1" t="str">
        <f>HYPERLINK("https://www.albertahealthservices.ca/findhealth/Service.aspx?serviceAtFacilityId=1116501","CONeX")</f>
        <v>CONeX</v>
      </c>
      <c r="B566" s="1" t="s">
        <v>1265</v>
      </c>
      <c r="C566" s="2" t="s">
        <v>1901</v>
      </c>
      <c r="D566" s="2" t="s">
        <v>1899</v>
      </c>
      <c r="E566" s="2" t="s">
        <v>1900</v>
      </c>
      <c r="F566" s="2" t="s">
        <v>117</v>
      </c>
      <c r="G566" s="2" t="s">
        <v>1898</v>
      </c>
      <c r="H566" s="1"/>
    </row>
    <row r="567" spans="1:8" ht="225" x14ac:dyDescent="0.25">
      <c r="A567" s="1" t="str">
        <f>HYPERLINK("https://www.albertahealthservices.ca/findhealth/Service.aspx?serviceAtFacilityId=1111327","Addiction and Mental Health - Suburban Community Assessment and Treatment Services, Adult")</f>
        <v>Addiction and Mental Health - Suburban Community Assessment and Treatment Services, Adult</v>
      </c>
      <c r="B567" s="1" t="s">
        <v>1380</v>
      </c>
      <c r="C567" s="2" t="s">
        <v>145</v>
      </c>
      <c r="D567" s="2" t="s">
        <v>1902</v>
      </c>
      <c r="E567" s="1"/>
      <c r="F567" s="2" t="s">
        <v>142</v>
      </c>
      <c r="G567" s="2" t="s">
        <v>140</v>
      </c>
      <c r="H567" s="2" t="s">
        <v>1903</v>
      </c>
    </row>
    <row r="568" spans="1:8" ht="135" x14ac:dyDescent="0.25">
      <c r="A568" s="1" t="str">
        <f>HYPERLINK("https://www.albertahealthservices.ca/findhealth/Service.aspx?serviceAtFacilityId=1103604","Mental Health Diversion Services")</f>
        <v>Mental Health Diversion Services</v>
      </c>
      <c r="B568" s="1" t="s">
        <v>242</v>
      </c>
      <c r="C568" s="2" t="s">
        <v>244</v>
      </c>
      <c r="D568" s="2" t="s">
        <v>1904</v>
      </c>
      <c r="E568" s="1"/>
      <c r="F568" s="2" t="s">
        <v>190</v>
      </c>
      <c r="G568" s="2" t="s">
        <v>239</v>
      </c>
      <c r="H568" s="1" t="s">
        <v>243</v>
      </c>
    </row>
    <row r="569" spans="1:8" ht="409.5" x14ac:dyDescent="0.25">
      <c r="A569" s="1" t="str">
        <f>HYPERLINK("https://www.albertahealthservices.ca/findhealth/Service.aspx?serviceAtFacilityId=1004630","Continuing Care Counselling")</f>
        <v>Continuing Care Counselling</v>
      </c>
      <c r="B569" s="1" t="s">
        <v>1907</v>
      </c>
      <c r="C569" s="2" t="s">
        <v>163</v>
      </c>
      <c r="D569" s="2" t="s">
        <v>1905</v>
      </c>
      <c r="E569" s="1"/>
      <c r="F569" s="2" t="s">
        <v>160</v>
      </c>
      <c r="G569" s="2" t="s">
        <v>158</v>
      </c>
      <c r="H569" s="2" t="s">
        <v>1906</v>
      </c>
    </row>
    <row r="570" spans="1:8" ht="180" x14ac:dyDescent="0.25">
      <c r="A570" s="1" t="str">
        <f>HYPERLINK("https://www.albertahealthservices.ca/findhealth/Service.aspx?serviceAtFacilityId=1102404","Calgary and Area Regional Collaborative Service Delivery School-Based Mental Health Services")</f>
        <v>Calgary and Area Regional Collaborative Service Delivery School-Based Mental Health Services</v>
      </c>
      <c r="B570" s="1" t="s">
        <v>1912</v>
      </c>
      <c r="C570" s="2" t="s">
        <v>1913</v>
      </c>
      <c r="D570" s="2" t="s">
        <v>1909</v>
      </c>
      <c r="E570" s="2" t="s">
        <v>1911</v>
      </c>
      <c r="F570" s="2" t="s">
        <v>1910</v>
      </c>
      <c r="G570" s="2" t="s">
        <v>1908</v>
      </c>
      <c r="H570" s="1"/>
    </row>
    <row r="571" spans="1:8" ht="409.5" x14ac:dyDescent="0.25">
      <c r="A571" s="1" t="str">
        <f>HYPERLINK("https://www.albertahealthservices.ca/findhealth/Service.aspx?serviceAtFacilityId=1046566","Therapeutic Recreation Services")</f>
        <v>Therapeutic Recreation Services</v>
      </c>
      <c r="B571" s="1" t="s">
        <v>1916</v>
      </c>
      <c r="C571" s="2" t="s">
        <v>37</v>
      </c>
      <c r="D571" s="2" t="s">
        <v>1914</v>
      </c>
      <c r="E571" s="1"/>
      <c r="F571" s="1" t="s">
        <v>34</v>
      </c>
      <c r="G571" s="2" t="s">
        <v>32</v>
      </c>
      <c r="H571" s="2" t="s">
        <v>1915</v>
      </c>
    </row>
    <row r="572" spans="1:8" ht="409.5" x14ac:dyDescent="0.25">
      <c r="A572" s="1" t="str">
        <f>HYPERLINK("https://www.albertahealthservices.ca/findhealth/Service.aspx?serviceAtFacilityId=1094270","Eating Disorder Services")</f>
        <v>Eating Disorder Services</v>
      </c>
      <c r="B572" s="1" t="s">
        <v>113</v>
      </c>
      <c r="C572" s="2" t="s">
        <v>212</v>
      </c>
      <c r="D572" s="2" t="s">
        <v>1917</v>
      </c>
      <c r="E572" s="1"/>
      <c r="F572" s="2" t="s">
        <v>1918</v>
      </c>
      <c r="G572" s="2" t="s">
        <v>209</v>
      </c>
      <c r="H572" s="2" t="s">
        <v>1919</v>
      </c>
    </row>
    <row r="573" spans="1:8" ht="345" x14ac:dyDescent="0.25">
      <c r="A573" s="1" t="str">
        <f>HYPERLINK("https://www.albertahealthservices.ca/findhealth/Service.aspx?serviceAtFacilityId=1104499","Designated Supportive Living Level 4 Dementia")</f>
        <v>Designated Supportive Living Level 4 Dementia</v>
      </c>
      <c r="B573" s="1" t="s">
        <v>1922</v>
      </c>
      <c r="C573" s="2" t="s">
        <v>31</v>
      </c>
      <c r="D573" s="2" t="s">
        <v>1920</v>
      </c>
      <c r="E573" s="1"/>
      <c r="F573" s="2" t="s">
        <v>23</v>
      </c>
      <c r="G573" s="2" t="s">
        <v>182</v>
      </c>
      <c r="H573" s="2" t="s">
        <v>1921</v>
      </c>
    </row>
    <row r="574" spans="1:8" ht="195" x14ac:dyDescent="0.25">
      <c r="A574" s="1" t="str">
        <f>HYPERLINK("https://www.albertahealthservices.ca/findhealth/Service.aspx?serviceAtFacilityId=1120385","Mental Health Intake")</f>
        <v>Mental Health Intake</v>
      </c>
      <c r="B574" s="1" t="s">
        <v>1925</v>
      </c>
      <c r="C574" s="2" t="s">
        <v>856</v>
      </c>
      <c r="D574" s="2" t="s">
        <v>1923</v>
      </c>
      <c r="E574" s="1"/>
      <c r="F574" s="2" t="s">
        <v>311</v>
      </c>
      <c r="G574" s="2" t="s">
        <v>852</v>
      </c>
      <c r="H574" s="2" t="s">
        <v>1924</v>
      </c>
    </row>
    <row r="575" spans="1:8" ht="225" x14ac:dyDescent="0.25">
      <c r="A575" s="1" t="str">
        <f>HYPERLINK("https://www.albertahealthservices.ca/findhealth/Service.aspx?serviceAtFacilityId=1102430","Psychogeriatric Consultation")</f>
        <v>Psychogeriatric Consultation</v>
      </c>
      <c r="B575" s="1" t="s">
        <v>394</v>
      </c>
      <c r="C575" s="2" t="s">
        <v>66</v>
      </c>
      <c r="D575" s="2" t="s">
        <v>391</v>
      </c>
      <c r="E575" s="1"/>
      <c r="F575" s="1" t="s">
        <v>34</v>
      </c>
      <c r="G575" s="2" t="s">
        <v>62</v>
      </c>
      <c r="H575" s="2" t="s">
        <v>1926</v>
      </c>
    </row>
    <row r="576" spans="1:8" ht="240" x14ac:dyDescent="0.25">
      <c r="A576" s="1" t="str">
        <f>HYPERLINK("https://www.albertahealthservices.ca/findhealth/Service.aspx?serviceAtFacilityId=1043254","CHOICE")</f>
        <v>CHOICE</v>
      </c>
      <c r="B576" s="1" t="s">
        <v>1929</v>
      </c>
      <c r="C576" s="2" t="s">
        <v>701</v>
      </c>
      <c r="D576" s="2" t="s">
        <v>1927</v>
      </c>
      <c r="E576" s="1"/>
      <c r="F576" s="1" t="s">
        <v>34</v>
      </c>
      <c r="G576" s="2" t="s">
        <v>697</v>
      </c>
      <c r="H576" s="2" t="s">
        <v>1928</v>
      </c>
    </row>
    <row r="577" spans="1:8" ht="390" x14ac:dyDescent="0.25">
      <c r="A577" s="1" t="str">
        <f>HYPERLINK("https://www.albertahealthservices.ca/findhealth/Service.aspx?serviceAtFacilityId=1104668","Designated Supportive Living Level 4 Dementia")</f>
        <v>Designated Supportive Living Level 4 Dementia</v>
      </c>
      <c r="B577" s="1" t="s">
        <v>1932</v>
      </c>
      <c r="C577" s="2" t="s">
        <v>31</v>
      </c>
      <c r="D577" s="2" t="s">
        <v>1930</v>
      </c>
      <c r="E577" s="1"/>
      <c r="F577" s="2" t="s">
        <v>23</v>
      </c>
      <c r="G577" s="2" t="s">
        <v>52</v>
      </c>
      <c r="H577" s="2" t="s">
        <v>1931</v>
      </c>
    </row>
    <row r="578" spans="1:8" ht="409.5" x14ac:dyDescent="0.25">
      <c r="A578" s="1" t="str">
        <f>HYPERLINK("https://www.albertahealthservices.ca/findhealth/Service.aspx?serviceAtFacilityId=1118991","School Health Program")</f>
        <v>School Health Program</v>
      </c>
      <c r="B578" s="1" t="s">
        <v>342</v>
      </c>
      <c r="C578" s="2" t="s">
        <v>204</v>
      </c>
      <c r="D578" s="2" t="s">
        <v>1933</v>
      </c>
      <c r="E578" s="1"/>
      <c r="F578" s="2" t="s">
        <v>201</v>
      </c>
      <c r="G578" s="2" t="s">
        <v>199</v>
      </c>
      <c r="H578" s="2" t="s">
        <v>1934</v>
      </c>
    </row>
    <row r="579" spans="1:8" ht="409.5" x14ac:dyDescent="0.25">
      <c r="A579" s="1" t="str">
        <f>HYPERLINK("https://www.albertahealthservices.ca/findhealth/Service.aspx?serviceAtFacilityId=1119052","School Health Program")</f>
        <v>School Health Program</v>
      </c>
      <c r="B579" s="1" t="s">
        <v>1937</v>
      </c>
      <c r="C579" s="2" t="s">
        <v>204</v>
      </c>
      <c r="D579" s="2" t="s">
        <v>1935</v>
      </c>
      <c r="E579" s="1"/>
      <c r="F579" s="2" t="s">
        <v>201</v>
      </c>
      <c r="G579" s="2" t="s">
        <v>199</v>
      </c>
      <c r="H579" s="2" t="s">
        <v>1936</v>
      </c>
    </row>
    <row r="580" spans="1:8" ht="409.5" x14ac:dyDescent="0.25">
      <c r="A580" s="1" t="str">
        <f>HYPERLINK("https://www.albertahealthservices.ca/findhealth/Service.aspx?serviceAtFacilityId=1096818","Eating Disorder Services")</f>
        <v>Eating Disorder Services</v>
      </c>
      <c r="B580" s="1" t="s">
        <v>660</v>
      </c>
      <c r="C580" s="2" t="s">
        <v>212</v>
      </c>
      <c r="D580" s="2" t="s">
        <v>1938</v>
      </c>
      <c r="E580" s="1"/>
      <c r="F580" s="2" t="s">
        <v>201</v>
      </c>
      <c r="G580" s="2" t="s">
        <v>209</v>
      </c>
      <c r="H580" s="2" t="s">
        <v>1939</v>
      </c>
    </row>
    <row r="581" spans="1:8" ht="180" x14ac:dyDescent="0.25">
      <c r="A581" s="1" t="str">
        <f>HYPERLINK("https://www.albertahealthservices.ca/findhealth/Service.aspx?serviceAtFacilityId=1120309","Community Mental Health Service")</f>
        <v>Community Mental Health Service</v>
      </c>
      <c r="B581" s="1" t="s">
        <v>1943</v>
      </c>
      <c r="C581" s="2" t="s">
        <v>313</v>
      </c>
      <c r="D581" s="2" t="s">
        <v>1940</v>
      </c>
      <c r="E581" s="1"/>
      <c r="F581" s="2" t="s">
        <v>1941</v>
      </c>
      <c r="G581" s="2" t="s">
        <v>309</v>
      </c>
      <c r="H581" s="2" t="s">
        <v>1942</v>
      </c>
    </row>
    <row r="582" spans="1:8" ht="120" x14ac:dyDescent="0.25">
      <c r="A582" s="1" t="str">
        <f>HYPERLINK("https://www.albertahealthservices.ca/findhealth/Service.aspx?serviceAtFacilityId=1112831","Addiction and Mental Health - Community Services, Child and Adolescent")</f>
        <v>Addiction and Mental Health - Community Services, Child and Adolescent</v>
      </c>
      <c r="B582" s="1" t="s">
        <v>575</v>
      </c>
      <c r="C582" s="2" t="s">
        <v>292</v>
      </c>
      <c r="D582" s="2" t="s">
        <v>1944</v>
      </c>
      <c r="E582" s="2" t="s">
        <v>289</v>
      </c>
      <c r="F582" s="1" t="s">
        <v>34</v>
      </c>
      <c r="G582" s="2" t="s">
        <v>286</v>
      </c>
      <c r="H582" s="2" t="s">
        <v>1945</v>
      </c>
    </row>
    <row r="583" spans="1:8" ht="375" x14ac:dyDescent="0.25">
      <c r="A583" s="1" t="str">
        <f>HYPERLINK("https://www.albertahealthservices.ca/findhealth/Service.aspx?serviceAtFacilityId=1107757","Mental Health Information, Promotion and Prevention")</f>
        <v>Mental Health Information, Promotion and Prevention</v>
      </c>
      <c r="B583" s="1" t="s">
        <v>718</v>
      </c>
      <c r="C583" s="2" t="s">
        <v>20</v>
      </c>
      <c r="D583" s="2" t="s">
        <v>1946</v>
      </c>
      <c r="E583" s="2" t="s">
        <v>17</v>
      </c>
      <c r="F583" s="2" t="s">
        <v>716</v>
      </c>
      <c r="G583" s="2" t="s">
        <v>14</v>
      </c>
      <c r="H583" s="2" t="s">
        <v>1947</v>
      </c>
    </row>
    <row r="584" spans="1:8" ht="210" x14ac:dyDescent="0.25">
      <c r="A584" s="1" t="str">
        <f>HYPERLINK("https://www.albertahealthservices.ca/findhealth/Service.aspx?serviceAtFacilityId=1102661","Therapeutic Recreation - Community &amp; Outpatient")</f>
        <v>Therapeutic Recreation - Community &amp; Outpatient</v>
      </c>
      <c r="B584" s="1" t="s">
        <v>874</v>
      </c>
      <c r="C584" s="2" t="s">
        <v>524</v>
      </c>
      <c r="D584" s="2" t="s">
        <v>1948</v>
      </c>
      <c r="E584" s="1"/>
      <c r="F584" s="2" t="s">
        <v>201</v>
      </c>
      <c r="G584" s="2" t="s">
        <v>520</v>
      </c>
      <c r="H584" s="2" t="s">
        <v>1949</v>
      </c>
    </row>
    <row r="585" spans="1:8" ht="135" x14ac:dyDescent="0.25">
      <c r="A585" s="1" t="str">
        <f>HYPERLINK("https://www.albertahealthservices.ca/findhealth/Service.aspx?serviceAtFacilityId=1075876","Family Caregiver Centre")</f>
        <v>Family Caregiver Centre</v>
      </c>
      <c r="B585" s="1" t="s">
        <v>374</v>
      </c>
      <c r="C585" s="2" t="s">
        <v>1953</v>
      </c>
      <c r="D585" s="2" t="s">
        <v>1951</v>
      </c>
      <c r="E585" s="1"/>
      <c r="F585" s="2" t="s">
        <v>1952</v>
      </c>
      <c r="G585" s="2" t="s">
        <v>1950</v>
      </c>
      <c r="H585" s="1"/>
    </row>
    <row r="586" spans="1:8" ht="165" x14ac:dyDescent="0.25">
      <c r="A586" s="1" t="str">
        <f>HYPERLINK("https://www.albertahealthservices.ca/findhealth/Service.aspx?serviceAtFacilityId=1111304","Addiction and Mental Health - Community Services, Child and Adolescent")</f>
        <v>Addiction and Mental Health - Community Services, Child and Adolescent</v>
      </c>
      <c r="B586" s="1" t="s">
        <v>646</v>
      </c>
      <c r="C586" s="2" t="s">
        <v>292</v>
      </c>
      <c r="D586" s="2" t="s">
        <v>1954</v>
      </c>
      <c r="E586" s="2" t="s">
        <v>289</v>
      </c>
      <c r="F586" s="2" t="s">
        <v>288</v>
      </c>
      <c r="G586" s="2" t="s">
        <v>286</v>
      </c>
      <c r="H586" s="2" t="s">
        <v>1955</v>
      </c>
    </row>
    <row r="587" spans="1:8" ht="180" x14ac:dyDescent="0.25">
      <c r="A587" s="1" t="str">
        <f>HYPERLINK("https://www.albertahealthservices.ca/findhealth/Service.aspx?serviceAtFacilityId=1102262","Addiction and Mental Health - Outpatient Counseling Services, Adult")</f>
        <v>Addiction and Mental Health - Outpatient Counseling Services, Adult</v>
      </c>
      <c r="B587" s="1" t="s">
        <v>1049</v>
      </c>
      <c r="C587" s="2" t="s">
        <v>576</v>
      </c>
      <c r="D587" s="2" t="s">
        <v>1956</v>
      </c>
      <c r="E587" s="1"/>
      <c r="F587" s="2" t="s">
        <v>1957</v>
      </c>
      <c r="G587" s="2" t="s">
        <v>571</v>
      </c>
      <c r="H587" s="2" t="s">
        <v>1958</v>
      </c>
    </row>
    <row r="588" spans="1:8" ht="390" x14ac:dyDescent="0.25">
      <c r="A588" s="1" t="str">
        <f>HYPERLINK("https://www.albertahealthservices.ca/findhealth/Service.aspx?serviceAtFacilityId=1104592","Designated Supportive Living Level 4 Dementia")</f>
        <v>Designated Supportive Living Level 4 Dementia</v>
      </c>
      <c r="B588" s="1" t="s">
        <v>1961</v>
      </c>
      <c r="C588" s="2" t="s">
        <v>31</v>
      </c>
      <c r="D588" s="2" t="s">
        <v>1959</v>
      </c>
      <c r="E588" s="1"/>
      <c r="F588" s="2" t="s">
        <v>23</v>
      </c>
      <c r="G588" s="2" t="s">
        <v>52</v>
      </c>
      <c r="H588" s="2" t="s">
        <v>1960</v>
      </c>
    </row>
    <row r="589" spans="1:8" ht="409.5" x14ac:dyDescent="0.25">
      <c r="A589" s="1" t="str">
        <f>HYPERLINK("https://www.albertahealthservices.ca/findhealth/Service.aspx?serviceAtFacilityId=1102309","Adult Mental Health Treatment Services")</f>
        <v>Adult Mental Health Treatment Services</v>
      </c>
      <c r="B589" s="1" t="s">
        <v>77</v>
      </c>
      <c r="C589" s="2" t="s">
        <v>125</v>
      </c>
      <c r="D589" s="2" t="s">
        <v>1962</v>
      </c>
      <c r="E589" s="1"/>
      <c r="F589" s="2" t="s">
        <v>1963</v>
      </c>
      <c r="G589" s="2" t="s">
        <v>121</v>
      </c>
      <c r="H589" s="2" t="s">
        <v>1964</v>
      </c>
    </row>
    <row r="590" spans="1:8" ht="390" x14ac:dyDescent="0.25">
      <c r="A590" s="1" t="str">
        <f>HYPERLINK("https://www.albertahealthservices.ca/findhealth/Service.aspx?serviceAtFacilityId=1104619","Designated Supportive Living Level 4 Dementia")</f>
        <v>Designated Supportive Living Level 4 Dementia</v>
      </c>
      <c r="B590" s="1" t="s">
        <v>1967</v>
      </c>
      <c r="C590" s="2" t="s">
        <v>31</v>
      </c>
      <c r="D590" s="2" t="s">
        <v>1965</v>
      </c>
      <c r="E590" s="1"/>
      <c r="F590" s="2" t="s">
        <v>23</v>
      </c>
      <c r="G590" s="2" t="s">
        <v>52</v>
      </c>
      <c r="H590" s="2" t="s">
        <v>1966</v>
      </c>
    </row>
    <row r="591" spans="1:8" ht="375" x14ac:dyDescent="0.25">
      <c r="A591" s="1" t="str">
        <f>HYPERLINK("https://www.albertahealthservices.ca/findhealth/Service.aspx?serviceAtFacilityId=1102339","Mental Health Information, Promotion and Prevention")</f>
        <v>Mental Health Information, Promotion and Prevention</v>
      </c>
      <c r="B591" s="1" t="s">
        <v>394</v>
      </c>
      <c r="C591" s="2" t="s">
        <v>20</v>
      </c>
      <c r="D591" s="2" t="s">
        <v>391</v>
      </c>
      <c r="E591" s="2" t="s">
        <v>17</v>
      </c>
      <c r="F591" s="1" t="s">
        <v>34</v>
      </c>
      <c r="G591" s="2" t="s">
        <v>14</v>
      </c>
      <c r="H591" s="2" t="s">
        <v>1968</v>
      </c>
    </row>
    <row r="592" spans="1:8" ht="240" x14ac:dyDescent="0.25">
      <c r="A592" s="1" t="str">
        <f>HYPERLINK("https://www.albertahealthservices.ca/findhealth/Service.aspx?serviceAtFacilityId=1000324","Child and Adolescent Mental Health Program")</f>
        <v>Child and Adolescent Mental Health Program</v>
      </c>
      <c r="B592" s="1" t="s">
        <v>843</v>
      </c>
      <c r="C592" s="2" t="s">
        <v>1971</v>
      </c>
      <c r="D592" s="2" t="s">
        <v>1970</v>
      </c>
      <c r="E592" s="1"/>
      <c r="F592" s="2" t="s">
        <v>311</v>
      </c>
      <c r="G592" s="2" t="s">
        <v>1969</v>
      </c>
      <c r="H592" s="2" t="s">
        <v>1694</v>
      </c>
    </row>
    <row r="593" spans="1:8" ht="225" x14ac:dyDescent="0.25">
      <c r="A593" s="1" t="str">
        <f>HYPERLINK("https://www.albertahealthservices.ca/findhealth/Service.aspx?serviceAtFacilityId=1111332","Addiction and Mental Health - Suburban Community Assessment and Treatment Services, Adult")</f>
        <v>Addiction and Mental Health - Suburban Community Assessment and Treatment Services, Adult</v>
      </c>
      <c r="B593" s="1" t="s">
        <v>1049</v>
      </c>
      <c r="C593" s="2" t="s">
        <v>145</v>
      </c>
      <c r="D593" s="2" t="s">
        <v>1972</v>
      </c>
      <c r="E593" s="1"/>
      <c r="F593" s="2" t="s">
        <v>142</v>
      </c>
      <c r="G593" s="2" t="s">
        <v>140</v>
      </c>
      <c r="H593" s="2" t="s">
        <v>1973</v>
      </c>
    </row>
    <row r="594" spans="1:8" ht="210" x14ac:dyDescent="0.25">
      <c r="A594" s="1" t="str">
        <f>HYPERLINK("https://www.albertahealthservices.ca/findhealth/Service.aspx?serviceAtFacilityId=1085875","Therapeutic Recreation - Community &amp; Outpatient")</f>
        <v>Therapeutic Recreation - Community &amp; Outpatient</v>
      </c>
      <c r="B594" s="1" t="s">
        <v>1976</v>
      </c>
      <c r="C594" s="2" t="s">
        <v>524</v>
      </c>
      <c r="D594" s="2" t="s">
        <v>1974</v>
      </c>
      <c r="E594" s="1"/>
      <c r="F594" s="2" t="s">
        <v>201</v>
      </c>
      <c r="G594" s="2" t="s">
        <v>520</v>
      </c>
      <c r="H594" s="2" t="s">
        <v>1975</v>
      </c>
    </row>
    <row r="595" spans="1:8" ht="375" x14ac:dyDescent="0.25">
      <c r="A595" s="1" t="str">
        <f>HYPERLINK("https://www.albertahealthservices.ca/findhealth/Service.aspx?serviceAtFacilityId=1102486","Regional Collaborative Service Delivery - School based and school linked mental health teams")</f>
        <v>Regional Collaborative Service Delivery - School based and school linked mental health teams</v>
      </c>
      <c r="B595" s="1" t="s">
        <v>394</v>
      </c>
      <c r="C595" s="2" t="s">
        <v>688</v>
      </c>
      <c r="D595" s="2" t="s">
        <v>391</v>
      </c>
      <c r="E595" s="1"/>
      <c r="F595" s="1" t="s">
        <v>34</v>
      </c>
      <c r="G595" s="2" t="s">
        <v>685</v>
      </c>
      <c r="H595" s="2" t="s">
        <v>1977</v>
      </c>
    </row>
    <row r="596" spans="1:8" ht="270" x14ac:dyDescent="0.25">
      <c r="A596" s="1" t="str">
        <f>HYPERLINK("https://www.albertahealthservices.ca/findhealth/Service.aspx?serviceAtFacilityId=1110404","Addiction Services - Prevention")</f>
        <v>Addiction Services - Prevention</v>
      </c>
      <c r="B596" s="1" t="s">
        <v>1156</v>
      </c>
      <c r="C596" s="2" t="s">
        <v>782</v>
      </c>
      <c r="D596" s="2" t="s">
        <v>1978</v>
      </c>
      <c r="E596" s="1"/>
      <c r="F596" s="2" t="s">
        <v>716</v>
      </c>
      <c r="G596" s="2" t="s">
        <v>778</v>
      </c>
      <c r="H596" s="2" t="s">
        <v>1979</v>
      </c>
    </row>
    <row r="597" spans="1:8" ht="150" x14ac:dyDescent="0.25">
      <c r="A597" s="1" t="str">
        <f>HYPERLINK("https://www.albertahealthservices.ca/findhealth/Service.aspx?serviceAtFacilityId=1107286","Music Therapy")</f>
        <v>Music Therapy</v>
      </c>
      <c r="B597" s="1" t="s">
        <v>723</v>
      </c>
      <c r="C597" s="2" t="s">
        <v>1981</v>
      </c>
      <c r="D597" s="2" t="s">
        <v>978</v>
      </c>
      <c r="E597" s="1"/>
      <c r="F597" s="2" t="s">
        <v>979</v>
      </c>
      <c r="G597" s="2" t="s">
        <v>1980</v>
      </c>
      <c r="H597" s="1"/>
    </row>
    <row r="598" spans="1:8" ht="105" x14ac:dyDescent="0.25">
      <c r="A598" s="1" t="str">
        <f>HYPERLINK("https://www.albertahealthservices.ca/findhealth/Service.aspx?serviceAtFacilityId=1112058","Addiction and Mental Health - Residential Treatment Services, Adult")</f>
        <v>Addiction and Mental Health - Residential Treatment Services, Adult</v>
      </c>
      <c r="B598" s="1" t="s">
        <v>1985</v>
      </c>
      <c r="C598" s="2" t="s">
        <v>1986</v>
      </c>
      <c r="D598" s="2" t="s">
        <v>1983</v>
      </c>
      <c r="E598" s="1"/>
      <c r="F598" s="2" t="s">
        <v>1984</v>
      </c>
      <c r="G598" s="2" t="s">
        <v>1982</v>
      </c>
      <c r="H598" s="1"/>
    </row>
    <row r="599" spans="1:8" ht="150" x14ac:dyDescent="0.25">
      <c r="A599" s="1" t="str">
        <f>HYPERLINK("https://www.albertahealthservices.ca/findhealth/Service.aspx?serviceAtFacilityId=1107509","Mental Health Capacity Building - Vermilion Is Being Empowered")</f>
        <v>Mental Health Capacity Building - Vermilion Is Being Empowered</v>
      </c>
      <c r="B599" s="1" t="s">
        <v>1989</v>
      </c>
      <c r="C599" s="2" t="s">
        <v>826</v>
      </c>
      <c r="D599" s="2" t="s">
        <v>1987</v>
      </c>
      <c r="E599" s="1"/>
      <c r="F599" s="1" t="s">
        <v>34</v>
      </c>
      <c r="G599" s="2" t="s">
        <v>821</v>
      </c>
      <c r="H599" s="2" t="s">
        <v>1988</v>
      </c>
    </row>
    <row r="600" spans="1:8" ht="120" x14ac:dyDescent="0.25">
      <c r="A600" s="1" t="str">
        <f>HYPERLINK("https://www.albertahealthservices.ca/findhealth/Service.aspx?serviceAtFacilityId=1093786","Addiction Services - Youth Outpatient Counselling")</f>
        <v>Addiction Services - Youth Outpatient Counselling</v>
      </c>
      <c r="B600" s="1" t="s">
        <v>1993</v>
      </c>
      <c r="C600" s="2" t="s">
        <v>499</v>
      </c>
      <c r="D600" s="2" t="s">
        <v>1990</v>
      </c>
      <c r="E600" s="1"/>
      <c r="F600" s="2" t="s">
        <v>1991</v>
      </c>
      <c r="G600" s="2" t="s">
        <v>494</v>
      </c>
      <c r="H600" s="2" t="s">
        <v>1992</v>
      </c>
    </row>
    <row r="601" spans="1:8" ht="409.5" x14ac:dyDescent="0.25">
      <c r="A601" s="1" t="str">
        <f>HYPERLINK("https://www.albertahealthservices.ca/findhealth/Service.aspx?serviceAtFacilityId=1108509","Provincial Family Violence Treatment Program")</f>
        <v>Provincial Family Violence Treatment Program</v>
      </c>
      <c r="B601" s="1" t="s">
        <v>1994</v>
      </c>
      <c r="C601" s="2" t="s">
        <v>232</v>
      </c>
      <c r="D601" s="1" t="s">
        <v>1994</v>
      </c>
      <c r="E601" s="1"/>
      <c r="F601" s="1" t="s">
        <v>34</v>
      </c>
      <c r="G601" s="2" t="s">
        <v>227</v>
      </c>
      <c r="H601" s="2" t="s">
        <v>1995</v>
      </c>
    </row>
    <row r="602" spans="1:8" ht="135" x14ac:dyDescent="0.25">
      <c r="A602" s="1" t="str">
        <f>HYPERLINK("https://www.albertahealthservices.ca/findhealth/Service.aspx?serviceAtFacilityId=1106061","Police and Crisis Team")</f>
        <v>Police and Crisis Team</v>
      </c>
      <c r="B602" s="1" t="s">
        <v>2000</v>
      </c>
      <c r="C602" s="2" t="s">
        <v>2001</v>
      </c>
      <c r="D602" s="2" t="s">
        <v>1997</v>
      </c>
      <c r="E602" s="2" t="s">
        <v>1999</v>
      </c>
      <c r="F602" s="2" t="s">
        <v>1998</v>
      </c>
      <c r="G602" s="2" t="s">
        <v>1996</v>
      </c>
      <c r="H602" s="1"/>
    </row>
    <row r="603" spans="1:8" ht="409.5" x14ac:dyDescent="0.25">
      <c r="A603" s="1" t="str">
        <f>HYPERLINK("https://www.albertahealthservices.ca/findhealth/Service.aspx?serviceAtFacilityId=1102499","Eating Disorder Services")</f>
        <v>Eating Disorder Services</v>
      </c>
      <c r="B603" s="1" t="s">
        <v>1001</v>
      </c>
      <c r="C603" s="2" t="s">
        <v>212</v>
      </c>
      <c r="D603" s="2" t="s">
        <v>2002</v>
      </c>
      <c r="E603" s="1"/>
      <c r="F603" s="1" t="s">
        <v>34</v>
      </c>
      <c r="G603" s="2" t="s">
        <v>209</v>
      </c>
      <c r="H603" s="2" t="s">
        <v>2003</v>
      </c>
    </row>
    <row r="604" spans="1:8" ht="405" x14ac:dyDescent="0.25">
      <c r="A604" s="1" t="str">
        <f>HYPERLINK("https://www.albertahealthservices.ca/findhealth/Service.aspx?serviceAtFacilityId=1115402","Addiction and Mental Health - Recovery Supports Services, Adult")</f>
        <v>Addiction and Mental Health - Recovery Supports Services, Adult</v>
      </c>
      <c r="B604" s="1" t="s">
        <v>2007</v>
      </c>
      <c r="C604" s="2" t="s">
        <v>666</v>
      </c>
      <c r="D604" s="2" t="s">
        <v>2004</v>
      </c>
      <c r="E604" s="2" t="s">
        <v>663</v>
      </c>
      <c r="F604" s="2" t="s">
        <v>2005</v>
      </c>
      <c r="G604" s="1"/>
      <c r="H604" s="2" t="s">
        <v>2006</v>
      </c>
    </row>
    <row r="605" spans="1:8" ht="375" x14ac:dyDescent="0.25">
      <c r="A605" s="1" t="str">
        <f>HYPERLINK("https://www.albertahealthservices.ca/findhealth/Service.aspx?serviceAtFacilityId=1102328","Mental Health Information, Promotion and Prevention")</f>
        <v>Mental Health Information, Promotion and Prevention</v>
      </c>
      <c r="B605" s="1" t="s">
        <v>157</v>
      </c>
      <c r="C605" s="2" t="s">
        <v>20</v>
      </c>
      <c r="D605" s="2" t="s">
        <v>1192</v>
      </c>
      <c r="E605" s="2" t="s">
        <v>17</v>
      </c>
      <c r="F605" s="1" t="s">
        <v>34</v>
      </c>
      <c r="G605" s="2" t="s">
        <v>14</v>
      </c>
      <c r="H605" s="2" t="s">
        <v>2008</v>
      </c>
    </row>
    <row r="606" spans="1:8" ht="135" x14ac:dyDescent="0.25">
      <c r="A606" s="1" t="str">
        <f>HYPERLINK("https://www.albertahealthservices.ca/findhealth/Service.aspx?serviceAtFacilityId=1075919","Dialectical Behavioral Therapy Program")</f>
        <v>Dialectical Behavioral Therapy Program</v>
      </c>
      <c r="B606" s="1" t="s">
        <v>1020</v>
      </c>
      <c r="C606" s="2" t="s">
        <v>2011</v>
      </c>
      <c r="D606" s="2" t="s">
        <v>2010</v>
      </c>
      <c r="E606" s="1"/>
      <c r="F606" s="1" t="s">
        <v>34</v>
      </c>
      <c r="G606" s="2" t="s">
        <v>2009</v>
      </c>
      <c r="H606" s="1"/>
    </row>
    <row r="607" spans="1:8" ht="330" x14ac:dyDescent="0.25">
      <c r="A607" s="1" t="str">
        <f>HYPERLINK("https://www.albertahealthservices.ca/findhealth/Service.aspx?serviceAtFacilityId=1114953","ACCESS Open Minds")</f>
        <v>ACCESS Open Minds</v>
      </c>
      <c r="B607" s="1" t="s">
        <v>2016</v>
      </c>
      <c r="C607" s="2" t="s">
        <v>2017</v>
      </c>
      <c r="D607" s="2" t="s">
        <v>2013</v>
      </c>
      <c r="E607" s="2" t="s">
        <v>2015</v>
      </c>
      <c r="F607" s="2" t="s">
        <v>2014</v>
      </c>
      <c r="G607" s="2" t="s">
        <v>2012</v>
      </c>
      <c r="H607" s="1"/>
    </row>
    <row r="608" spans="1:8" ht="195" x14ac:dyDescent="0.25">
      <c r="A608" s="1" t="str">
        <f>HYPERLINK("https://www.albertahealthservices.ca/findhealth/Service.aspx?serviceAtFacilityId=1030807","Community Addiction and Mental Health Services - Rural")</f>
        <v>Community Addiction and Mental Health Services - Rural</v>
      </c>
      <c r="B608" s="1" t="s">
        <v>2021</v>
      </c>
      <c r="C608" s="2" t="s">
        <v>72</v>
      </c>
      <c r="D608" s="2" t="s">
        <v>2018</v>
      </c>
      <c r="E608" s="1"/>
      <c r="F608" s="2" t="s">
        <v>2019</v>
      </c>
      <c r="G608" s="2" t="s">
        <v>67</v>
      </c>
      <c r="H608" s="2" t="s">
        <v>2020</v>
      </c>
    </row>
    <row r="609" spans="1:8" ht="210" x14ac:dyDescent="0.25">
      <c r="A609" s="1" t="str">
        <f>HYPERLINK("https://www.albertahealthservices.ca/findhealth/Service.aspx?serviceAtFacilityId=1031271","Community Geriatric Mental Health Service")</f>
        <v>Community Geriatric Mental Health Service</v>
      </c>
      <c r="B609" s="1" t="s">
        <v>2024</v>
      </c>
      <c r="C609" s="2" t="s">
        <v>375</v>
      </c>
      <c r="D609" s="2" t="s">
        <v>2022</v>
      </c>
      <c r="E609" s="1"/>
      <c r="F609" s="2" t="s">
        <v>190</v>
      </c>
      <c r="G609" s="2" t="s">
        <v>370</v>
      </c>
      <c r="H609" s="2" t="s">
        <v>2023</v>
      </c>
    </row>
    <row r="610" spans="1:8" ht="345" x14ac:dyDescent="0.25">
      <c r="A610" s="1" t="str">
        <f>HYPERLINK("https://www.albertahealthservices.ca/findhealth/Service.aspx?serviceAtFacilityId=1049401","Sexual and Reproductive Health - Clinical Services")</f>
        <v>Sexual and Reproductive Health - Clinical Services</v>
      </c>
      <c r="B610" s="1" t="s">
        <v>252</v>
      </c>
      <c r="C610" s="2" t="s">
        <v>905</v>
      </c>
      <c r="D610" s="2" t="s">
        <v>2025</v>
      </c>
      <c r="E610" s="2" t="s">
        <v>903</v>
      </c>
      <c r="F610" s="2" t="s">
        <v>2026</v>
      </c>
      <c r="G610" s="2" t="s">
        <v>900</v>
      </c>
      <c r="H610" s="2" t="s">
        <v>2027</v>
      </c>
    </row>
    <row r="611" spans="1:8" ht="165" x14ac:dyDescent="0.25">
      <c r="A611" s="1" t="str">
        <f>HYPERLINK("https://www.albertahealthservices.ca/findhealth/Service.aspx?serviceAtFacilityId=1111309","Addiction and Mental Health - Community Services, Child and Adolescent")</f>
        <v>Addiction and Mental Health - Community Services, Child and Adolescent</v>
      </c>
      <c r="B611" s="1" t="s">
        <v>1074</v>
      </c>
      <c r="C611" s="2" t="s">
        <v>292</v>
      </c>
      <c r="D611" s="2" t="s">
        <v>2028</v>
      </c>
      <c r="E611" s="2" t="s">
        <v>289</v>
      </c>
      <c r="F611" s="2" t="s">
        <v>288</v>
      </c>
      <c r="G611" s="2" t="s">
        <v>286</v>
      </c>
      <c r="H611" s="2" t="s">
        <v>2029</v>
      </c>
    </row>
    <row r="612" spans="1:8" ht="409.5" x14ac:dyDescent="0.25">
      <c r="A612" s="1" t="str">
        <f>HYPERLINK("https://www.albertahealthservices.ca/findhealth/Service.aspx?serviceAtFacilityId=1044060","Continuing Care Counselling")</f>
        <v>Continuing Care Counselling</v>
      </c>
      <c r="B612" s="1" t="s">
        <v>2032</v>
      </c>
      <c r="C612" s="2" t="s">
        <v>163</v>
      </c>
      <c r="D612" s="2" t="s">
        <v>2030</v>
      </c>
      <c r="E612" s="1"/>
      <c r="F612" s="2" t="s">
        <v>261</v>
      </c>
      <c r="G612" s="2" t="s">
        <v>158</v>
      </c>
      <c r="H612" s="2" t="s">
        <v>2031</v>
      </c>
    </row>
    <row r="613" spans="1:8" ht="195" x14ac:dyDescent="0.25">
      <c r="A613" s="1" t="str">
        <f>HYPERLINK("https://www.albertahealthservices.ca/findhealth/Service.aspx?serviceAtFacilityId=1099656","Mental Health Urgent Care")</f>
        <v>Mental Health Urgent Care</v>
      </c>
      <c r="B613" s="1" t="s">
        <v>741</v>
      </c>
      <c r="C613" s="2" t="s">
        <v>360</v>
      </c>
      <c r="D613" s="2" t="s">
        <v>2033</v>
      </c>
      <c r="E613" s="1"/>
      <c r="F613" s="2" t="s">
        <v>559</v>
      </c>
      <c r="G613" s="2" t="s">
        <v>356</v>
      </c>
      <c r="H613" s="2" t="s">
        <v>2034</v>
      </c>
    </row>
    <row r="614" spans="1:8" ht="405" x14ac:dyDescent="0.25">
      <c r="A614" s="1" t="str">
        <f>HYPERLINK("https://www.albertahealthservices.ca/findhealth/Service.aspx?serviceAtFacilityId=1021104","Community Addiction &amp; Mental Health - Adult &amp; Youth Services")</f>
        <v>Community Addiction &amp; Mental Health - Adult &amp; Youth Services</v>
      </c>
      <c r="B614" s="1" t="s">
        <v>2037</v>
      </c>
      <c r="C614" s="2" t="s">
        <v>133</v>
      </c>
      <c r="D614" s="2" t="s">
        <v>2035</v>
      </c>
      <c r="E614" s="1"/>
      <c r="F614" s="2" t="s">
        <v>257</v>
      </c>
      <c r="G614" s="2" t="s">
        <v>129</v>
      </c>
      <c r="H614" s="2" t="s">
        <v>2036</v>
      </c>
    </row>
    <row r="615" spans="1:8" ht="270" x14ac:dyDescent="0.25">
      <c r="A615" s="1" t="str">
        <f>HYPERLINK("https://www.albertahealthservices.ca/findhealth/Service.aspx?serviceAtFacilityId=1104512","Designated Supportive Living Level 4 Dementia")</f>
        <v>Designated Supportive Living Level 4 Dementia</v>
      </c>
      <c r="B615" s="1" t="s">
        <v>2040</v>
      </c>
      <c r="C615" s="2" t="s">
        <v>31</v>
      </c>
      <c r="D615" s="2" t="s">
        <v>2038</v>
      </c>
      <c r="E615" s="1"/>
      <c r="F615" s="2" t="s">
        <v>23</v>
      </c>
      <c r="G615" s="2" t="s">
        <v>27</v>
      </c>
      <c r="H615" s="2" t="s">
        <v>2039</v>
      </c>
    </row>
    <row r="616" spans="1:8" ht="375" x14ac:dyDescent="0.25">
      <c r="A616" s="1" t="str">
        <f>HYPERLINK("https://www.albertahealthservices.ca/findhealth/Service.aspx?serviceAtFacilityId=1102340","Mental Health Information, Promotion and Prevention")</f>
        <v>Mental Health Information, Promotion and Prevention</v>
      </c>
      <c r="B616" s="1" t="s">
        <v>448</v>
      </c>
      <c r="C616" s="2" t="s">
        <v>20</v>
      </c>
      <c r="D616" s="2" t="s">
        <v>2041</v>
      </c>
      <c r="E616" s="2" t="s">
        <v>17</v>
      </c>
      <c r="F616" s="1" t="s">
        <v>34</v>
      </c>
      <c r="G616" s="2" t="s">
        <v>14</v>
      </c>
      <c r="H616" s="2" t="s">
        <v>2042</v>
      </c>
    </row>
    <row r="617" spans="1:8" ht="135" x14ac:dyDescent="0.25">
      <c r="A617" s="1" t="str">
        <f>HYPERLINK("https://www.albertahealthservices.ca/findhealth/Service.aspx?serviceAtFacilityId=4530","Psychiatric Outpatient Program")</f>
        <v>Psychiatric Outpatient Program</v>
      </c>
      <c r="B617" s="1" t="s">
        <v>1141</v>
      </c>
      <c r="C617" s="2" t="s">
        <v>2046</v>
      </c>
      <c r="D617" s="2" t="s">
        <v>2044</v>
      </c>
      <c r="E617" s="1"/>
      <c r="F617" s="2" t="s">
        <v>2045</v>
      </c>
      <c r="G617" s="2" t="s">
        <v>2043</v>
      </c>
      <c r="H617" s="1"/>
    </row>
    <row r="618" spans="1:8" ht="120" x14ac:dyDescent="0.25">
      <c r="A618" s="1" t="str">
        <f>HYPERLINK("https://www.albertahealthservices.ca/findhealth/Service.aspx?serviceAtFacilityId=1034008","Psychiatry - Inpatient")</f>
        <v>Psychiatry - Inpatient</v>
      </c>
      <c r="B618" s="1" t="s">
        <v>378</v>
      </c>
      <c r="C618" s="2" t="s">
        <v>369</v>
      </c>
      <c r="D618" s="2" t="s">
        <v>2047</v>
      </c>
      <c r="E618" s="1"/>
      <c r="F618" s="1" t="s">
        <v>34</v>
      </c>
      <c r="G618" s="2" t="s">
        <v>366</v>
      </c>
      <c r="H618" s="2" t="s">
        <v>681</v>
      </c>
    </row>
    <row r="619" spans="1:8" ht="345" x14ac:dyDescent="0.25">
      <c r="A619" s="1" t="str">
        <f>HYPERLINK("https://www.albertahealthservices.ca/findhealth/Service.aspx?serviceAtFacilityId=1110880","Designated Supportive Living Level 4 Dementia")</f>
        <v>Designated Supportive Living Level 4 Dementia</v>
      </c>
      <c r="B619" s="1" t="s">
        <v>2050</v>
      </c>
      <c r="C619" s="2" t="s">
        <v>31</v>
      </c>
      <c r="D619" s="2" t="s">
        <v>2048</v>
      </c>
      <c r="E619" s="1"/>
      <c r="F619" s="2" t="s">
        <v>23</v>
      </c>
      <c r="G619" s="2" t="s">
        <v>182</v>
      </c>
      <c r="H619" s="2" t="s">
        <v>2049</v>
      </c>
    </row>
    <row r="620" spans="1:8" ht="330" x14ac:dyDescent="0.25">
      <c r="A620" s="1" t="str">
        <f>HYPERLINK("https://www.albertahealthservices.ca/findhealth/Service.aspx?serviceAtFacilityId=1082204","Pastoral Care Services")</f>
        <v>Pastoral Care Services</v>
      </c>
      <c r="B620" s="1" t="s">
        <v>1001</v>
      </c>
      <c r="C620" s="2" t="s">
        <v>423</v>
      </c>
      <c r="D620" s="2" t="s">
        <v>2051</v>
      </c>
      <c r="E620" s="1"/>
      <c r="F620" s="1" t="s">
        <v>34</v>
      </c>
      <c r="G620" s="2" t="s">
        <v>419</v>
      </c>
      <c r="H620" s="2" t="s">
        <v>2052</v>
      </c>
    </row>
    <row r="621" spans="1:8" ht="150" x14ac:dyDescent="0.25">
      <c r="A621" s="1" t="str">
        <f>HYPERLINK("https://www.albertahealthservices.ca/findhealth/Service.aspx?serviceAtFacilityId=1107521","Mental Health Capacity Building - Wainwright On Wellness")</f>
        <v>Mental Health Capacity Building - Wainwright On Wellness</v>
      </c>
      <c r="B621" s="1" t="s">
        <v>2055</v>
      </c>
      <c r="C621" s="2" t="s">
        <v>13</v>
      </c>
      <c r="D621" s="2" t="s">
        <v>2053</v>
      </c>
      <c r="E621" s="1"/>
      <c r="F621" s="2" t="s">
        <v>10</v>
      </c>
      <c r="G621" s="2" t="s">
        <v>8</v>
      </c>
      <c r="H621" s="2" t="s">
        <v>2054</v>
      </c>
    </row>
    <row r="622" spans="1:8" ht="150" x14ac:dyDescent="0.25">
      <c r="A622" s="1" t="str">
        <f>HYPERLINK("https://www.albertahealthservices.ca/findhealth/Service.aspx?serviceAtFacilityId=1107508","Mental Health Capacity Building - Vermilion Is Being Empowered")</f>
        <v>Mental Health Capacity Building - Vermilion Is Being Empowered</v>
      </c>
      <c r="B622" s="1" t="s">
        <v>2058</v>
      </c>
      <c r="C622" s="2" t="s">
        <v>826</v>
      </c>
      <c r="D622" s="2" t="s">
        <v>2056</v>
      </c>
      <c r="E622" s="1"/>
      <c r="F622" s="1" t="s">
        <v>34</v>
      </c>
      <c r="G622" s="2" t="s">
        <v>821</v>
      </c>
      <c r="H622" s="2" t="s">
        <v>2057</v>
      </c>
    </row>
    <row r="623" spans="1:8" ht="195" x14ac:dyDescent="0.25">
      <c r="A623" s="1" t="str">
        <f>HYPERLINK("https://www.albertahealthservices.ca/findhealth/Service.aspx?serviceAtFacilityId=1107207","Building Blocks")</f>
        <v>Building Blocks</v>
      </c>
      <c r="B623" s="1" t="s">
        <v>350</v>
      </c>
      <c r="C623" s="2" t="s">
        <v>991</v>
      </c>
      <c r="D623" s="2" t="s">
        <v>2059</v>
      </c>
      <c r="E623" s="2" t="s">
        <v>988</v>
      </c>
      <c r="F623" s="2" t="s">
        <v>1885</v>
      </c>
      <c r="G623" s="2" t="s">
        <v>985</v>
      </c>
      <c r="H623" s="2" t="s">
        <v>2060</v>
      </c>
    </row>
    <row r="624" spans="1:8" ht="225" x14ac:dyDescent="0.25">
      <c r="A624" s="1" t="str">
        <f>HYPERLINK("https://www.albertahealthservices.ca/findhealth/Service.aspx?serviceAtFacilityId=1104030","Corrections Transition Team - Mental Health")</f>
        <v>Corrections Transition Team - Mental Health</v>
      </c>
      <c r="B624" s="1" t="s">
        <v>1649</v>
      </c>
      <c r="C624" s="2" t="s">
        <v>1650</v>
      </c>
      <c r="D624" s="2" t="s">
        <v>2061</v>
      </c>
      <c r="E624" s="2" t="s">
        <v>1648</v>
      </c>
      <c r="F624" s="2" t="s">
        <v>311</v>
      </c>
      <c r="G624" s="2" t="s">
        <v>1646</v>
      </c>
      <c r="H624" s="1" t="s">
        <v>2062</v>
      </c>
    </row>
    <row r="625" spans="1:8" ht="210" x14ac:dyDescent="0.25">
      <c r="A625" s="1" t="str">
        <f>HYPERLINK("https://www.albertahealthservices.ca/findhealth/Service.aspx?serviceAtFacilityId=1047428","Spiritual Care Services")</f>
        <v>Spiritual Care Services</v>
      </c>
      <c r="B625" s="1" t="s">
        <v>537</v>
      </c>
      <c r="C625" s="2" t="s">
        <v>971</v>
      </c>
      <c r="D625" s="2" t="s">
        <v>2063</v>
      </c>
      <c r="E625" s="1"/>
      <c r="F625" s="2" t="s">
        <v>2064</v>
      </c>
      <c r="G625" s="2" t="s">
        <v>968</v>
      </c>
      <c r="H625" s="2" t="s">
        <v>2065</v>
      </c>
    </row>
    <row r="626" spans="1:8" ht="135" x14ac:dyDescent="0.25">
      <c r="A626" s="1" t="str">
        <f>HYPERLINK("https://www.albertahealthservices.ca/findhealth/Service.aspx?serviceAtFacilityId=1023483","Consultation Liaison Service - Mental Health")</f>
        <v>Consultation Liaison Service - Mental Health</v>
      </c>
      <c r="B626" s="1" t="s">
        <v>456</v>
      </c>
      <c r="C626" s="2" t="s">
        <v>623</v>
      </c>
      <c r="D626" s="2" t="s">
        <v>2066</v>
      </c>
      <c r="E626" s="1"/>
      <c r="F626" s="2" t="s">
        <v>2067</v>
      </c>
      <c r="G626" s="2" t="s">
        <v>620</v>
      </c>
      <c r="H626" s="2" t="s">
        <v>1436</v>
      </c>
    </row>
    <row r="627" spans="1:8" ht="270" x14ac:dyDescent="0.25">
      <c r="A627" s="1" t="str">
        <f>HYPERLINK("https://www.albertahealthservices.ca/findhealth/Service.aspx?serviceAtFacilityId=1094020","Addiction Services - Prevention")</f>
        <v>Addiction Services - Prevention</v>
      </c>
      <c r="B627" s="1" t="s">
        <v>2070</v>
      </c>
      <c r="C627" s="2" t="s">
        <v>782</v>
      </c>
      <c r="D627" s="2" t="s">
        <v>2068</v>
      </c>
      <c r="E627" s="1"/>
      <c r="F627" s="2" t="s">
        <v>716</v>
      </c>
      <c r="G627" s="2" t="s">
        <v>778</v>
      </c>
      <c r="H627" s="2" t="s">
        <v>2069</v>
      </c>
    </row>
    <row r="628" spans="1:8" ht="60" x14ac:dyDescent="0.25">
      <c r="A628" s="1" t="str">
        <f>HYPERLINK("https://www.albertahealthservices.ca/findhealth/Service.aspx?serviceAtFacilityId=1111396","Addiction and Mental Health - Mobile Addiction Services, Adolescent")</f>
        <v>Addiction and Mental Health - Mobile Addiction Services, Adolescent</v>
      </c>
      <c r="B628" s="1" t="s">
        <v>1496</v>
      </c>
      <c r="C628" s="2" t="s">
        <v>1497</v>
      </c>
      <c r="D628" s="2" t="s">
        <v>2071</v>
      </c>
      <c r="E628" s="2" t="s">
        <v>1495</v>
      </c>
      <c r="F628" s="1" t="s">
        <v>34</v>
      </c>
      <c r="G628" s="2" t="s">
        <v>1492</v>
      </c>
      <c r="H628" s="1" t="s">
        <v>1364</v>
      </c>
    </row>
    <row r="629" spans="1:8" ht="240" x14ac:dyDescent="0.25">
      <c r="A629" s="1" t="str">
        <f>HYPERLINK("https://www.albertahealthservices.ca/findhealth/Service.aspx?serviceAtFacilityId=1047748","Spiritual Care")</f>
        <v>Spiritual Care</v>
      </c>
      <c r="B629" s="1" t="s">
        <v>640</v>
      </c>
      <c r="C629" s="2" t="s">
        <v>613</v>
      </c>
      <c r="D629" s="2" t="s">
        <v>2072</v>
      </c>
      <c r="E629" s="1"/>
      <c r="F629" s="2" t="s">
        <v>2073</v>
      </c>
      <c r="G629" s="2" t="s">
        <v>609</v>
      </c>
      <c r="H629" s="2" t="s">
        <v>2074</v>
      </c>
    </row>
    <row r="630" spans="1:8" ht="195" x14ac:dyDescent="0.25">
      <c r="A630" s="1" t="str">
        <f>HYPERLINK("https://www.albertahealthservices.ca/findhealth/Service.aspx?serviceAtFacilityId=1073669","Geriatric Assessment Team")</f>
        <v>Geriatric Assessment Team</v>
      </c>
      <c r="B630" s="1" t="s">
        <v>401</v>
      </c>
      <c r="C630" s="2" t="s">
        <v>2078</v>
      </c>
      <c r="D630" s="2" t="s">
        <v>2076</v>
      </c>
      <c r="E630" s="2" t="s">
        <v>2077</v>
      </c>
      <c r="F630" s="2" t="s">
        <v>190</v>
      </c>
      <c r="G630" s="2" t="s">
        <v>2075</v>
      </c>
      <c r="H630" s="1"/>
    </row>
    <row r="631" spans="1:8" ht="195" x14ac:dyDescent="0.25">
      <c r="A631" s="1" t="str">
        <f>HYPERLINK("https://www.albertahealthservices.ca/findhealth/Service.aspx?serviceAtFacilityId=1107258","Community Extension Team - Mental Health")</f>
        <v>Community Extension Team - Mental Health</v>
      </c>
      <c r="B631" s="1" t="s">
        <v>1265</v>
      </c>
      <c r="C631" s="2" t="s">
        <v>2082</v>
      </c>
      <c r="D631" s="2" t="s">
        <v>2080</v>
      </c>
      <c r="E631" s="1"/>
      <c r="F631" s="2" t="s">
        <v>2081</v>
      </c>
      <c r="G631" s="2" t="s">
        <v>2079</v>
      </c>
      <c r="H631" s="1"/>
    </row>
    <row r="632" spans="1:8" ht="255" x14ac:dyDescent="0.25">
      <c r="A632" s="1" t="str">
        <f>HYPERLINK("https://www.albertahealthservices.ca/findhealth/Service.aspx?serviceAtFacilityId=1107454","Designated Supportive Living Level 4 Dementia")</f>
        <v>Designated Supportive Living Level 4 Dementia</v>
      </c>
      <c r="B632" s="1" t="s">
        <v>2085</v>
      </c>
      <c r="C632" s="2" t="s">
        <v>43</v>
      </c>
      <c r="D632" s="2" t="s">
        <v>2083</v>
      </c>
      <c r="E632" s="1"/>
      <c r="F632" s="2" t="s">
        <v>40</v>
      </c>
      <c r="G632" s="2" t="s">
        <v>38</v>
      </c>
      <c r="H632" s="2" t="s">
        <v>2084</v>
      </c>
    </row>
    <row r="633" spans="1:8" ht="165" x14ac:dyDescent="0.25">
      <c r="A633" s="1" t="str">
        <f>HYPERLINK("https://www.albertahealthservices.ca/findhealth/Service.aspx?serviceAtFacilityId=1019153","Mental Health Services")</f>
        <v>Mental Health Services</v>
      </c>
      <c r="B633" s="1" t="s">
        <v>2089</v>
      </c>
      <c r="C633" s="2" t="s">
        <v>249</v>
      </c>
      <c r="D633" s="2" t="s">
        <v>2086</v>
      </c>
      <c r="E633" s="1"/>
      <c r="F633" s="2" t="s">
        <v>2087</v>
      </c>
      <c r="G633" s="2" t="s">
        <v>245</v>
      </c>
      <c r="H633" s="2" t="s">
        <v>2088</v>
      </c>
    </row>
    <row r="634" spans="1:8" ht="135" x14ac:dyDescent="0.25">
      <c r="A634" s="1" t="str">
        <f>HYPERLINK("https://www.albertahealthservices.ca/findhealth/Service.aspx?serviceAtFacilityId=1110026","Transitions Program")</f>
        <v>Transitions Program</v>
      </c>
      <c r="B634" s="1" t="s">
        <v>2092</v>
      </c>
      <c r="C634" s="2" t="s">
        <v>2093</v>
      </c>
      <c r="D634" s="2" t="s">
        <v>2091</v>
      </c>
      <c r="E634" s="1"/>
      <c r="F634" s="2" t="s">
        <v>23</v>
      </c>
      <c r="G634" s="2" t="s">
        <v>2090</v>
      </c>
      <c r="H634" s="1"/>
    </row>
    <row r="635" spans="1:8" ht="120" x14ac:dyDescent="0.25">
      <c r="A635" s="1" t="str">
        <f>HYPERLINK("https://www.albertahealthservices.ca/findhealth/Service.aspx?serviceAtFacilityId=1024065","Psychiatry - Inpatient")</f>
        <v>Psychiatry - Inpatient</v>
      </c>
      <c r="B635" s="1" t="s">
        <v>197</v>
      </c>
      <c r="C635" s="2" t="s">
        <v>369</v>
      </c>
      <c r="D635" s="2" t="s">
        <v>2094</v>
      </c>
      <c r="E635" s="1"/>
      <c r="F635" s="1" t="s">
        <v>34</v>
      </c>
      <c r="G635" s="2" t="s">
        <v>366</v>
      </c>
      <c r="H635" s="2" t="s">
        <v>1181</v>
      </c>
    </row>
    <row r="636" spans="1:8" ht="409.5" x14ac:dyDescent="0.25">
      <c r="A636" s="1" t="str">
        <f>HYPERLINK("https://www.albertahealthservices.ca/findhealth/Service.aspx?serviceAtFacilityId=1102317","Adult Mental Health Treatment Services")</f>
        <v>Adult Mental Health Treatment Services</v>
      </c>
      <c r="B636" s="1" t="s">
        <v>113</v>
      </c>
      <c r="C636" s="2" t="s">
        <v>125</v>
      </c>
      <c r="D636" s="2" t="s">
        <v>416</v>
      </c>
      <c r="E636" s="1"/>
      <c r="F636" s="2" t="s">
        <v>2095</v>
      </c>
      <c r="G636" s="2" t="s">
        <v>121</v>
      </c>
      <c r="H636" s="2" t="s">
        <v>2096</v>
      </c>
    </row>
    <row r="637" spans="1:8" ht="409.5" x14ac:dyDescent="0.25">
      <c r="A637" s="1" t="str">
        <f>HYPERLINK("https://www.albertahealthservices.ca/findhealth/Service.aspx?serviceAtFacilityId=1090159","Continuing Care Counselling")</f>
        <v>Continuing Care Counselling</v>
      </c>
      <c r="B637" s="1" t="s">
        <v>1164</v>
      </c>
      <c r="C637" s="2" t="s">
        <v>163</v>
      </c>
      <c r="D637" s="2" t="s">
        <v>2097</v>
      </c>
      <c r="E637" s="1"/>
      <c r="F637" s="2" t="s">
        <v>261</v>
      </c>
      <c r="G637" s="2" t="s">
        <v>158</v>
      </c>
      <c r="H637" s="2" t="s">
        <v>2098</v>
      </c>
    </row>
    <row r="638" spans="1:8" ht="345" x14ac:dyDescent="0.25">
      <c r="A638" s="1" t="str">
        <f>HYPERLINK("https://www.albertahealthservices.ca/findhealth/Service.aspx?serviceAtFacilityId=1102417","Assertive Outreach Services")</f>
        <v>Assertive Outreach Services</v>
      </c>
      <c r="B638" s="1" t="s">
        <v>1090</v>
      </c>
      <c r="C638" s="2" t="s">
        <v>882</v>
      </c>
      <c r="D638" s="2" t="s">
        <v>1088</v>
      </c>
      <c r="E638" s="2" t="s">
        <v>880</v>
      </c>
      <c r="F638" s="1" t="s">
        <v>34</v>
      </c>
      <c r="G638" s="2" t="s">
        <v>878</v>
      </c>
      <c r="H638" s="2" t="s">
        <v>2099</v>
      </c>
    </row>
    <row r="639" spans="1:8" ht="75" x14ac:dyDescent="0.25">
      <c r="A639" s="1" t="str">
        <f>HYPERLINK("https://www.albertahealthservices.ca/findhealth/Service.aspx?serviceAtFacilityId=1103266","Adult Inpatient Psychiatry")</f>
        <v>Adult Inpatient Psychiatry</v>
      </c>
      <c r="B639" s="1" t="s">
        <v>843</v>
      </c>
      <c r="C639" s="2" t="s">
        <v>2102</v>
      </c>
      <c r="D639" s="2" t="s">
        <v>2101</v>
      </c>
      <c r="E639" s="1"/>
      <c r="F639" s="2" t="s">
        <v>23</v>
      </c>
      <c r="G639" s="2" t="s">
        <v>2100</v>
      </c>
      <c r="H639" s="1" t="s">
        <v>602</v>
      </c>
    </row>
    <row r="640" spans="1:8" ht="135" x14ac:dyDescent="0.25">
      <c r="A640" s="1" t="str">
        <f>HYPERLINK("https://www.albertahealthservices.ca/findhealth/Service.aspx?serviceAtFacilityId=1113501","Addiction and Mental Health - Community Outreach Assessment and Support Services, Adult")</f>
        <v>Addiction and Mental Health - Community Outreach Assessment and Support Services, Adult</v>
      </c>
      <c r="B640" s="1" t="s">
        <v>2107</v>
      </c>
      <c r="C640" s="2" t="s">
        <v>2108</v>
      </c>
      <c r="D640" s="2" t="s">
        <v>2104</v>
      </c>
      <c r="E640" s="2" t="s">
        <v>2106</v>
      </c>
      <c r="F640" s="2" t="s">
        <v>2105</v>
      </c>
      <c r="G640" s="2" t="s">
        <v>2103</v>
      </c>
      <c r="H640" s="1"/>
    </row>
    <row r="641" spans="1:8" ht="210" x14ac:dyDescent="0.25">
      <c r="A641" s="1" t="str">
        <f>HYPERLINK("https://www.albertahealthservices.ca/findhealth/Service.aspx?serviceAtFacilityId=1098052","Addiction Services - Youth Counselling")</f>
        <v>Addiction Services - Youth Counselling</v>
      </c>
      <c r="B641" s="1" t="s">
        <v>634</v>
      </c>
      <c r="C641" s="2" t="s">
        <v>875</v>
      </c>
      <c r="D641" s="2" t="s">
        <v>2109</v>
      </c>
      <c r="E641" s="1"/>
      <c r="F641" s="2" t="s">
        <v>2110</v>
      </c>
      <c r="G641" s="2" t="s">
        <v>870</v>
      </c>
      <c r="H641" s="2" t="s">
        <v>2111</v>
      </c>
    </row>
    <row r="642" spans="1:8" ht="195" x14ac:dyDescent="0.25">
      <c r="A642" s="1" t="str">
        <f>HYPERLINK("https://www.albertahealthservices.ca/findhealth/Service.aspx?serviceAtFacilityId=1094168","Calgary Eating Disorder Program")</f>
        <v>Calgary Eating Disorder Program</v>
      </c>
      <c r="B642" s="1" t="s">
        <v>456</v>
      </c>
      <c r="C642" s="2" t="s">
        <v>1006</v>
      </c>
      <c r="D642" s="2" t="s">
        <v>2112</v>
      </c>
      <c r="E642" s="2" t="s">
        <v>1005</v>
      </c>
      <c r="F642" s="2" t="s">
        <v>818</v>
      </c>
      <c r="G642" s="2" t="s">
        <v>1002</v>
      </c>
      <c r="H642" s="2" t="s">
        <v>2113</v>
      </c>
    </row>
    <row r="643" spans="1:8" ht="180" x14ac:dyDescent="0.25">
      <c r="A643" s="1" t="str">
        <f>HYPERLINK("https://www.albertahealthservices.ca/findhealth/Service.aspx?serviceAtFacilityId=1120197","Community Mental Health Service")</f>
        <v>Community Mental Health Service</v>
      </c>
      <c r="B643" s="1" t="s">
        <v>350</v>
      </c>
      <c r="C643" s="2" t="s">
        <v>313</v>
      </c>
      <c r="D643" s="2" t="s">
        <v>2114</v>
      </c>
      <c r="E643" s="1"/>
      <c r="F643" s="2" t="s">
        <v>2115</v>
      </c>
      <c r="G643" s="2" t="s">
        <v>309</v>
      </c>
      <c r="H643" s="2" t="s">
        <v>2116</v>
      </c>
    </row>
    <row r="644" spans="1:8" ht="375" x14ac:dyDescent="0.25">
      <c r="A644" s="1" t="str">
        <f>HYPERLINK("https://www.albertahealthservices.ca/findhealth/Service.aspx?serviceAtFacilityId=1107756","Mental Health Information, Promotion and Prevention")</f>
        <v>Mental Health Information, Promotion and Prevention</v>
      </c>
      <c r="B644" s="1" t="s">
        <v>1768</v>
      </c>
      <c r="C644" s="2" t="s">
        <v>20</v>
      </c>
      <c r="D644" s="2" t="s">
        <v>1766</v>
      </c>
      <c r="E644" s="2" t="s">
        <v>17</v>
      </c>
      <c r="F644" s="2" t="s">
        <v>716</v>
      </c>
      <c r="G644" s="2" t="s">
        <v>14</v>
      </c>
      <c r="H644" s="2" t="s">
        <v>2117</v>
      </c>
    </row>
    <row r="645" spans="1:8" ht="225" x14ac:dyDescent="0.25">
      <c r="A645" s="1" t="str">
        <f>HYPERLINK("https://www.albertahealthservices.ca/findhealth/Service.aspx?serviceAtFacilityId=1111331","Addiction and Mental Health - Suburban Community Assessment and Treatment Services, Adult")</f>
        <v>Addiction and Mental Health - Suburban Community Assessment and Treatment Services, Adult</v>
      </c>
      <c r="B645" s="1" t="s">
        <v>1795</v>
      </c>
      <c r="C645" s="2" t="s">
        <v>145</v>
      </c>
      <c r="D645" s="2" t="s">
        <v>2118</v>
      </c>
      <c r="E645" s="1"/>
      <c r="F645" s="2" t="s">
        <v>142</v>
      </c>
      <c r="G645" s="2" t="s">
        <v>140</v>
      </c>
      <c r="H645" s="2" t="s">
        <v>2119</v>
      </c>
    </row>
    <row r="646" spans="1:8" ht="150" x14ac:dyDescent="0.25">
      <c r="A646" s="1" t="str">
        <f>HYPERLINK("https://www.albertahealthservices.ca/findhealth/Service.aspx?serviceAtFacilityId=1115472","Community Education Service")</f>
        <v>Community Education Service</v>
      </c>
      <c r="B646" s="1" t="s">
        <v>276</v>
      </c>
      <c r="C646" s="2" t="s">
        <v>2123</v>
      </c>
      <c r="D646" s="2" t="s">
        <v>2121</v>
      </c>
      <c r="E646" s="1"/>
      <c r="F646" s="2" t="s">
        <v>2122</v>
      </c>
      <c r="G646" s="2" t="s">
        <v>2120</v>
      </c>
      <c r="H646" s="1"/>
    </row>
    <row r="647" spans="1:8" ht="210" x14ac:dyDescent="0.25">
      <c r="A647" s="1" t="str">
        <f>HYPERLINK("https://www.albertahealthservices.ca/findhealth/Service.aspx?serviceAtFacilityId=1102701","Children's Day Treatment Program")</f>
        <v>Children's Day Treatment Program</v>
      </c>
      <c r="B647" s="1" t="s">
        <v>456</v>
      </c>
      <c r="C647" s="2" t="s">
        <v>2128</v>
      </c>
      <c r="D647" s="2" t="s">
        <v>2125</v>
      </c>
      <c r="E647" s="2" t="s">
        <v>2127</v>
      </c>
      <c r="F647" s="2" t="s">
        <v>2126</v>
      </c>
      <c r="G647" s="2" t="s">
        <v>2124</v>
      </c>
      <c r="H647" s="1"/>
    </row>
    <row r="648" spans="1:8" ht="240" x14ac:dyDescent="0.25">
      <c r="A648" s="1" t="str">
        <f>HYPERLINK("https://www.albertahealthservices.ca/findhealth/Service.aspx?serviceAtFacilityId=1047759","Spiritual Care")</f>
        <v>Spiritual Care</v>
      </c>
      <c r="B648" s="1" t="s">
        <v>216</v>
      </c>
      <c r="C648" s="2" t="s">
        <v>613</v>
      </c>
      <c r="D648" s="2" t="s">
        <v>2129</v>
      </c>
      <c r="E648" s="1"/>
      <c r="F648" s="2" t="s">
        <v>190</v>
      </c>
      <c r="G648" s="2" t="s">
        <v>609</v>
      </c>
      <c r="H648" s="2" t="s">
        <v>2130</v>
      </c>
    </row>
    <row r="649" spans="1:8" ht="195" x14ac:dyDescent="0.25">
      <c r="A649" s="1" t="str">
        <f>HYPERLINK("https://www.albertahealthservices.ca/findhealth/Service.aspx?serviceAtFacilityId=1100717","Addiction Services - Adult Counselling")</f>
        <v>Addiction Services - Adult Counselling</v>
      </c>
      <c r="B649" s="1" t="s">
        <v>1943</v>
      </c>
      <c r="C649" s="2" t="s">
        <v>949</v>
      </c>
      <c r="D649" s="2" t="s">
        <v>2131</v>
      </c>
      <c r="E649" s="1"/>
      <c r="F649" s="2" t="s">
        <v>2132</v>
      </c>
      <c r="G649" s="2" t="s">
        <v>945</v>
      </c>
      <c r="H649" s="2" t="s">
        <v>2133</v>
      </c>
    </row>
    <row r="650" spans="1:8" ht="150" x14ac:dyDescent="0.25">
      <c r="A650" s="1" t="str">
        <f>HYPERLINK("https://www.albertahealthservices.ca/findhealth/Service.aspx?serviceAtFacilityId=1021309","Geriatrics - Inpatient Rehabilitation (Cognitive Behavioural Unit) 4D")</f>
        <v>Geriatrics - Inpatient Rehabilitation (Cognitive Behavioural Unit) 4D</v>
      </c>
      <c r="B650" s="1" t="s">
        <v>216</v>
      </c>
      <c r="C650" s="2" t="s">
        <v>2137</v>
      </c>
      <c r="D650" s="2" t="s">
        <v>2135</v>
      </c>
      <c r="E650" s="1"/>
      <c r="F650" s="2" t="s">
        <v>2136</v>
      </c>
      <c r="G650" s="2" t="s">
        <v>2134</v>
      </c>
      <c r="H650" s="1"/>
    </row>
    <row r="651" spans="1:8" ht="409.5" x14ac:dyDescent="0.25">
      <c r="A651" s="1" t="str">
        <f>HYPERLINK("https://www.albertahealthservices.ca/findhealth/Service.aspx?serviceAtFacilityId=1102310","Adult Mental Health Treatment Services")</f>
        <v>Adult Mental Health Treatment Services</v>
      </c>
      <c r="B651" s="1" t="s">
        <v>660</v>
      </c>
      <c r="C651" s="2" t="s">
        <v>125</v>
      </c>
      <c r="D651" s="2" t="s">
        <v>1412</v>
      </c>
      <c r="E651" s="1"/>
      <c r="F651" s="1" t="s">
        <v>34</v>
      </c>
      <c r="G651" s="2" t="s">
        <v>121</v>
      </c>
      <c r="H651" s="2" t="s">
        <v>2138</v>
      </c>
    </row>
    <row r="652" spans="1:8" ht="375" x14ac:dyDescent="0.25">
      <c r="A652" s="1" t="str">
        <f>HYPERLINK("https://www.albertahealthservices.ca/findhealth/Service.aspx?serviceAtFacilityId=1102488","Regional Collaborative Service Delivery - School based and school linked mental health teams")</f>
        <v>Regional Collaborative Service Delivery - School based and school linked mental health teams</v>
      </c>
      <c r="B652" s="1" t="s">
        <v>387</v>
      </c>
      <c r="C652" s="2" t="s">
        <v>688</v>
      </c>
      <c r="D652" s="2" t="s">
        <v>2139</v>
      </c>
      <c r="E652" s="1"/>
      <c r="F652" s="1" t="s">
        <v>34</v>
      </c>
      <c r="G652" s="2" t="s">
        <v>685</v>
      </c>
      <c r="H652" s="2" t="s">
        <v>2140</v>
      </c>
    </row>
    <row r="653" spans="1:8" ht="165" x14ac:dyDescent="0.25">
      <c r="A653" s="1" t="str">
        <f>HYPERLINK("https://www.albertahealthservices.ca/findhealth/Service.aspx?serviceAtFacilityId=1005635","Psychiatry Outpatient Clinic - Older Adults")</f>
        <v>Psychiatry Outpatient Clinic - Older Adults</v>
      </c>
      <c r="B653" s="1" t="s">
        <v>216</v>
      </c>
      <c r="C653" s="2" t="s">
        <v>2144</v>
      </c>
      <c r="D653" s="2" t="s">
        <v>2142</v>
      </c>
      <c r="E653" s="1"/>
      <c r="F653" s="2" t="s">
        <v>2143</v>
      </c>
      <c r="G653" s="2" t="s">
        <v>2141</v>
      </c>
      <c r="H653" s="1"/>
    </row>
    <row r="654" spans="1:8" ht="390" x14ac:dyDescent="0.25">
      <c r="A654" s="1" t="str">
        <f>HYPERLINK("https://www.albertahealthservices.ca/findhealth/Service.aspx?serviceAtFacilityId=1115284","Community Helpers Program")</f>
        <v>Community Helpers Program</v>
      </c>
      <c r="B654" s="1" t="s">
        <v>1612</v>
      </c>
      <c r="C654" s="2" t="s">
        <v>120</v>
      </c>
      <c r="D654" s="2" t="s">
        <v>2145</v>
      </c>
      <c r="E654" s="1"/>
      <c r="F654" s="2" t="s">
        <v>117</v>
      </c>
      <c r="G654" s="2" t="s">
        <v>115</v>
      </c>
      <c r="H654" s="2" t="s">
        <v>2146</v>
      </c>
    </row>
    <row r="655" spans="1:8" ht="150" x14ac:dyDescent="0.25">
      <c r="A655" s="1" t="str">
        <f>HYPERLINK("https://www.albertahealthservices.ca/findhealth/Service.aspx?serviceAtFacilityId=1107511","Mental Health Capacity Building - Vermilion Is Being Empowered")</f>
        <v>Mental Health Capacity Building - Vermilion Is Being Empowered</v>
      </c>
      <c r="B655" s="1" t="s">
        <v>2149</v>
      </c>
      <c r="C655" s="2" t="s">
        <v>826</v>
      </c>
      <c r="D655" s="2" t="s">
        <v>2147</v>
      </c>
      <c r="E655" s="1"/>
      <c r="F655" s="1" t="s">
        <v>34</v>
      </c>
      <c r="G655" s="2" t="s">
        <v>821</v>
      </c>
      <c r="H655" s="2" t="s">
        <v>2148</v>
      </c>
    </row>
    <row r="656" spans="1:8" ht="270" x14ac:dyDescent="0.25">
      <c r="A656" s="1" t="str">
        <f>HYPERLINK("https://www.albertahealthservices.ca/findhealth/Service.aspx?serviceAtFacilityId=1107565","School Health Services")</f>
        <v>School Health Services</v>
      </c>
      <c r="B656" s="1" t="s">
        <v>646</v>
      </c>
      <c r="C656" s="2" t="s">
        <v>641</v>
      </c>
      <c r="D656" s="2" t="s">
        <v>2150</v>
      </c>
      <c r="E656" s="1"/>
      <c r="F656" s="2" t="s">
        <v>818</v>
      </c>
      <c r="G656" s="2" t="s">
        <v>636</v>
      </c>
      <c r="H656" s="2" t="s">
        <v>2151</v>
      </c>
    </row>
    <row r="657" spans="1:8" ht="135" x14ac:dyDescent="0.25">
      <c r="A657" s="1" t="str">
        <f>HYPERLINK("https://www.albertahealthservices.ca/findhealth/Service.aspx?serviceAtFacilityId=1063202","Central Alberta Sexual Assault Response Team")</f>
        <v>Central Alberta Sexual Assault Response Team</v>
      </c>
      <c r="B657" s="1" t="s">
        <v>301</v>
      </c>
      <c r="C657" s="2" t="s">
        <v>2155</v>
      </c>
      <c r="D657" s="2" t="s">
        <v>2153</v>
      </c>
      <c r="E657" s="2" t="s">
        <v>2154</v>
      </c>
      <c r="F657" s="2" t="s">
        <v>23</v>
      </c>
      <c r="G657" s="2" t="s">
        <v>2152</v>
      </c>
      <c r="H657" s="1"/>
    </row>
    <row r="658" spans="1:8" ht="210" x14ac:dyDescent="0.25">
      <c r="A658" s="1" t="str">
        <f>HYPERLINK("https://www.albertahealthservices.ca/findhealth/Service.aspx?serviceAtFacilityId=1002270","Addiction and Mental Health Outreach Services")</f>
        <v>Addiction and Mental Health Outreach Services</v>
      </c>
      <c r="B658" s="1" t="s">
        <v>602</v>
      </c>
      <c r="C658" s="2" t="s">
        <v>2158</v>
      </c>
      <c r="D658" s="2" t="s">
        <v>2157</v>
      </c>
      <c r="E658" s="1"/>
      <c r="F658" s="2" t="s">
        <v>190</v>
      </c>
      <c r="G658" s="2" t="s">
        <v>2156</v>
      </c>
      <c r="H658" s="1"/>
    </row>
    <row r="659" spans="1:8" ht="270" x14ac:dyDescent="0.25">
      <c r="A659" s="1" t="str">
        <f>HYPERLINK("https://www.albertahealthservices.ca/findhealth/Service.aspx?serviceAtFacilityId=1102435","Addiction Services - Prevention")</f>
        <v>Addiction Services - Prevention</v>
      </c>
      <c r="B659" s="1" t="s">
        <v>342</v>
      </c>
      <c r="C659" s="2" t="s">
        <v>782</v>
      </c>
      <c r="D659" s="2" t="s">
        <v>2159</v>
      </c>
      <c r="E659" s="1"/>
      <c r="F659" s="2" t="s">
        <v>16</v>
      </c>
      <c r="G659" s="2" t="s">
        <v>778</v>
      </c>
      <c r="H659" s="2" t="s">
        <v>2160</v>
      </c>
    </row>
    <row r="660" spans="1:8" ht="135" x14ac:dyDescent="0.25">
      <c r="A660" s="1" t="str">
        <f>HYPERLINK("https://www.albertahealthservices.ca/findhealth/Service.aspx?serviceAtFacilityId=1120853","Addiction and Mental Health - Diversion Services")</f>
        <v>Addiction and Mental Health - Diversion Services</v>
      </c>
      <c r="B660" s="1" t="s">
        <v>243</v>
      </c>
      <c r="C660" s="2" t="s">
        <v>154</v>
      </c>
      <c r="D660" s="2" t="s">
        <v>2161</v>
      </c>
      <c r="E660" s="2" t="s">
        <v>152</v>
      </c>
      <c r="F660" s="2" t="s">
        <v>311</v>
      </c>
      <c r="G660" s="2" t="s">
        <v>149</v>
      </c>
      <c r="H660" s="2" t="s">
        <v>2162</v>
      </c>
    </row>
    <row r="661" spans="1:8" ht="390" x14ac:dyDescent="0.25">
      <c r="A661" s="1" t="str">
        <f>HYPERLINK("https://www.albertahealthservices.ca/findhealth/Service.aspx?serviceAtFacilityId=1106885","Designated Supportive Living Level 4 Dementia")</f>
        <v>Designated Supportive Living Level 4 Dementia</v>
      </c>
      <c r="B661" s="1" t="s">
        <v>2165</v>
      </c>
      <c r="C661" s="2" t="s">
        <v>31</v>
      </c>
      <c r="D661" s="2" t="s">
        <v>2163</v>
      </c>
      <c r="E661" s="1"/>
      <c r="F661" s="2" t="s">
        <v>23</v>
      </c>
      <c r="G661" s="2" t="s">
        <v>52</v>
      </c>
      <c r="H661" s="2" t="s">
        <v>2164</v>
      </c>
    </row>
    <row r="662" spans="1:8" ht="270" x14ac:dyDescent="0.25">
      <c r="A662" s="1" t="str">
        <f>HYPERLINK("https://www.albertahealthservices.ca/findhealth/Service.aspx?serviceAtFacilityId=1094015","Addiction Services - Prevention")</f>
        <v>Addiction Services - Prevention</v>
      </c>
      <c r="B662" s="1" t="s">
        <v>226</v>
      </c>
      <c r="C662" s="2" t="s">
        <v>782</v>
      </c>
      <c r="D662" s="2" t="s">
        <v>2166</v>
      </c>
      <c r="E662" s="1"/>
      <c r="F662" s="2" t="s">
        <v>311</v>
      </c>
      <c r="G662" s="2" t="s">
        <v>778</v>
      </c>
      <c r="H662" s="2" t="s">
        <v>2167</v>
      </c>
    </row>
    <row r="663" spans="1:8" ht="405" x14ac:dyDescent="0.25">
      <c r="A663" s="1" t="str">
        <f>HYPERLINK("https://www.albertahealthservices.ca/findhealth/Service.aspx?serviceAtFacilityId=1017149","Community Addiction &amp; Mental Health - Adult &amp; Youth Services")</f>
        <v>Community Addiction &amp; Mental Health - Adult &amp; Youth Services</v>
      </c>
      <c r="B663" s="1" t="s">
        <v>556</v>
      </c>
      <c r="C663" s="2" t="s">
        <v>133</v>
      </c>
      <c r="D663" s="2" t="s">
        <v>2168</v>
      </c>
      <c r="E663" s="1"/>
      <c r="F663" s="2" t="s">
        <v>257</v>
      </c>
      <c r="G663" s="2" t="s">
        <v>129</v>
      </c>
      <c r="H663" s="2" t="s">
        <v>2169</v>
      </c>
    </row>
    <row r="664" spans="1:8" ht="285" x14ac:dyDescent="0.25">
      <c r="A664" s="1" t="str">
        <f>HYPERLINK("https://www.albertahealthservices.ca/findhealth/Service.aspx?serviceAtFacilityId=1051988","School Health Program")</f>
        <v>School Health Program</v>
      </c>
      <c r="B664" s="1" t="s">
        <v>1052</v>
      </c>
      <c r="C664" s="2" t="s">
        <v>93</v>
      </c>
      <c r="D664" s="2" t="s">
        <v>2170</v>
      </c>
      <c r="E664" s="1"/>
      <c r="F664" s="1" t="s">
        <v>34</v>
      </c>
      <c r="G664" s="1" t="s">
        <v>89</v>
      </c>
      <c r="H664" s="2" t="s">
        <v>2171</v>
      </c>
    </row>
    <row r="665" spans="1:8" ht="409.5" x14ac:dyDescent="0.25">
      <c r="A665" s="1" t="str">
        <f>HYPERLINK("https://www.albertahealthservices.ca/findhealth/Service.aspx?serviceAtFacilityId=1090106","Continuing Care Counselling")</f>
        <v>Continuing Care Counselling</v>
      </c>
      <c r="B665" s="1" t="s">
        <v>2174</v>
      </c>
      <c r="C665" s="2" t="s">
        <v>163</v>
      </c>
      <c r="D665" s="2" t="s">
        <v>2172</v>
      </c>
      <c r="E665" s="1"/>
      <c r="F665" s="2" t="s">
        <v>261</v>
      </c>
      <c r="G665" s="2" t="s">
        <v>158</v>
      </c>
      <c r="H665" s="2" t="s">
        <v>2173</v>
      </c>
    </row>
    <row r="666" spans="1:8" ht="165" x14ac:dyDescent="0.25">
      <c r="A666" s="1" t="str">
        <f>HYPERLINK("https://www.albertahealthservices.ca/findhealth/Service.aspx?serviceAtFacilityId=1914","Urgent Psychiatric Consultation Clinic")</f>
        <v>Urgent Psychiatric Consultation Clinic</v>
      </c>
      <c r="B666" s="1" t="s">
        <v>103</v>
      </c>
      <c r="C666" s="2" t="s">
        <v>2177</v>
      </c>
      <c r="D666" s="2" t="s">
        <v>2176</v>
      </c>
      <c r="E666" s="1"/>
      <c r="F666" s="2" t="s">
        <v>117</v>
      </c>
      <c r="G666" s="2" t="s">
        <v>2175</v>
      </c>
      <c r="H666" s="1"/>
    </row>
    <row r="667" spans="1:8" ht="120" x14ac:dyDescent="0.25">
      <c r="A667" s="1" t="str">
        <f>HYPERLINK("https://www.albertahealthservices.ca/findhealth/Service.aspx?serviceAtFacilityId=1053865","Mental Health Services")</f>
        <v>Mental Health Services</v>
      </c>
      <c r="B667" s="1" t="s">
        <v>92</v>
      </c>
      <c r="C667" s="2" t="s">
        <v>249</v>
      </c>
      <c r="D667" s="2" t="s">
        <v>2178</v>
      </c>
      <c r="E667" s="1"/>
      <c r="F667" s="2" t="s">
        <v>311</v>
      </c>
      <c r="G667" s="2" t="s">
        <v>245</v>
      </c>
      <c r="H667" s="2" t="s">
        <v>2179</v>
      </c>
    </row>
    <row r="668" spans="1:8" ht="225" x14ac:dyDescent="0.25">
      <c r="A668" s="1" t="str">
        <f>HYPERLINK("https://www.albertahealthservices.ca/findhealth/Service.aspx?serviceAtFacilityId=1101816","Emergency Room Outreach Team - Mental Health")</f>
        <v>Emergency Room Outreach Team - Mental Health</v>
      </c>
      <c r="B668" s="1" t="s">
        <v>108</v>
      </c>
      <c r="C668" s="2" t="s">
        <v>104</v>
      </c>
      <c r="D668" s="2" t="s">
        <v>2180</v>
      </c>
      <c r="E668" s="1"/>
      <c r="F668" s="2" t="s">
        <v>2181</v>
      </c>
      <c r="G668" s="2" t="s">
        <v>99</v>
      </c>
      <c r="H668" s="2" t="s">
        <v>368</v>
      </c>
    </row>
    <row r="669" spans="1:8" ht="105" x14ac:dyDescent="0.25">
      <c r="A669" s="1" t="str">
        <f>HYPERLINK("https://www.albertahealthservices.ca/findhealth/Service.aspx?serviceAtFacilityId=1076157","Seniors Health Clinic")</f>
        <v>Seniors Health Clinic</v>
      </c>
      <c r="B669" s="1" t="s">
        <v>374</v>
      </c>
      <c r="C669" s="2" t="s">
        <v>2185</v>
      </c>
      <c r="D669" s="2" t="s">
        <v>2183</v>
      </c>
      <c r="E669" s="1"/>
      <c r="F669" s="2" t="s">
        <v>117</v>
      </c>
      <c r="G669" s="2" t="s">
        <v>2182</v>
      </c>
      <c r="H669" s="2" t="s">
        <v>2184</v>
      </c>
    </row>
    <row r="670" spans="1:8" ht="180" x14ac:dyDescent="0.25">
      <c r="A670" s="1" t="str">
        <f>HYPERLINK("https://www.albertahealthservices.ca/findhealth/Service.aspx?serviceAtFacilityId=1090354","Neuropsychology Clinic")</f>
        <v>Neuropsychology Clinic</v>
      </c>
      <c r="B670" s="1" t="s">
        <v>2188</v>
      </c>
      <c r="C670" s="2" t="s">
        <v>2189</v>
      </c>
      <c r="D670" s="2" t="s">
        <v>2187</v>
      </c>
      <c r="E670" s="1"/>
      <c r="F670" s="2" t="s">
        <v>201</v>
      </c>
      <c r="G670" s="2" t="s">
        <v>2186</v>
      </c>
      <c r="H670" s="1"/>
    </row>
    <row r="671" spans="1:8" ht="375" x14ac:dyDescent="0.25">
      <c r="A671" s="1" t="str">
        <f>HYPERLINK("https://www.albertahealthservices.ca/findhealth/Service.aspx?serviceAtFacilityId=1102476","Regional Collaborative Service Delivery - School based and school linked mental health teams")</f>
        <v>Regional Collaborative Service Delivery - School based and school linked mental health teams</v>
      </c>
      <c r="B671" s="1" t="s">
        <v>192</v>
      </c>
      <c r="C671" s="2" t="s">
        <v>688</v>
      </c>
      <c r="D671" s="2" t="s">
        <v>2190</v>
      </c>
      <c r="E671" s="1"/>
      <c r="F671" s="1" t="s">
        <v>34</v>
      </c>
      <c r="G671" s="2" t="s">
        <v>685</v>
      </c>
      <c r="H671" s="2" t="s">
        <v>2191</v>
      </c>
    </row>
    <row r="672" spans="1:8" ht="270" x14ac:dyDescent="0.25">
      <c r="A672" s="1" t="str">
        <f>HYPERLINK("https://www.albertahealthservices.ca/findhealth/Service.aspx?serviceAtFacilityId=1107555","School Health Services")</f>
        <v>School Health Services</v>
      </c>
      <c r="B672" s="1" t="s">
        <v>2195</v>
      </c>
      <c r="C672" s="2" t="s">
        <v>641</v>
      </c>
      <c r="D672" s="2" t="s">
        <v>2192</v>
      </c>
      <c r="E672" s="1"/>
      <c r="F672" s="2" t="s">
        <v>2193</v>
      </c>
      <c r="G672" s="2" t="s">
        <v>636</v>
      </c>
      <c r="H672" s="2" t="s">
        <v>2194</v>
      </c>
    </row>
    <row r="673" spans="1:8" ht="330" x14ac:dyDescent="0.25">
      <c r="A673" s="1" t="str">
        <f>HYPERLINK("https://www.albertahealthservices.ca/findhealth/Service.aspx?serviceAtFacilityId=1048107","Pastoral Care Services")</f>
        <v>Pastoral Care Services</v>
      </c>
      <c r="B673" s="1" t="s">
        <v>768</v>
      </c>
      <c r="C673" s="2" t="s">
        <v>423</v>
      </c>
      <c r="D673" s="2" t="s">
        <v>2196</v>
      </c>
      <c r="E673" s="1"/>
      <c r="F673" s="1" t="s">
        <v>34</v>
      </c>
      <c r="G673" s="2" t="s">
        <v>419</v>
      </c>
      <c r="H673" s="2" t="s">
        <v>2197</v>
      </c>
    </row>
    <row r="674" spans="1:8" ht="195" x14ac:dyDescent="0.25">
      <c r="A674" s="1" t="str">
        <f>HYPERLINK("https://www.albertahealthservices.ca/findhealth/Service.aspx?serviceAtFacilityId=1107466","Addiction Services - Adult Counselling")</f>
        <v>Addiction Services - Adult Counselling</v>
      </c>
      <c r="B674" s="1" t="s">
        <v>629</v>
      </c>
      <c r="C674" s="2" t="s">
        <v>949</v>
      </c>
      <c r="D674" s="2" t="s">
        <v>2198</v>
      </c>
      <c r="E674" s="1"/>
      <c r="F674" s="2" t="s">
        <v>2199</v>
      </c>
      <c r="G674" s="2" t="s">
        <v>945</v>
      </c>
      <c r="H674" s="2" t="s">
        <v>2200</v>
      </c>
    </row>
    <row r="675" spans="1:8" ht="390" x14ac:dyDescent="0.25">
      <c r="A675" s="1" t="str">
        <f>HYPERLINK("https://www.albertahealthservices.ca/findhealth/Service.aspx?serviceAtFacilityId=1107758","Children's Mental Health Treatment Services")</f>
        <v>Children's Mental Health Treatment Services</v>
      </c>
      <c r="B675" s="1" t="s">
        <v>1768</v>
      </c>
      <c r="C675" s="2" t="s">
        <v>84</v>
      </c>
      <c r="D675" s="2" t="s">
        <v>1766</v>
      </c>
      <c r="E675" s="2" t="s">
        <v>82</v>
      </c>
      <c r="F675" s="2" t="s">
        <v>716</v>
      </c>
      <c r="G675" s="2" t="s">
        <v>79</v>
      </c>
      <c r="H675" s="2" t="s">
        <v>2201</v>
      </c>
    </row>
    <row r="676" spans="1:8" ht="409.5" x14ac:dyDescent="0.25">
      <c r="A676" s="1" t="str">
        <f>HYPERLINK("https://www.albertahealthservices.ca/findhealth/Service.aspx?serviceAtFacilityId=1090365","Eating Disorder Services")</f>
        <v>Eating Disorder Services</v>
      </c>
      <c r="B676" s="1" t="s">
        <v>157</v>
      </c>
      <c r="C676" s="2" t="s">
        <v>212</v>
      </c>
      <c r="D676" s="2" t="s">
        <v>2202</v>
      </c>
      <c r="E676" s="1"/>
      <c r="F676" s="2" t="s">
        <v>201</v>
      </c>
      <c r="G676" s="2" t="s">
        <v>209</v>
      </c>
      <c r="H676" s="2" t="s">
        <v>2203</v>
      </c>
    </row>
    <row r="677" spans="1:8" ht="409.5" x14ac:dyDescent="0.25">
      <c r="A677" s="1" t="str">
        <f>HYPERLINK("https://www.albertahealthservices.ca/findhealth/Service.aspx?serviceAtFacilityId=1040569","Mental Health Services")</f>
        <v>Mental Health Services</v>
      </c>
      <c r="B677" s="1" t="s">
        <v>124</v>
      </c>
      <c r="C677" s="2" t="s">
        <v>98</v>
      </c>
      <c r="D677" s="2" t="s">
        <v>2204</v>
      </c>
      <c r="E677" s="1"/>
      <c r="F677" s="2" t="s">
        <v>2205</v>
      </c>
      <c r="G677" s="2" t="s">
        <v>94</v>
      </c>
      <c r="H677" s="2" t="s">
        <v>2206</v>
      </c>
    </row>
    <row r="678" spans="1:8" ht="375" x14ac:dyDescent="0.25">
      <c r="A678" s="1" t="str">
        <f>HYPERLINK("https://www.albertahealthservices.ca/findhealth/Service.aspx?serviceAtFacilityId=1102336","Mental Health Information, Promotion and Prevention")</f>
        <v>Mental Health Information, Promotion and Prevention</v>
      </c>
      <c r="B678" s="1" t="s">
        <v>855</v>
      </c>
      <c r="C678" s="2" t="s">
        <v>20</v>
      </c>
      <c r="D678" s="2" t="s">
        <v>2207</v>
      </c>
      <c r="E678" s="2" t="s">
        <v>17</v>
      </c>
      <c r="F678" s="2" t="s">
        <v>716</v>
      </c>
      <c r="G678" s="2" t="s">
        <v>14</v>
      </c>
      <c r="H678" s="2" t="s">
        <v>2208</v>
      </c>
    </row>
    <row r="679" spans="1:8" ht="150" x14ac:dyDescent="0.25">
      <c r="A679" s="1" t="str">
        <f>HYPERLINK("https://www.albertahealthservices.ca/findhealth/Service.aspx?serviceAtFacilityId=1108757","Complex Kids - Child &amp; Adolescent Addictions &amp; Mental Health")</f>
        <v>Complex Kids - Child &amp; Adolescent Addictions &amp; Mental Health</v>
      </c>
      <c r="B679" s="1" t="s">
        <v>2210</v>
      </c>
      <c r="C679" s="2" t="s">
        <v>277</v>
      </c>
      <c r="D679" s="2" t="s">
        <v>2209</v>
      </c>
      <c r="E679" s="2" t="s">
        <v>274</v>
      </c>
      <c r="F679" s="2" t="s">
        <v>117</v>
      </c>
      <c r="G679" s="2" t="s">
        <v>272</v>
      </c>
      <c r="H679" s="1" t="s">
        <v>276</v>
      </c>
    </row>
    <row r="680" spans="1:8" ht="150" x14ac:dyDescent="0.25">
      <c r="A680" s="1" t="str">
        <f>HYPERLINK("https://www.albertahealthservices.ca/findhealth/Service.aspx?serviceAtFacilityId=1108360","Mental Health Capacity Building - When We Are Healthy")</f>
        <v>Mental Health Capacity Building - When We Are Healthy</v>
      </c>
      <c r="B680" s="1" t="s">
        <v>2214</v>
      </c>
      <c r="C680" s="2" t="s">
        <v>462</v>
      </c>
      <c r="D680" s="2" t="s">
        <v>2212</v>
      </c>
      <c r="E680" s="1"/>
      <c r="F680" s="2" t="s">
        <v>201</v>
      </c>
      <c r="G680" s="2" t="s">
        <v>2211</v>
      </c>
      <c r="H680" s="1" t="s">
        <v>2213</v>
      </c>
    </row>
    <row r="681" spans="1:8" ht="120" x14ac:dyDescent="0.25">
      <c r="A681" s="1" t="str">
        <f>HYPERLINK("https://www.albertahealthservices.ca/findhealth/Service.aspx?serviceAtFacilityId=1116004","Spiritual Care Services")</f>
        <v>Spiritual Care Services</v>
      </c>
      <c r="B681" s="1" t="s">
        <v>1976</v>
      </c>
      <c r="C681" s="2" t="s">
        <v>453</v>
      </c>
      <c r="D681" s="2" t="s">
        <v>2215</v>
      </c>
      <c r="E681" s="1"/>
      <c r="F681" s="1" t="s">
        <v>34</v>
      </c>
      <c r="G681" s="2" t="s">
        <v>449</v>
      </c>
      <c r="H681" s="2" t="s">
        <v>2216</v>
      </c>
    </row>
    <row r="682" spans="1:8" ht="180" x14ac:dyDescent="0.25">
      <c r="A682" s="1" t="str">
        <f>HYPERLINK("https://www.albertahealthservices.ca/findhealth/Service.aspx?serviceAtFacilityId=1089256","Concurrent Disorders Enhanced Service")</f>
        <v>Concurrent Disorders Enhanced Service</v>
      </c>
      <c r="B682" s="1" t="s">
        <v>552</v>
      </c>
      <c r="C682" s="2" t="s">
        <v>2219</v>
      </c>
      <c r="D682" s="2" t="s">
        <v>2218</v>
      </c>
      <c r="E682" s="1"/>
      <c r="F682" s="2" t="s">
        <v>23</v>
      </c>
      <c r="G682" s="2" t="s">
        <v>2217</v>
      </c>
      <c r="H682" s="1"/>
    </row>
    <row r="683" spans="1:8" ht="180" x14ac:dyDescent="0.25">
      <c r="A683" s="1" t="str">
        <f>HYPERLINK("https://www.albertahealthservices.ca/findhealth/Service.aspx?serviceAtFacilityId=1000328","Community Mental Health Service")</f>
        <v>Community Mental Health Service</v>
      </c>
      <c r="B683" s="1" t="s">
        <v>2223</v>
      </c>
      <c r="C683" s="2" t="s">
        <v>313</v>
      </c>
      <c r="D683" s="2" t="s">
        <v>2220</v>
      </c>
      <c r="E683" s="1"/>
      <c r="F683" s="2" t="s">
        <v>2221</v>
      </c>
      <c r="G683" s="2" t="s">
        <v>309</v>
      </c>
      <c r="H683" s="2" t="s">
        <v>2222</v>
      </c>
    </row>
    <row r="684" spans="1:8" ht="270" x14ac:dyDescent="0.25">
      <c r="A684" s="1" t="str">
        <f>HYPERLINK("https://www.albertahealthservices.ca/findhealth/Service.aspx?serviceAtFacilityId=1094004","Addiction Services - Prevention")</f>
        <v>Addiction Services - Prevention</v>
      </c>
      <c r="B684" s="1" t="s">
        <v>860</v>
      </c>
      <c r="C684" s="2" t="s">
        <v>782</v>
      </c>
      <c r="D684" s="2" t="s">
        <v>1892</v>
      </c>
      <c r="E684" s="1"/>
      <c r="F684" s="2" t="s">
        <v>2224</v>
      </c>
      <c r="G684" s="2" t="s">
        <v>778</v>
      </c>
      <c r="H684" s="2" t="s">
        <v>2225</v>
      </c>
    </row>
    <row r="685" spans="1:8" ht="315" x14ac:dyDescent="0.25">
      <c r="A685" s="1" t="str">
        <f>HYPERLINK("https://www.albertahealthservices.ca/findhealth/Service.aspx?serviceAtFacilityId=1088605","Postpartum Depression Support")</f>
        <v>Postpartum Depression Support</v>
      </c>
      <c r="B685" s="1" t="s">
        <v>390</v>
      </c>
      <c r="C685" s="2" t="s">
        <v>114</v>
      </c>
      <c r="D685" s="2" t="s">
        <v>2226</v>
      </c>
      <c r="E685" s="1"/>
      <c r="F685" s="1" t="s">
        <v>34</v>
      </c>
      <c r="G685" s="1"/>
      <c r="H685" s="2" t="s">
        <v>2227</v>
      </c>
    </row>
    <row r="686" spans="1:8" ht="315" x14ac:dyDescent="0.25">
      <c r="A686" s="1" t="str">
        <f>HYPERLINK("https://www.albertahealthservices.ca/findhealth/Service.aspx?serviceAtFacilityId=1006532","Postpartum Depression Support")</f>
        <v>Postpartum Depression Support</v>
      </c>
      <c r="B686" s="1" t="s">
        <v>2230</v>
      </c>
      <c r="C686" s="2" t="s">
        <v>114</v>
      </c>
      <c r="D686" s="2" t="s">
        <v>2228</v>
      </c>
      <c r="E686" s="1"/>
      <c r="F686" s="1" t="s">
        <v>34</v>
      </c>
      <c r="G686" s="1"/>
      <c r="H686" s="2" t="s">
        <v>2229</v>
      </c>
    </row>
    <row r="687" spans="1:8" ht="255" x14ac:dyDescent="0.25">
      <c r="A687" s="1" t="str">
        <f>HYPERLINK("https://www.albertahealthservices.ca/findhealth/Service.aspx?serviceAtFacilityId=1046542","Addiction and Mental Health - Adult and Youth Intake")</f>
        <v>Addiction and Mental Health - Adult and Youth Intake</v>
      </c>
      <c r="B687" s="1" t="s">
        <v>2070</v>
      </c>
      <c r="C687" s="2" t="s">
        <v>78</v>
      </c>
      <c r="D687" s="2" t="s">
        <v>2231</v>
      </c>
      <c r="E687" s="1"/>
      <c r="F687" s="2" t="s">
        <v>716</v>
      </c>
      <c r="G687" s="2" t="s">
        <v>73</v>
      </c>
      <c r="H687" s="2" t="s">
        <v>2232</v>
      </c>
    </row>
    <row r="688" spans="1:8" ht="210" x14ac:dyDescent="0.25">
      <c r="A688" s="1" t="str">
        <f>HYPERLINK("https://www.albertahealthservices.ca/findhealth/Service.aspx?serviceAtFacilityId=1046078","Assertive Community Treatment Service - Mental Health")</f>
        <v>Assertive Community Treatment Service - Mental Health</v>
      </c>
      <c r="B688" s="1" t="s">
        <v>1020</v>
      </c>
      <c r="C688" s="2" t="s">
        <v>2236</v>
      </c>
      <c r="D688" s="2" t="s">
        <v>2234</v>
      </c>
      <c r="E688" s="1"/>
      <c r="F688" s="2" t="s">
        <v>2235</v>
      </c>
      <c r="G688" s="2" t="s">
        <v>2233</v>
      </c>
      <c r="H688" s="1" t="s">
        <v>847</v>
      </c>
    </row>
    <row r="689" spans="1:8" ht="300" x14ac:dyDescent="0.25">
      <c r="A689" s="1" t="str">
        <f>HYPERLINK("https://www.albertahealthservices.ca/findhealth/Service.aspx?serviceAtFacilityId=1072805","Spiritual Care Services")</f>
        <v>Spiritual Care Services</v>
      </c>
      <c r="B689" s="1" t="s">
        <v>456</v>
      </c>
      <c r="C689" s="2" t="s">
        <v>971</v>
      </c>
      <c r="D689" s="2" t="s">
        <v>2237</v>
      </c>
      <c r="E689" s="1"/>
      <c r="F689" s="2" t="s">
        <v>2238</v>
      </c>
      <c r="G689" s="2" t="s">
        <v>968</v>
      </c>
      <c r="H689" s="2" t="s">
        <v>2239</v>
      </c>
    </row>
    <row r="690" spans="1:8" ht="390" x14ac:dyDescent="0.25">
      <c r="A690" s="1" t="str">
        <f>HYPERLINK("https://www.albertahealthservices.ca/findhealth/Service.aspx?serviceAtFacilityId=1102354","Children's Mental Health Treatment Services")</f>
        <v>Children's Mental Health Treatment Services</v>
      </c>
      <c r="B690" s="1" t="s">
        <v>1206</v>
      </c>
      <c r="C690" s="2" t="s">
        <v>84</v>
      </c>
      <c r="D690" s="2" t="s">
        <v>2240</v>
      </c>
      <c r="E690" s="2" t="s">
        <v>82</v>
      </c>
      <c r="F690" s="2" t="s">
        <v>2241</v>
      </c>
      <c r="G690" s="2" t="s">
        <v>79</v>
      </c>
      <c r="H690" s="2" t="s">
        <v>2242</v>
      </c>
    </row>
    <row r="691" spans="1:8" ht="409.5" x14ac:dyDescent="0.25">
      <c r="A691" s="1" t="str">
        <f>HYPERLINK("https://www.albertahealthservices.ca/findhealth/Service.aspx?serviceAtFacilityId=1116606","Mental Health Services")</f>
        <v>Mental Health Services</v>
      </c>
      <c r="B691" s="1" t="s">
        <v>691</v>
      </c>
      <c r="C691" s="2" t="s">
        <v>98</v>
      </c>
      <c r="D691" s="2" t="s">
        <v>712</v>
      </c>
      <c r="E691" s="1"/>
      <c r="F691" s="2" t="s">
        <v>713</v>
      </c>
      <c r="G691" s="2" t="s">
        <v>94</v>
      </c>
      <c r="H691" s="2" t="s">
        <v>2243</v>
      </c>
    </row>
    <row r="692" spans="1:8" ht="180" x14ac:dyDescent="0.25">
      <c r="A692" s="1" t="str">
        <f>HYPERLINK("https://www.albertahealthservices.ca/findhealth/Service.aspx?serviceAtFacilityId=1103495","Community Treatment Order")</f>
        <v>Community Treatment Order</v>
      </c>
      <c r="B692" s="1" t="s">
        <v>843</v>
      </c>
      <c r="C692" s="2" t="s">
        <v>844</v>
      </c>
      <c r="D692" s="2" t="s">
        <v>2244</v>
      </c>
      <c r="E692" s="1"/>
      <c r="F692" s="2" t="s">
        <v>2245</v>
      </c>
      <c r="G692" s="2" t="s">
        <v>841</v>
      </c>
      <c r="H692" s="1" t="s">
        <v>242</v>
      </c>
    </row>
    <row r="693" spans="1:8" ht="180" x14ac:dyDescent="0.25">
      <c r="A693" s="1" t="str">
        <f>HYPERLINK("https://www.albertahealthservices.ca/findhealth/Service.aspx?serviceAtFacilityId=1051505","Seniors Mental Health Program Community Services, Seniors Outreach Nurses")</f>
        <v>Seniors Mental Health Program Community Services, Seniors Outreach Nurses</v>
      </c>
      <c r="B693" s="1" t="s">
        <v>1692</v>
      </c>
      <c r="C693" s="2" t="s">
        <v>471</v>
      </c>
      <c r="D693" s="2" t="s">
        <v>2246</v>
      </c>
      <c r="E693" s="1"/>
      <c r="F693" s="2" t="s">
        <v>2247</v>
      </c>
      <c r="G693" s="2" t="s">
        <v>467</v>
      </c>
      <c r="H693" s="2" t="s">
        <v>2248</v>
      </c>
    </row>
    <row r="694" spans="1:8" ht="105" x14ac:dyDescent="0.25">
      <c r="A694" s="1" t="str">
        <f>HYPERLINK("https://www.albertahealthservices.ca/findhealth/Service.aspx?serviceAtFacilityId=1110057","Pediatric Psychiatry - Inpatient")</f>
        <v>Pediatric Psychiatry - Inpatient</v>
      </c>
      <c r="B694" s="1" t="s">
        <v>456</v>
      </c>
      <c r="C694" s="2" t="s">
        <v>549</v>
      </c>
      <c r="D694" s="2" t="s">
        <v>2249</v>
      </c>
      <c r="E694" s="1"/>
      <c r="F694" s="2" t="s">
        <v>23</v>
      </c>
      <c r="G694" s="2" t="s">
        <v>547</v>
      </c>
      <c r="H694" s="2" t="s">
        <v>2250</v>
      </c>
    </row>
    <row r="695" spans="1:8" ht="180" x14ac:dyDescent="0.25">
      <c r="A695" s="1" t="str">
        <f>HYPERLINK("https://www.albertahealthservices.ca/findhealth/Service.aspx?serviceAtFacilityId=1009941","Treatment Resistant Attention Deficit Disorder Clinic - Mental Health")</f>
        <v>Treatment Resistant Attention Deficit Disorder Clinic - Mental Health</v>
      </c>
      <c r="B695" s="1" t="s">
        <v>276</v>
      </c>
      <c r="C695" s="2" t="s">
        <v>2254</v>
      </c>
      <c r="D695" s="2" t="s">
        <v>2252</v>
      </c>
      <c r="E695" s="1"/>
      <c r="F695" s="2" t="s">
        <v>2253</v>
      </c>
      <c r="G695" s="2" t="s">
        <v>2251</v>
      </c>
      <c r="H695" s="1"/>
    </row>
    <row r="696" spans="1:8" ht="255" x14ac:dyDescent="0.25">
      <c r="A696" s="1" t="str">
        <f>HYPERLINK("https://www.albertahealthservices.ca/findhealth/Service.aspx?serviceAtFacilityId=1040227","Labour and Delivery Services, Postpartum and Newborn Care")</f>
        <v>Labour and Delivery Services, Postpartum and Newborn Care</v>
      </c>
      <c r="B696" s="1" t="s">
        <v>378</v>
      </c>
      <c r="C696" s="2" t="s">
        <v>109</v>
      </c>
      <c r="D696" s="2" t="s">
        <v>2255</v>
      </c>
      <c r="E696" s="1"/>
      <c r="F696" s="2" t="s">
        <v>23</v>
      </c>
      <c r="G696" s="2" t="s">
        <v>105</v>
      </c>
      <c r="H696" s="2" t="s">
        <v>2256</v>
      </c>
    </row>
    <row r="697" spans="1:8" ht="409.5" x14ac:dyDescent="0.25">
      <c r="A697" s="1" t="str">
        <f>HYPERLINK("https://www.albertahealthservices.ca/findhealth/Service.aspx?serviceAtFacilityId=1102314","Adult Mental Health Treatment Services")</f>
        <v>Adult Mental Health Treatment Services</v>
      </c>
      <c r="B697" s="1" t="s">
        <v>394</v>
      </c>
      <c r="C697" s="2" t="s">
        <v>125</v>
      </c>
      <c r="D697" s="2" t="s">
        <v>2257</v>
      </c>
      <c r="E697" s="1"/>
      <c r="F697" s="1" t="s">
        <v>34</v>
      </c>
      <c r="G697" s="2" t="s">
        <v>121</v>
      </c>
      <c r="H697" s="2" t="s">
        <v>2258</v>
      </c>
    </row>
    <row r="698" spans="1:8" ht="255" x14ac:dyDescent="0.25">
      <c r="A698" s="1" t="str">
        <f>HYPERLINK("https://www.albertahealthservices.ca/findhealth/Service.aspx?serviceAtFacilityId=1071507","Addiction and Mental Health - Adult and Youth Intake")</f>
        <v>Addiction and Mental Health - Adult and Youth Intake</v>
      </c>
      <c r="B698" s="1" t="s">
        <v>148</v>
      </c>
      <c r="C698" s="2" t="s">
        <v>78</v>
      </c>
      <c r="D698" s="2" t="s">
        <v>2259</v>
      </c>
      <c r="E698" s="1"/>
      <c r="F698" s="2" t="s">
        <v>2260</v>
      </c>
      <c r="G698" s="2" t="s">
        <v>73</v>
      </c>
      <c r="H698" s="2" t="s">
        <v>2261</v>
      </c>
    </row>
    <row r="699" spans="1:8" ht="390" x14ac:dyDescent="0.25">
      <c r="A699" s="1" t="str">
        <f>HYPERLINK("https://www.albertahealthservices.ca/findhealth/Service.aspx?serviceAtFacilityId=1102347","Children's Mental Health Treatment Services")</f>
        <v>Children's Mental Health Treatment Services</v>
      </c>
      <c r="B699" s="1" t="s">
        <v>484</v>
      </c>
      <c r="C699" s="2" t="s">
        <v>84</v>
      </c>
      <c r="D699" s="2" t="s">
        <v>1580</v>
      </c>
      <c r="E699" s="2" t="s">
        <v>82</v>
      </c>
      <c r="F699" s="2" t="s">
        <v>2262</v>
      </c>
      <c r="G699" s="2" t="s">
        <v>79</v>
      </c>
      <c r="H699" s="2" t="s">
        <v>2263</v>
      </c>
    </row>
    <row r="700" spans="1:8" ht="120" x14ac:dyDescent="0.25">
      <c r="A700" s="1" t="str">
        <f>HYPERLINK("https://www.albertahealthservices.ca/findhealth/Service.aspx?serviceAtFacilityId=1116001","Spiritual Care Services")</f>
        <v>Spiritual Care Services</v>
      </c>
      <c r="B700" s="1" t="s">
        <v>953</v>
      </c>
      <c r="C700" s="2" t="s">
        <v>453</v>
      </c>
      <c r="D700" s="2" t="s">
        <v>2264</v>
      </c>
      <c r="E700" s="1"/>
      <c r="F700" s="1" t="s">
        <v>34</v>
      </c>
      <c r="G700" s="2" t="s">
        <v>449</v>
      </c>
      <c r="H700" s="2" t="s">
        <v>2265</v>
      </c>
    </row>
    <row r="701" spans="1:8" ht="390" x14ac:dyDescent="0.25">
      <c r="A701" s="1" t="str">
        <f>HYPERLINK("https://www.albertahealthservices.ca/findhealth/Service.aspx?serviceAtFacilityId=1104605","Designated Supportive Living Level 4 Dementia")</f>
        <v>Designated Supportive Living Level 4 Dementia</v>
      </c>
      <c r="B701" s="1" t="s">
        <v>2268</v>
      </c>
      <c r="C701" s="2" t="s">
        <v>31</v>
      </c>
      <c r="D701" s="2" t="s">
        <v>2266</v>
      </c>
      <c r="E701" s="1"/>
      <c r="F701" s="2" t="s">
        <v>23</v>
      </c>
      <c r="G701" s="2" t="s">
        <v>52</v>
      </c>
      <c r="H701" s="2" t="s">
        <v>2267</v>
      </c>
    </row>
    <row r="702" spans="1:8" ht="210" x14ac:dyDescent="0.25">
      <c r="A702" s="1" t="str">
        <f>HYPERLINK("https://www.albertahealthservices.ca/findhealth/Service.aspx?serviceAtFacilityId=1107467","Addiction Services - Youth Counselling")</f>
        <v>Addiction Services - Youth Counselling</v>
      </c>
      <c r="B702" s="1" t="s">
        <v>629</v>
      </c>
      <c r="C702" s="2" t="s">
        <v>875</v>
      </c>
      <c r="D702" s="2" t="s">
        <v>2198</v>
      </c>
      <c r="E702" s="1"/>
      <c r="F702" s="2" t="s">
        <v>2269</v>
      </c>
      <c r="G702" s="2" t="s">
        <v>870</v>
      </c>
      <c r="H702" s="2" t="s">
        <v>2270</v>
      </c>
    </row>
    <row r="703" spans="1:8" ht="345" x14ac:dyDescent="0.25">
      <c r="A703" s="1" t="str">
        <f>HYPERLINK("https://www.albertahealthservices.ca/findhealth/Service.aspx?serviceAtFacilityId=1104473","Designated Supportive Living Level 4 Dementia")</f>
        <v>Designated Supportive Living Level 4 Dementia</v>
      </c>
      <c r="B703" s="1" t="s">
        <v>2273</v>
      </c>
      <c r="C703" s="2" t="s">
        <v>31</v>
      </c>
      <c r="D703" s="2" t="s">
        <v>2271</v>
      </c>
      <c r="E703" s="1"/>
      <c r="F703" s="2" t="s">
        <v>23</v>
      </c>
      <c r="G703" s="2" t="s">
        <v>182</v>
      </c>
      <c r="H703" s="2" t="s">
        <v>2272</v>
      </c>
    </row>
    <row r="704" spans="1:8" ht="375" x14ac:dyDescent="0.25">
      <c r="A704" s="1" t="str">
        <f>HYPERLINK("https://www.albertahealthservices.ca/findhealth/Service.aspx?serviceAtFacilityId=1102334","Mental Health Information, Promotion and Prevention")</f>
        <v>Mental Health Information, Promotion and Prevention</v>
      </c>
      <c r="B704" s="1" t="s">
        <v>77</v>
      </c>
      <c r="C704" s="2" t="s">
        <v>20</v>
      </c>
      <c r="D704" s="2" t="s">
        <v>686</v>
      </c>
      <c r="E704" s="2" t="s">
        <v>17</v>
      </c>
      <c r="F704" s="1" t="s">
        <v>34</v>
      </c>
      <c r="G704" s="2" t="s">
        <v>14</v>
      </c>
      <c r="H704" s="2" t="s">
        <v>2274</v>
      </c>
    </row>
    <row r="705" spans="1:8" ht="375" x14ac:dyDescent="0.25">
      <c r="A705" s="1" t="str">
        <f>HYPERLINK("https://www.albertahealthservices.ca/findhealth/Service.aspx?serviceAtFacilityId=1115278","Community Helpers Program")</f>
        <v>Community Helpers Program</v>
      </c>
      <c r="B705" s="1" t="s">
        <v>2277</v>
      </c>
      <c r="C705" s="2" t="s">
        <v>120</v>
      </c>
      <c r="D705" s="2" t="s">
        <v>2275</v>
      </c>
      <c r="E705" s="1"/>
      <c r="F705" s="2" t="s">
        <v>117</v>
      </c>
      <c r="G705" s="2" t="s">
        <v>115</v>
      </c>
      <c r="H705" s="2" t="s">
        <v>2276</v>
      </c>
    </row>
    <row r="706" spans="1:8" ht="270" x14ac:dyDescent="0.25">
      <c r="A706" s="1" t="str">
        <f>HYPERLINK("https://www.albertahealthservices.ca/findhealth/Service.aspx?serviceAtFacilityId=1093978","Addiction Services - Prevention")</f>
        <v>Addiction Services - Prevention</v>
      </c>
      <c r="B706" s="1" t="s">
        <v>2281</v>
      </c>
      <c r="C706" s="2" t="s">
        <v>493</v>
      </c>
      <c r="D706" s="2" t="s">
        <v>2278</v>
      </c>
      <c r="E706" s="1"/>
      <c r="F706" s="2" t="s">
        <v>2279</v>
      </c>
      <c r="G706" s="2" t="s">
        <v>489</v>
      </c>
      <c r="H706" s="2" t="s">
        <v>2280</v>
      </c>
    </row>
    <row r="707" spans="1:8" ht="135" x14ac:dyDescent="0.25">
      <c r="A707" s="1" t="str">
        <f>HYPERLINK("https://www.albertahealthservices.ca/findhealth/Service.aspx?serviceAtFacilityId=1116872","Addiction and Mental Health - Diversion Services")</f>
        <v>Addiction and Mental Health - Diversion Services</v>
      </c>
      <c r="B707" s="1" t="s">
        <v>1654</v>
      </c>
      <c r="C707" s="2" t="s">
        <v>154</v>
      </c>
      <c r="D707" s="2" t="s">
        <v>1651</v>
      </c>
      <c r="E707" s="2" t="s">
        <v>152</v>
      </c>
      <c r="F707" s="2" t="s">
        <v>311</v>
      </c>
      <c r="G707" s="2" t="s">
        <v>149</v>
      </c>
      <c r="H707" s="2" t="s">
        <v>2282</v>
      </c>
    </row>
    <row r="708" spans="1:8" ht="405" x14ac:dyDescent="0.25">
      <c r="A708" s="1" t="str">
        <f>HYPERLINK("https://www.albertahealthservices.ca/findhealth/Service.aspx?serviceAtFacilityId=1017118","Community Addiction &amp; Mental Health - Adult &amp; Youth Services")</f>
        <v>Community Addiction &amp; Mental Health - Adult &amp; Youth Services</v>
      </c>
      <c r="B708" s="1" t="s">
        <v>674</v>
      </c>
      <c r="C708" s="2" t="s">
        <v>133</v>
      </c>
      <c r="D708" s="2" t="s">
        <v>2283</v>
      </c>
      <c r="E708" s="1"/>
      <c r="F708" s="2" t="s">
        <v>311</v>
      </c>
      <c r="G708" s="2" t="s">
        <v>129</v>
      </c>
      <c r="H708" s="2" t="s">
        <v>2284</v>
      </c>
    </row>
    <row r="709" spans="1:8" ht="345" x14ac:dyDescent="0.25">
      <c r="A709" s="1" t="str">
        <f>HYPERLINK("https://www.albertahealthservices.ca/findhealth/Service.aspx?serviceAtFacilityId=1106313","Designated Supportive Living Level 4 Dementia")</f>
        <v>Designated Supportive Living Level 4 Dementia</v>
      </c>
      <c r="B709" s="1" t="s">
        <v>2287</v>
      </c>
      <c r="C709" s="2" t="s">
        <v>31</v>
      </c>
      <c r="D709" s="2" t="s">
        <v>2285</v>
      </c>
      <c r="E709" s="1"/>
      <c r="F709" s="2" t="s">
        <v>23</v>
      </c>
      <c r="G709" s="2" t="s">
        <v>182</v>
      </c>
      <c r="H709" s="2" t="s">
        <v>2286</v>
      </c>
    </row>
    <row r="710" spans="1:8" ht="180" x14ac:dyDescent="0.25">
      <c r="A710" s="1" t="str">
        <f>HYPERLINK("https://www.albertahealthservices.ca/findhealth/Service.aspx?serviceAtFacilityId=1033756","Short Stay Unit Follow-up Clinic - Mental Health")</f>
        <v>Short Stay Unit Follow-up Clinic - Mental Health</v>
      </c>
      <c r="B710" s="1" t="s">
        <v>378</v>
      </c>
      <c r="C710" s="2" t="s">
        <v>2291</v>
      </c>
      <c r="D710" s="2" t="s">
        <v>2289</v>
      </c>
      <c r="E710" s="1"/>
      <c r="F710" s="2" t="s">
        <v>2290</v>
      </c>
      <c r="G710" s="2" t="s">
        <v>2288</v>
      </c>
      <c r="H710" s="1"/>
    </row>
    <row r="711" spans="1:8" ht="135" x14ac:dyDescent="0.25">
      <c r="A711" s="1" t="str">
        <f>HYPERLINK("https://www.albertahealthservices.ca/findhealth/Service.aspx?serviceAtFacilityId=1074834","Community Transition Team")</f>
        <v>Community Transition Team</v>
      </c>
      <c r="B711" s="1" t="s">
        <v>602</v>
      </c>
      <c r="C711" s="2" t="s">
        <v>1302</v>
      </c>
      <c r="D711" s="2" t="s">
        <v>2292</v>
      </c>
      <c r="E711" s="1"/>
      <c r="F711" s="2" t="s">
        <v>190</v>
      </c>
      <c r="G711" s="2" t="s">
        <v>1299</v>
      </c>
      <c r="H711" s="1" t="s">
        <v>843</v>
      </c>
    </row>
    <row r="712" spans="1:8" ht="409.5" x14ac:dyDescent="0.25">
      <c r="A712" s="1" t="str">
        <f>HYPERLINK("https://www.albertahealthservices.ca/findhealth/Service.aspx?serviceAtFacilityId=1102313","Adult Mental Health Treatment Services")</f>
        <v>Adult Mental Health Treatment Services</v>
      </c>
      <c r="B712" s="1" t="s">
        <v>97</v>
      </c>
      <c r="C712" s="2" t="s">
        <v>125</v>
      </c>
      <c r="D712" s="2" t="s">
        <v>2293</v>
      </c>
      <c r="E712" s="1"/>
      <c r="F712" s="1" t="s">
        <v>34</v>
      </c>
      <c r="G712" s="2" t="s">
        <v>121</v>
      </c>
      <c r="H712" s="2" t="s">
        <v>2294</v>
      </c>
    </row>
    <row r="713" spans="1:8" ht="135" x14ac:dyDescent="0.25">
      <c r="A713" s="1" t="str">
        <f>HYPERLINK("https://www.albertahealthservices.ca/findhealth/Service.aspx?serviceAtFacilityId=1116869","Addiction and Mental Health - Diversion Services")</f>
        <v>Addiction and Mental Health - Diversion Services</v>
      </c>
      <c r="B713" s="1" t="s">
        <v>1550</v>
      </c>
      <c r="C713" s="2" t="s">
        <v>154</v>
      </c>
      <c r="D713" s="2" t="s">
        <v>1548</v>
      </c>
      <c r="E713" s="2" t="s">
        <v>152</v>
      </c>
      <c r="F713" s="2" t="s">
        <v>311</v>
      </c>
      <c r="G713" s="2" t="s">
        <v>149</v>
      </c>
      <c r="H713" s="2" t="s">
        <v>2295</v>
      </c>
    </row>
    <row r="714" spans="1:8" ht="405" x14ac:dyDescent="0.25">
      <c r="A714" s="1" t="str">
        <f>HYPERLINK("https://www.albertahealthservices.ca/findhealth/Service.aspx?serviceAtFacilityId=1115405","Addiction and Mental Health - Recovery Supports Services, Adult")</f>
        <v>Addiction and Mental Health - Recovery Supports Services, Adult</v>
      </c>
      <c r="B714" s="1" t="s">
        <v>2299</v>
      </c>
      <c r="C714" s="2" t="s">
        <v>666</v>
      </c>
      <c r="D714" s="2" t="s">
        <v>2296</v>
      </c>
      <c r="E714" s="2" t="s">
        <v>663</v>
      </c>
      <c r="F714" s="2" t="s">
        <v>2297</v>
      </c>
      <c r="G714" s="1"/>
      <c r="H714" s="2" t="s">
        <v>2298</v>
      </c>
    </row>
    <row r="715" spans="1:8" ht="409.5" x14ac:dyDescent="0.25">
      <c r="A715" s="1" t="str">
        <f>HYPERLINK("https://www.albertahealthservices.ca/findhealth/Service.aspx?serviceAtFacilityId=1039468","Mental Health Services")</f>
        <v>Mental Health Services</v>
      </c>
      <c r="B715" s="1" t="s">
        <v>168</v>
      </c>
      <c r="C715" s="2" t="s">
        <v>98</v>
      </c>
      <c r="D715" s="2" t="s">
        <v>166</v>
      </c>
      <c r="E715" s="1"/>
      <c r="F715" s="2" t="s">
        <v>716</v>
      </c>
      <c r="G715" s="2" t="s">
        <v>94</v>
      </c>
      <c r="H715" s="2" t="s">
        <v>2300</v>
      </c>
    </row>
    <row r="716" spans="1:8" ht="409.5" x14ac:dyDescent="0.25">
      <c r="A716" s="1" t="str">
        <f>HYPERLINK("https://www.albertahealthservices.ca/findhealth/Service.aspx?serviceAtFacilityId=1094145","Eating Disorder Services")</f>
        <v>Eating Disorder Services</v>
      </c>
      <c r="B716" s="1" t="s">
        <v>855</v>
      </c>
      <c r="C716" s="2" t="s">
        <v>212</v>
      </c>
      <c r="D716" s="2" t="s">
        <v>2301</v>
      </c>
      <c r="E716" s="1"/>
      <c r="F716" s="1" t="s">
        <v>34</v>
      </c>
      <c r="G716" s="2" t="s">
        <v>209</v>
      </c>
      <c r="H716" s="2" t="s">
        <v>2302</v>
      </c>
    </row>
    <row r="717" spans="1:8" ht="405" x14ac:dyDescent="0.25">
      <c r="A717" s="1" t="str">
        <f>HYPERLINK("https://www.albertahealthservices.ca/findhealth/Service.aspx?serviceAtFacilityId=1000807","Community Addiction &amp; Mental Health - Adult &amp; Youth Services")</f>
        <v>Community Addiction &amp; Mental Health - Adult &amp; Youth Services</v>
      </c>
      <c r="B717" s="1" t="s">
        <v>2305</v>
      </c>
      <c r="C717" s="2" t="s">
        <v>133</v>
      </c>
      <c r="D717" s="2" t="s">
        <v>2303</v>
      </c>
      <c r="E717" s="1"/>
      <c r="F717" s="2" t="s">
        <v>257</v>
      </c>
      <c r="G717" s="2" t="s">
        <v>129</v>
      </c>
      <c r="H717" s="2" t="s">
        <v>2304</v>
      </c>
    </row>
    <row r="718" spans="1:8" ht="330" x14ac:dyDescent="0.25">
      <c r="A718" s="1" t="str">
        <f>HYPERLINK("https://www.albertahealthservices.ca/findhealth/Service.aspx?serviceAtFacilityId=1006094","START Psychiatry Day Hospital")</f>
        <v>START Psychiatry Day Hospital</v>
      </c>
      <c r="B718" s="1" t="s">
        <v>216</v>
      </c>
      <c r="C718" s="2" t="s">
        <v>2308</v>
      </c>
      <c r="D718" s="2" t="s">
        <v>2135</v>
      </c>
      <c r="E718" s="1"/>
      <c r="F718" s="2" t="s">
        <v>2307</v>
      </c>
      <c r="G718" s="2" t="s">
        <v>2306</v>
      </c>
      <c r="H718" s="1"/>
    </row>
    <row r="719" spans="1:8" ht="90" x14ac:dyDescent="0.25">
      <c r="A719" s="1" t="str">
        <f>HYPERLINK("https://www.albertahealthservices.ca/findhealth/Service.aspx?serviceAtFacilityId=1111144","Addiction and Mental Health - Acute Inpatient Services, Adult")</f>
        <v>Addiction and Mental Health - Acute Inpatient Services, Adult</v>
      </c>
      <c r="B719" s="1" t="s">
        <v>1141</v>
      </c>
      <c r="C719" s="2" t="s">
        <v>1311</v>
      </c>
      <c r="D719" s="2" t="s">
        <v>2309</v>
      </c>
      <c r="E719" s="1"/>
      <c r="F719" s="2" t="s">
        <v>23</v>
      </c>
      <c r="G719" s="2" t="s">
        <v>1307</v>
      </c>
      <c r="H719" s="2" t="s">
        <v>2310</v>
      </c>
    </row>
    <row r="720" spans="1:8" ht="150" x14ac:dyDescent="0.25">
      <c r="A720" s="1" t="str">
        <f>HYPERLINK("https://www.albertahealthservices.ca/findhealth/Service.aspx?serviceAtFacilityId=1107210","Mental Health Capacity Building - Together We're Better")</f>
        <v>Mental Health Capacity Building - Together We're Better</v>
      </c>
      <c r="B720" s="1" t="s">
        <v>2313</v>
      </c>
      <c r="C720" s="2" t="s">
        <v>462</v>
      </c>
      <c r="D720" s="2" t="s">
        <v>2311</v>
      </c>
      <c r="E720" s="1"/>
      <c r="F720" s="2" t="s">
        <v>117</v>
      </c>
      <c r="G720" s="2" t="s">
        <v>458</v>
      </c>
      <c r="H720" s="2" t="s">
        <v>2312</v>
      </c>
    </row>
    <row r="721" spans="1:8" ht="225" x14ac:dyDescent="0.25">
      <c r="A721" s="1" t="str">
        <f>HYPERLINK("https://www.albertahealthservices.ca/findhealth/Service.aspx?serviceAtFacilityId=1115673","Mental Health Diversion Program")</f>
        <v>Mental Health Diversion Program</v>
      </c>
      <c r="B721" s="1" t="s">
        <v>208</v>
      </c>
      <c r="C721" s="2" t="s">
        <v>1130</v>
      </c>
      <c r="D721" s="2" t="s">
        <v>205</v>
      </c>
      <c r="E721" s="1"/>
      <c r="F721" s="2" t="s">
        <v>2314</v>
      </c>
      <c r="G721" s="2" t="s">
        <v>1128</v>
      </c>
      <c r="H721" s="2" t="s">
        <v>2315</v>
      </c>
    </row>
    <row r="722" spans="1:8" ht="135" x14ac:dyDescent="0.25">
      <c r="A722" s="1" t="str">
        <f>HYPERLINK("https://www.albertahealthservices.ca/findhealth/Service.aspx?serviceAtFacilityId=1102409","Addiction and Mental Health - Early Psychosis Intervention Services")</f>
        <v>Addiction and Mental Health - Early Psychosis Intervention Services</v>
      </c>
      <c r="B722" s="1" t="s">
        <v>57</v>
      </c>
      <c r="C722" s="2" t="s">
        <v>1255</v>
      </c>
      <c r="D722" s="2" t="s">
        <v>2316</v>
      </c>
      <c r="E722" s="1"/>
      <c r="F722" s="2" t="s">
        <v>2317</v>
      </c>
      <c r="G722" s="2" t="s">
        <v>1253</v>
      </c>
      <c r="H722" s="1" t="s">
        <v>2318</v>
      </c>
    </row>
    <row r="723" spans="1:8" ht="345" x14ac:dyDescent="0.25">
      <c r="A723" s="1" t="str">
        <f>HYPERLINK("https://www.albertahealthservices.ca/findhealth/Service.aspx?serviceAtFacilityId=1104468","Designated Supportive Living Level 4 Dementia")</f>
        <v>Designated Supportive Living Level 4 Dementia</v>
      </c>
      <c r="B723" s="1" t="s">
        <v>2321</v>
      </c>
      <c r="C723" s="2" t="s">
        <v>31</v>
      </c>
      <c r="D723" s="2" t="s">
        <v>2319</v>
      </c>
      <c r="E723" s="1"/>
      <c r="F723" s="2" t="s">
        <v>23</v>
      </c>
      <c r="G723" s="2" t="s">
        <v>182</v>
      </c>
      <c r="H723" s="2" t="s">
        <v>2320</v>
      </c>
    </row>
    <row r="724" spans="1:8" ht="105" x14ac:dyDescent="0.25">
      <c r="A724" s="1" t="str">
        <f>HYPERLINK("https://www.albertahealthservices.ca/findhealth/Service.aspx?serviceAtFacilityId=1111363","Addiction and Mental Health - Inpatient Treatment and Reintegration Services")</f>
        <v>Addiction and Mental Health - Inpatient Treatment and Reintegration Services</v>
      </c>
      <c r="B724" s="1" t="s">
        <v>57</v>
      </c>
      <c r="C724" s="2" t="s">
        <v>2324</v>
      </c>
      <c r="D724" s="2" t="s">
        <v>2323</v>
      </c>
      <c r="E724" s="1"/>
      <c r="F724" s="2" t="s">
        <v>23</v>
      </c>
      <c r="G724" s="2" t="s">
        <v>2322</v>
      </c>
      <c r="H724" s="1"/>
    </row>
    <row r="725" spans="1:8" ht="225" x14ac:dyDescent="0.25">
      <c r="A725" s="1" t="str">
        <f>HYPERLINK("https://www.albertahealthservices.ca/findhealth/Service.aspx?serviceAtFacilityId=1111339","Addiction and Mental Health - Suburban Community Assessment and Treatment Services, Adult")</f>
        <v>Addiction and Mental Health - Suburban Community Assessment and Treatment Services, Adult</v>
      </c>
      <c r="B725" s="1" t="s">
        <v>2327</v>
      </c>
      <c r="C725" s="2" t="s">
        <v>145</v>
      </c>
      <c r="D725" s="2" t="s">
        <v>2325</v>
      </c>
      <c r="E725" s="1"/>
      <c r="F725" s="2" t="s">
        <v>142</v>
      </c>
      <c r="G725" s="2" t="s">
        <v>140</v>
      </c>
      <c r="H725" s="2" t="s">
        <v>2326</v>
      </c>
    </row>
    <row r="726" spans="1:8" ht="225" x14ac:dyDescent="0.25">
      <c r="A726" s="1" t="str">
        <f>HYPERLINK("https://www.albertahealthservices.ca/findhealth/Service.aspx?serviceAtFacilityId=1090976","Community Addiction and Mental Health Services - Rural")</f>
        <v>Community Addiction and Mental Health Services - Rural</v>
      </c>
      <c r="B726" s="1" t="s">
        <v>1052</v>
      </c>
      <c r="C726" s="2" t="s">
        <v>72</v>
      </c>
      <c r="D726" s="2" t="s">
        <v>2328</v>
      </c>
      <c r="E726" s="1"/>
      <c r="F726" s="2" t="s">
        <v>2329</v>
      </c>
      <c r="G726" s="2" t="s">
        <v>67</v>
      </c>
      <c r="H726" s="2" t="s">
        <v>2330</v>
      </c>
    </row>
    <row r="727" spans="1:8" ht="409.5" x14ac:dyDescent="0.25">
      <c r="A727" s="1" t="str">
        <f>HYPERLINK("https://www.albertahealthservices.ca/findhealth/Service.aspx?serviceAtFacilityId=1082316","Mental Health Services")</f>
        <v>Mental Health Services</v>
      </c>
      <c r="B727" s="1" t="s">
        <v>519</v>
      </c>
      <c r="C727" s="2" t="s">
        <v>98</v>
      </c>
      <c r="D727" s="2" t="s">
        <v>2331</v>
      </c>
      <c r="E727" s="1"/>
      <c r="F727" s="2" t="s">
        <v>392</v>
      </c>
      <c r="G727" s="2" t="s">
        <v>94</v>
      </c>
      <c r="H727" s="2" t="s">
        <v>2332</v>
      </c>
    </row>
    <row r="728" spans="1:8" ht="75" x14ac:dyDescent="0.25">
      <c r="A728" s="1" t="str">
        <f>HYPERLINK("https://www.albertahealthservices.ca/findhealth/Service.aspx?serviceAtFacilityId=1111362","Addiction and Mental Health - Assessment and Reintegration Services, Adult")</f>
        <v>Addiction and Mental Health - Assessment and Reintegration Services, Adult</v>
      </c>
      <c r="B728" s="1" t="s">
        <v>57</v>
      </c>
      <c r="C728" s="2" t="s">
        <v>2334</v>
      </c>
      <c r="D728" s="2" t="s">
        <v>2333</v>
      </c>
      <c r="E728" s="1"/>
      <c r="F728" s="1" t="s">
        <v>34</v>
      </c>
      <c r="G728" s="1"/>
      <c r="H728" s="1"/>
    </row>
    <row r="729" spans="1:8" ht="409.5" x14ac:dyDescent="0.25">
      <c r="A729" s="1" t="str">
        <f>HYPERLINK("https://www.albertahealthservices.ca/findhealth/Service.aspx?serviceAtFacilityId=1108517","Provincial Family Violence Treatment Program")</f>
        <v>Provincial Family Violence Treatment Program</v>
      </c>
      <c r="B729" s="1" t="s">
        <v>674</v>
      </c>
      <c r="C729" s="2" t="s">
        <v>232</v>
      </c>
      <c r="D729" s="2" t="s">
        <v>2335</v>
      </c>
      <c r="E729" s="1"/>
      <c r="F729" s="1" t="s">
        <v>34</v>
      </c>
      <c r="G729" s="2" t="s">
        <v>227</v>
      </c>
      <c r="H729" s="2" t="s">
        <v>2336</v>
      </c>
    </row>
    <row r="730" spans="1:8" ht="180" x14ac:dyDescent="0.25">
      <c r="A730" s="1" t="str">
        <f>HYPERLINK("https://www.albertahealthservices.ca/findhealth/Service.aspx?serviceAtFacilityId=1052805","Seniors Health")</f>
        <v>Seniors Health</v>
      </c>
      <c r="B730" s="1" t="s">
        <v>1364</v>
      </c>
      <c r="C730" s="2" t="s">
        <v>2340</v>
      </c>
      <c r="D730" s="2" t="s">
        <v>2338</v>
      </c>
      <c r="E730" s="1"/>
      <c r="F730" s="2" t="s">
        <v>2339</v>
      </c>
      <c r="G730" s="2" t="s">
        <v>2337</v>
      </c>
      <c r="H730" s="1"/>
    </row>
    <row r="731" spans="1:8" ht="165" x14ac:dyDescent="0.25">
      <c r="A731" s="1" t="str">
        <f>HYPERLINK("https://www.albertahealthservices.ca/findhealth/Service.aspx?serviceAtFacilityId=1112261","Cognitive Neurosciences Clinic")</f>
        <v>Cognitive Neurosciences Clinic</v>
      </c>
      <c r="B731" s="1" t="s">
        <v>108</v>
      </c>
      <c r="C731" s="2" t="s">
        <v>914</v>
      </c>
      <c r="D731" s="2" t="s">
        <v>2341</v>
      </c>
      <c r="E731" s="1"/>
      <c r="F731" s="2" t="s">
        <v>2342</v>
      </c>
      <c r="G731" s="2" t="s">
        <v>910</v>
      </c>
      <c r="H731" s="1" t="s">
        <v>913</v>
      </c>
    </row>
    <row r="732" spans="1:8" ht="270" x14ac:dyDescent="0.25">
      <c r="A732" s="1" t="str">
        <f>HYPERLINK("https://www.albertahealthservices.ca/findhealth/Service.aspx?serviceAtFacilityId=1102952","Addiction Services - Prevention")</f>
        <v>Addiction Services - Prevention</v>
      </c>
      <c r="B732" s="1" t="s">
        <v>336</v>
      </c>
      <c r="C732" s="2" t="s">
        <v>493</v>
      </c>
      <c r="D732" s="2" t="s">
        <v>2343</v>
      </c>
      <c r="E732" s="1"/>
      <c r="F732" s="2" t="s">
        <v>2344</v>
      </c>
      <c r="G732" s="2" t="s">
        <v>489</v>
      </c>
      <c r="H732" s="2" t="s">
        <v>2345</v>
      </c>
    </row>
    <row r="733" spans="1:8" ht="120" x14ac:dyDescent="0.25">
      <c r="A733" s="1" t="str">
        <f>HYPERLINK("https://www.albertahealthservices.ca/findhealth/Service.aspx?serviceAtFacilityId=1120987","Post-Stroke Mood and Anxiety Disorder Clinic")</f>
        <v>Post-Stroke Mood and Anxiety Disorder Clinic</v>
      </c>
      <c r="B733" s="1" t="s">
        <v>177</v>
      </c>
      <c r="C733" s="2" t="s">
        <v>2349</v>
      </c>
      <c r="D733" s="2" t="s">
        <v>2347</v>
      </c>
      <c r="E733" s="1"/>
      <c r="F733" s="2" t="s">
        <v>2348</v>
      </c>
      <c r="G733" s="2" t="s">
        <v>2346</v>
      </c>
      <c r="H733" s="1"/>
    </row>
    <row r="734" spans="1:8" ht="409.5" x14ac:dyDescent="0.25">
      <c r="A734" s="1" t="str">
        <f>HYPERLINK("https://www.albertahealthservices.ca/findhealth/Service.aspx?serviceAtFacilityId=1108520","Provincial Family Violence Treatment Program")</f>
        <v>Provincial Family Violence Treatment Program</v>
      </c>
      <c r="B734" s="1" t="s">
        <v>2352</v>
      </c>
      <c r="C734" s="2" t="s">
        <v>232</v>
      </c>
      <c r="D734" s="2" t="s">
        <v>2350</v>
      </c>
      <c r="E734" s="1"/>
      <c r="F734" s="1" t="s">
        <v>34</v>
      </c>
      <c r="G734" s="2" t="s">
        <v>227</v>
      </c>
      <c r="H734" s="2" t="s">
        <v>2351</v>
      </c>
    </row>
    <row r="735" spans="1:8" ht="270" x14ac:dyDescent="0.25">
      <c r="A735" s="1" t="str">
        <f>HYPERLINK("https://www.albertahealthservices.ca/findhealth/Service.aspx?serviceAtFacilityId=1119242","Addiction Services - Prevention")</f>
        <v>Addiction Services - Prevention</v>
      </c>
      <c r="B735" s="1" t="s">
        <v>1526</v>
      </c>
      <c r="C735" s="2" t="s">
        <v>493</v>
      </c>
      <c r="D735" s="2" t="s">
        <v>2353</v>
      </c>
      <c r="E735" s="1"/>
      <c r="F735" s="2" t="s">
        <v>1524</v>
      </c>
      <c r="G735" s="2" t="s">
        <v>489</v>
      </c>
      <c r="H735" s="2" t="s">
        <v>2354</v>
      </c>
    </row>
    <row r="736" spans="1:8" ht="409.5" x14ac:dyDescent="0.25">
      <c r="A736" s="1" t="str">
        <f>HYPERLINK("https://www.albertahealthservices.ca/findhealth/Service.aspx?serviceAtFacilityId=1108522","Provincial Family Violence Treatment Program")</f>
        <v>Provincial Family Violence Treatment Program</v>
      </c>
      <c r="B736" s="1" t="s">
        <v>556</v>
      </c>
      <c r="C736" s="2" t="s">
        <v>232</v>
      </c>
      <c r="D736" s="2" t="s">
        <v>757</v>
      </c>
      <c r="E736" s="1"/>
      <c r="F736" s="1" t="s">
        <v>34</v>
      </c>
      <c r="G736" s="2" t="s">
        <v>227</v>
      </c>
      <c r="H736" s="2" t="s">
        <v>2355</v>
      </c>
    </row>
    <row r="737" spans="1:8" ht="375" x14ac:dyDescent="0.25">
      <c r="A737" s="1" t="str">
        <f>HYPERLINK("https://www.albertahealthservices.ca/findhealth/Service.aspx?serviceAtFacilityId=1115414","Community Helpers Program")</f>
        <v>Community Helpers Program</v>
      </c>
      <c r="B737" s="1" t="s">
        <v>2358</v>
      </c>
      <c r="C737" s="2" t="s">
        <v>120</v>
      </c>
      <c r="D737" s="2" t="s">
        <v>2356</v>
      </c>
      <c r="E737" s="1"/>
      <c r="F737" s="2" t="s">
        <v>117</v>
      </c>
      <c r="G737" s="2" t="s">
        <v>115</v>
      </c>
      <c r="H737" s="2" t="s">
        <v>2357</v>
      </c>
    </row>
    <row r="738" spans="1:8" ht="390" x14ac:dyDescent="0.25">
      <c r="A738" s="1" t="str">
        <f>HYPERLINK("https://www.albertahealthservices.ca/findhealth/Service.aspx?serviceAtFacilityId=1115282","Community Helpers Program")</f>
        <v>Community Helpers Program</v>
      </c>
      <c r="B738" s="1" t="s">
        <v>1364</v>
      </c>
      <c r="C738" s="2" t="s">
        <v>120</v>
      </c>
      <c r="D738" s="2" t="s">
        <v>2359</v>
      </c>
      <c r="E738" s="1"/>
      <c r="F738" s="2" t="s">
        <v>117</v>
      </c>
      <c r="G738" s="2" t="s">
        <v>115</v>
      </c>
      <c r="H738" s="2" t="s">
        <v>2360</v>
      </c>
    </row>
    <row r="739" spans="1:8" ht="135" x14ac:dyDescent="0.25">
      <c r="A739" s="1" t="str">
        <f>HYPERLINK("https://www.albertahealthservices.ca/findhealth/Service.aspx?serviceAtFacilityId=1042153","Geriatric Mental Health Consulting Service")</f>
        <v>Geriatric Mental Health Consulting Service</v>
      </c>
      <c r="B739" s="1" t="s">
        <v>1020</v>
      </c>
      <c r="C739" s="2" t="s">
        <v>2363</v>
      </c>
      <c r="D739" s="2" t="s">
        <v>2362</v>
      </c>
      <c r="E739" s="1"/>
      <c r="F739" s="2" t="s">
        <v>190</v>
      </c>
      <c r="G739" s="2" t="s">
        <v>2361</v>
      </c>
      <c r="H739" s="1"/>
    </row>
    <row r="740" spans="1:8" ht="120" x14ac:dyDescent="0.25">
      <c r="A740" s="1" t="str">
        <f>HYPERLINK("https://www.albertahealthservices.ca/findhealth/Service.aspx?serviceAtFacilityId=1048000","Seniors Health Clinic")</f>
        <v>Seniors Health Clinic</v>
      </c>
      <c r="B740" s="1" t="s">
        <v>103</v>
      </c>
      <c r="C740" s="2" t="s">
        <v>2185</v>
      </c>
      <c r="D740" s="2" t="s">
        <v>2364</v>
      </c>
      <c r="E740" s="1"/>
      <c r="F740" s="2" t="s">
        <v>10</v>
      </c>
      <c r="G740" s="2" t="s">
        <v>2182</v>
      </c>
      <c r="H740" s="2" t="s">
        <v>2365</v>
      </c>
    </row>
    <row r="741" spans="1:8" ht="330" x14ac:dyDescent="0.25">
      <c r="A741" s="1" t="str">
        <f>HYPERLINK("https://www.albertahealthservices.ca/findhealth/Service.aspx?serviceAtFacilityId=1067904","Spiritual Care Services")</f>
        <v>Spiritual Care Services</v>
      </c>
      <c r="B741" s="1" t="s">
        <v>2037</v>
      </c>
      <c r="C741" s="2" t="s">
        <v>1165</v>
      </c>
      <c r="D741" s="2" t="s">
        <v>2366</v>
      </c>
      <c r="E741" s="1"/>
      <c r="F741" s="2" t="s">
        <v>2367</v>
      </c>
      <c r="G741" s="2" t="s">
        <v>1161</v>
      </c>
      <c r="H741" s="2" t="s">
        <v>2368</v>
      </c>
    </row>
    <row r="742" spans="1:8" ht="180" x14ac:dyDescent="0.25">
      <c r="A742" s="1" t="str">
        <f>HYPERLINK("https://www.albertahealthservices.ca/findhealth/Service.aspx?serviceAtFacilityId=1120855","Addiction Services - Prevention")</f>
        <v>Addiction Services - Prevention</v>
      </c>
      <c r="B742" s="1" t="s">
        <v>243</v>
      </c>
      <c r="C742" s="2" t="s">
        <v>635</v>
      </c>
      <c r="D742" s="2" t="s">
        <v>2369</v>
      </c>
      <c r="E742" s="1"/>
      <c r="F742" s="2" t="s">
        <v>23</v>
      </c>
      <c r="G742" s="2" t="s">
        <v>630</v>
      </c>
      <c r="H742" s="2" t="s">
        <v>2370</v>
      </c>
    </row>
    <row r="743" spans="1:8" ht="409.5" x14ac:dyDescent="0.25">
      <c r="A743" s="1" t="str">
        <f>HYPERLINK("https://www.albertahealthservices.ca/findhealth/Service.aspx?serviceAtFacilityId=1102316","Adult Mental Health Treatment Services")</f>
        <v>Adult Mental Health Treatment Services</v>
      </c>
      <c r="B743" s="1" t="s">
        <v>1179</v>
      </c>
      <c r="C743" s="2" t="s">
        <v>125</v>
      </c>
      <c r="D743" s="2" t="s">
        <v>1177</v>
      </c>
      <c r="E743" s="1"/>
      <c r="F743" s="1" t="s">
        <v>34</v>
      </c>
      <c r="G743" s="2" t="s">
        <v>121</v>
      </c>
      <c r="H743" s="2" t="s">
        <v>2371</v>
      </c>
    </row>
    <row r="744" spans="1:8" ht="409.5" x14ac:dyDescent="0.25">
      <c r="A744" s="1" t="str">
        <f>HYPERLINK("https://www.albertahealthservices.ca/findhealth/Service.aspx?serviceAtFacilityId=1119063","School Health Program")</f>
        <v>School Health Program</v>
      </c>
      <c r="B744" s="1" t="s">
        <v>1240</v>
      </c>
      <c r="C744" s="2" t="s">
        <v>204</v>
      </c>
      <c r="D744" s="2" t="s">
        <v>2372</v>
      </c>
      <c r="E744" s="1"/>
      <c r="F744" s="2" t="s">
        <v>201</v>
      </c>
      <c r="G744" s="2" t="s">
        <v>199</v>
      </c>
      <c r="H744" s="2" t="s">
        <v>2373</v>
      </c>
    </row>
    <row r="745" spans="1:8" ht="405" x14ac:dyDescent="0.25">
      <c r="A745" s="1" t="str">
        <f>HYPERLINK("https://www.albertahealthservices.ca/findhealth/Service.aspx?serviceAtFacilityId=1089203","Community Addiction &amp; Mental Health - Adult &amp; Youth Services")</f>
        <v>Community Addiction &amp; Mental Health - Adult &amp; Youth Services</v>
      </c>
      <c r="B745" s="1" t="s">
        <v>2376</v>
      </c>
      <c r="C745" s="2" t="s">
        <v>133</v>
      </c>
      <c r="D745" s="2" t="s">
        <v>2374</v>
      </c>
      <c r="E745" s="1"/>
      <c r="F745" s="2" t="s">
        <v>257</v>
      </c>
      <c r="G745" s="2" t="s">
        <v>129</v>
      </c>
      <c r="H745" s="2" t="s">
        <v>2375</v>
      </c>
    </row>
    <row r="746" spans="1:8" ht="390" x14ac:dyDescent="0.25">
      <c r="A746" s="1" t="str">
        <f>HYPERLINK("https://www.albertahealthservices.ca/findhealth/Service.aspx?serviceAtFacilityId=1120131","Community Helpers Program")</f>
        <v>Community Helpers Program</v>
      </c>
      <c r="B746" s="1" t="s">
        <v>2379</v>
      </c>
      <c r="C746" s="2" t="s">
        <v>120</v>
      </c>
      <c r="D746" s="2" t="s">
        <v>2377</v>
      </c>
      <c r="E746" s="1"/>
      <c r="F746" s="1" t="s">
        <v>34</v>
      </c>
      <c r="G746" s="2" t="s">
        <v>115</v>
      </c>
      <c r="H746" s="2" t="s">
        <v>2378</v>
      </c>
    </row>
    <row r="747" spans="1:8" ht="270" x14ac:dyDescent="0.25">
      <c r="A747" s="1" t="str">
        <f>HYPERLINK("https://www.albertahealthservices.ca/findhealth/Service.aspx?serviceAtFacilityId=1104455","Designated Supportive Living Level 4 Dementia")</f>
        <v>Designated Supportive Living Level 4 Dementia</v>
      </c>
      <c r="B747" s="1" t="s">
        <v>2382</v>
      </c>
      <c r="C747" s="2" t="s">
        <v>26</v>
      </c>
      <c r="D747" s="2" t="s">
        <v>2380</v>
      </c>
      <c r="E747" s="1"/>
      <c r="F747" s="2" t="s">
        <v>23</v>
      </c>
      <c r="G747" s="2" t="s">
        <v>21</v>
      </c>
      <c r="H747" s="2" t="s">
        <v>2381</v>
      </c>
    </row>
    <row r="748" spans="1:8" ht="255" x14ac:dyDescent="0.25">
      <c r="A748" s="1" t="str">
        <f>HYPERLINK("https://www.albertahealthservices.ca/findhealth/Service.aspx?serviceAtFacilityId=1102432","Addiction and Mental Health - Adult and Youth Intake")</f>
        <v>Addiction and Mental Health - Adult and Youth Intake</v>
      </c>
      <c r="B748" s="1" t="s">
        <v>342</v>
      </c>
      <c r="C748" s="2" t="s">
        <v>78</v>
      </c>
      <c r="D748" s="2" t="s">
        <v>2383</v>
      </c>
      <c r="E748" s="1"/>
      <c r="F748" s="2" t="s">
        <v>2384</v>
      </c>
      <c r="G748" s="2" t="s">
        <v>73</v>
      </c>
      <c r="H748" s="2" t="s">
        <v>2385</v>
      </c>
    </row>
    <row r="749" spans="1:8" ht="409.5" x14ac:dyDescent="0.25">
      <c r="A749" s="1" t="str">
        <f>HYPERLINK("https://www.albertahealthservices.ca/findhealth/Service.aspx?serviceAtFacilityId=1079525","Eating Disorder Services")</f>
        <v>Eating Disorder Services</v>
      </c>
      <c r="B749" s="1" t="s">
        <v>410</v>
      </c>
      <c r="C749" s="2" t="s">
        <v>212</v>
      </c>
      <c r="D749" s="2" t="s">
        <v>2386</v>
      </c>
      <c r="E749" s="1"/>
      <c r="F749" s="1" t="s">
        <v>34</v>
      </c>
      <c r="G749" s="2" t="s">
        <v>209</v>
      </c>
      <c r="H749" s="2" t="s">
        <v>2387</v>
      </c>
    </row>
    <row r="750" spans="1:8" ht="409.5" x14ac:dyDescent="0.25">
      <c r="A750" s="1" t="str">
        <f>HYPERLINK("https://www.albertahealthservices.ca/findhealth/Service.aspx?serviceAtFacilityId=1082329","Mental Health Services")</f>
        <v>Mental Health Services</v>
      </c>
      <c r="B750" s="1" t="s">
        <v>192</v>
      </c>
      <c r="C750" s="2" t="s">
        <v>98</v>
      </c>
      <c r="D750" s="2" t="s">
        <v>2388</v>
      </c>
      <c r="E750" s="1"/>
      <c r="F750" s="2" t="s">
        <v>2389</v>
      </c>
      <c r="G750" s="2" t="s">
        <v>94</v>
      </c>
      <c r="H750" s="2" t="s">
        <v>2390</v>
      </c>
    </row>
    <row r="751" spans="1:8" ht="255" x14ac:dyDescent="0.25">
      <c r="A751" s="1" t="str">
        <f>HYPERLINK("https://www.albertahealthservices.ca/findhealth/Service.aspx?serviceAtFacilityId=1104645","Designated Supportive Living Level 4 Dementia")</f>
        <v>Designated Supportive Living Level 4 Dementia</v>
      </c>
      <c r="B751" s="1" t="s">
        <v>2393</v>
      </c>
      <c r="C751" s="2" t="s">
        <v>43</v>
      </c>
      <c r="D751" s="2" t="s">
        <v>2391</v>
      </c>
      <c r="E751" s="1"/>
      <c r="F751" s="2" t="s">
        <v>40</v>
      </c>
      <c r="G751" s="2" t="s">
        <v>38</v>
      </c>
      <c r="H751" s="2" t="s">
        <v>2392</v>
      </c>
    </row>
    <row r="752" spans="1:8" ht="270" x14ac:dyDescent="0.25">
      <c r="A752" s="1" t="str">
        <f>HYPERLINK("https://www.albertahealthservices.ca/findhealth/Service.aspx?serviceAtFacilityId=1104440","Designated Supportive Living Level 4 Dementia")</f>
        <v>Designated Supportive Living Level 4 Dementia</v>
      </c>
      <c r="B752" s="1" t="s">
        <v>2396</v>
      </c>
      <c r="C752" s="2" t="s">
        <v>26</v>
      </c>
      <c r="D752" s="2" t="s">
        <v>2394</v>
      </c>
      <c r="E752" s="1"/>
      <c r="F752" s="2" t="s">
        <v>23</v>
      </c>
      <c r="G752" s="2" t="s">
        <v>21</v>
      </c>
      <c r="H752" s="2" t="s">
        <v>2395</v>
      </c>
    </row>
    <row r="753" spans="1:8" ht="180" x14ac:dyDescent="0.25">
      <c r="A753" s="1" t="str">
        <f>HYPERLINK("https://www.albertahealthservices.ca/findhealth/Service.aspx?serviceAtFacilityId=1114402","Oncology And Sexuality, Intimacy and Survivorship Program")</f>
        <v>Oncology And Sexuality, Intimacy and Survivorship Program</v>
      </c>
      <c r="B753" s="1" t="s">
        <v>1602</v>
      </c>
      <c r="C753" s="2" t="s">
        <v>596</v>
      </c>
      <c r="D753" s="2" t="s">
        <v>2397</v>
      </c>
      <c r="E753" s="1"/>
      <c r="F753" s="2" t="s">
        <v>201</v>
      </c>
      <c r="G753" s="2" t="s">
        <v>592</v>
      </c>
      <c r="H753" s="2" t="s">
        <v>2398</v>
      </c>
    </row>
    <row r="754" spans="1:8" ht="330" x14ac:dyDescent="0.25">
      <c r="A754" s="1" t="str">
        <f>HYPERLINK("https://www.albertahealthservices.ca/findhealth/Service.aspx?serviceAtFacilityId=1048106","Pastoral Care Services")</f>
        <v>Pastoral Care Services</v>
      </c>
      <c r="B754" s="1" t="s">
        <v>484</v>
      </c>
      <c r="C754" s="2" t="s">
        <v>423</v>
      </c>
      <c r="D754" s="2" t="s">
        <v>2399</v>
      </c>
      <c r="E754" s="1"/>
      <c r="F754" s="1" t="s">
        <v>34</v>
      </c>
      <c r="G754" s="2" t="s">
        <v>419</v>
      </c>
      <c r="H754" s="2" t="s">
        <v>2400</v>
      </c>
    </row>
    <row r="755" spans="1:8" ht="210" x14ac:dyDescent="0.25">
      <c r="A755" s="1" t="str">
        <f>HYPERLINK("https://www.albertahealthservices.ca/findhealth/Service.aspx?serviceAtFacilityId=1094012","Addiction Services - Youth Counselling")</f>
        <v>Addiction Services - Youth Counselling</v>
      </c>
      <c r="B755" s="1" t="s">
        <v>2404</v>
      </c>
      <c r="C755" s="2" t="s">
        <v>875</v>
      </c>
      <c r="D755" s="2" t="s">
        <v>2401</v>
      </c>
      <c r="E755" s="1"/>
      <c r="F755" s="2" t="s">
        <v>2402</v>
      </c>
      <c r="G755" s="2" t="s">
        <v>870</v>
      </c>
      <c r="H755" s="2" t="s">
        <v>2403</v>
      </c>
    </row>
    <row r="756" spans="1:8" ht="135" x14ac:dyDescent="0.25">
      <c r="A756" s="1" t="str">
        <f>HYPERLINK("https://www.albertahealthservices.ca/findhealth/Service.aspx?serviceAtFacilityId=1118804","Shared Mental Health Care - Child and Adolescent")</f>
        <v>Shared Mental Health Care - Child and Adolescent</v>
      </c>
      <c r="B756" s="1" t="s">
        <v>847</v>
      </c>
      <c r="C756" s="2" t="s">
        <v>2407</v>
      </c>
      <c r="D756" s="2" t="s">
        <v>2406</v>
      </c>
      <c r="E756" s="1"/>
      <c r="F756" s="2" t="s">
        <v>311</v>
      </c>
      <c r="G756" s="2" t="s">
        <v>2405</v>
      </c>
      <c r="H756" s="1"/>
    </row>
    <row r="757" spans="1:8" ht="270" x14ac:dyDescent="0.25">
      <c r="A757" s="1" t="str">
        <f>HYPERLINK("https://www.albertahealthservices.ca/findhealth/Service.aspx?serviceAtFacilityId=1106020","Addiction Services - Adult Residential")</f>
        <v>Addiction Services - Adult Residential</v>
      </c>
      <c r="B757" s="1" t="s">
        <v>2410</v>
      </c>
      <c r="C757" s="2" t="s">
        <v>318</v>
      </c>
      <c r="D757" s="2" t="s">
        <v>2408</v>
      </c>
      <c r="E757" s="1"/>
      <c r="F757" s="1" t="s">
        <v>34</v>
      </c>
      <c r="G757" s="2" t="s">
        <v>314</v>
      </c>
      <c r="H757" s="2" t="s">
        <v>2409</v>
      </c>
    </row>
    <row r="758" spans="1:8" ht="180" x14ac:dyDescent="0.25">
      <c r="A758" s="1" t="str">
        <f>HYPERLINK("https://www.albertahealthservices.ca/findhealth/Service.aspx?serviceAtFacilityId=1078450","Adult Short Term Mental Health Services")</f>
        <v>Adult Short Term Mental Health Services</v>
      </c>
      <c r="B758" s="1" t="s">
        <v>860</v>
      </c>
      <c r="C758" s="2" t="s">
        <v>2412</v>
      </c>
      <c r="D758" s="2" t="s">
        <v>1892</v>
      </c>
      <c r="E758" s="1"/>
      <c r="F758" s="2" t="s">
        <v>2224</v>
      </c>
      <c r="G758" s="2" t="s">
        <v>2411</v>
      </c>
      <c r="H758" s="1"/>
    </row>
    <row r="759" spans="1:8" ht="135" x14ac:dyDescent="0.25">
      <c r="A759" s="1" t="str">
        <f>HYPERLINK("https://www.albertahealthservices.ca/findhealth/Service.aspx?serviceAtFacilityId=1111300","Addiction and Mental Health - Community Assessment and Treatment Services, Adult")</f>
        <v>Addiction and Mental Health - Community Assessment and Treatment Services, Adult</v>
      </c>
      <c r="B759" s="1" t="s">
        <v>221</v>
      </c>
      <c r="C759" s="2" t="s">
        <v>2415</v>
      </c>
      <c r="D759" s="2" t="s">
        <v>2414</v>
      </c>
      <c r="E759" s="1"/>
      <c r="F759" s="2" t="s">
        <v>311</v>
      </c>
      <c r="G759" s="2" t="s">
        <v>2413</v>
      </c>
      <c r="H759" s="1"/>
    </row>
    <row r="760" spans="1:8" ht="375" x14ac:dyDescent="0.25">
      <c r="A760" s="1" t="str">
        <f>HYPERLINK("https://www.albertahealthservices.ca/findhealth/Service.aspx?serviceAtFacilityId=1102471","Regional Collaborative Service Delivery - School based and school linked mental health teams")</f>
        <v>Regional Collaborative Service Delivery - School based and school linked mental health teams</v>
      </c>
      <c r="B760" s="1" t="s">
        <v>484</v>
      </c>
      <c r="C760" s="2" t="s">
        <v>688</v>
      </c>
      <c r="D760" s="2" t="s">
        <v>2416</v>
      </c>
      <c r="E760" s="1"/>
      <c r="F760" s="1" t="s">
        <v>34</v>
      </c>
      <c r="G760" s="2" t="s">
        <v>685</v>
      </c>
      <c r="H760" s="2" t="s">
        <v>2417</v>
      </c>
    </row>
    <row r="761" spans="1:8" ht="390" x14ac:dyDescent="0.25">
      <c r="A761" s="1" t="str">
        <f>HYPERLINK("https://www.albertahealthservices.ca/findhealth/Service.aspx?serviceAtFacilityId=1104575","Designated Supportive Living Level 4 Dementia")</f>
        <v>Designated Supportive Living Level 4 Dementia</v>
      </c>
      <c r="B761" s="1" t="s">
        <v>2420</v>
      </c>
      <c r="C761" s="2" t="s">
        <v>31</v>
      </c>
      <c r="D761" s="2" t="s">
        <v>2418</v>
      </c>
      <c r="E761" s="1"/>
      <c r="F761" s="2" t="s">
        <v>23</v>
      </c>
      <c r="G761" s="2" t="s">
        <v>52</v>
      </c>
      <c r="H761" s="2" t="s">
        <v>2419</v>
      </c>
    </row>
    <row r="762" spans="1:8" ht="409.5" x14ac:dyDescent="0.25">
      <c r="A762" s="1" t="str">
        <f>HYPERLINK("https://www.albertahealthservices.ca/findhealth/Service.aspx?serviceAtFacilityId=1118996","School Health Program")</f>
        <v>School Health Program</v>
      </c>
      <c r="B762" s="1" t="s">
        <v>2230</v>
      </c>
      <c r="C762" s="2" t="s">
        <v>204</v>
      </c>
      <c r="D762" s="2" t="s">
        <v>2421</v>
      </c>
      <c r="E762" s="1"/>
      <c r="F762" s="2" t="s">
        <v>201</v>
      </c>
      <c r="G762" s="2" t="s">
        <v>199</v>
      </c>
      <c r="H762" s="2" t="s">
        <v>2422</v>
      </c>
    </row>
    <row r="763" spans="1:8" ht="409.5" x14ac:dyDescent="0.25">
      <c r="A763" s="1" t="str">
        <f>HYPERLINK("https://www.albertahealthservices.ca/findhealth/Service.aspx?serviceAtFacilityId=1118995","School Health Program")</f>
        <v>School Health Program</v>
      </c>
      <c r="B763" s="1" t="s">
        <v>2425</v>
      </c>
      <c r="C763" s="2" t="s">
        <v>204</v>
      </c>
      <c r="D763" s="2" t="s">
        <v>2423</v>
      </c>
      <c r="E763" s="1"/>
      <c r="F763" s="2" t="s">
        <v>201</v>
      </c>
      <c r="G763" s="2" t="s">
        <v>199</v>
      </c>
      <c r="H763" s="2" t="s">
        <v>2424</v>
      </c>
    </row>
    <row r="764" spans="1:8" ht="409.5" x14ac:dyDescent="0.25">
      <c r="A764" s="1" t="str">
        <f>HYPERLINK("https://www.albertahealthservices.ca/findhealth/Service.aspx?serviceAtFacilityId=1115131","Provincial Family Violence Treatment Program")</f>
        <v>Provincial Family Violence Treatment Program</v>
      </c>
      <c r="B764" s="1" t="s">
        <v>1654</v>
      </c>
      <c r="C764" s="2" t="s">
        <v>232</v>
      </c>
      <c r="D764" s="2" t="s">
        <v>1651</v>
      </c>
      <c r="E764" s="1"/>
      <c r="F764" s="1" t="s">
        <v>34</v>
      </c>
      <c r="G764" s="2" t="s">
        <v>227</v>
      </c>
      <c r="H764" s="2" t="s">
        <v>2426</v>
      </c>
    </row>
    <row r="765" spans="1:8" ht="195" x14ac:dyDescent="0.25">
      <c r="A765" s="1" t="str">
        <f>HYPERLINK("https://www.albertahealthservices.ca/findhealth/Service.aspx?serviceAtFacilityId=1093748","Addiction Services - Adult Counselling")</f>
        <v>Addiction Services - Adult Counselling</v>
      </c>
      <c r="B765" s="1" t="s">
        <v>2404</v>
      </c>
      <c r="C765" s="2" t="s">
        <v>949</v>
      </c>
      <c r="D765" s="2" t="s">
        <v>2427</v>
      </c>
      <c r="E765" s="1"/>
      <c r="F765" s="2" t="s">
        <v>2428</v>
      </c>
      <c r="G765" s="2" t="s">
        <v>945</v>
      </c>
      <c r="H765" s="2" t="s">
        <v>2429</v>
      </c>
    </row>
    <row r="766" spans="1:8" ht="409.5" x14ac:dyDescent="0.25">
      <c r="A766" s="1" t="str">
        <f>HYPERLINK("https://www.albertahealthservices.ca/findhealth/Service.aspx?serviceAtFacilityId=1040405","Eating Disorder Services")</f>
        <v>Eating Disorder Services</v>
      </c>
      <c r="B766" s="1" t="s">
        <v>1541</v>
      </c>
      <c r="C766" s="2" t="s">
        <v>212</v>
      </c>
      <c r="D766" s="2" t="s">
        <v>2430</v>
      </c>
      <c r="E766" s="1"/>
      <c r="F766" s="2" t="s">
        <v>311</v>
      </c>
      <c r="G766" s="2" t="s">
        <v>209</v>
      </c>
      <c r="H766" s="2" t="s">
        <v>2431</v>
      </c>
    </row>
    <row r="767" spans="1:8" ht="390" x14ac:dyDescent="0.25">
      <c r="A767" s="1" t="str">
        <f>HYPERLINK("https://www.albertahealthservices.ca/findhealth/Service.aspx?serviceAtFacilityId=1104623","Designated Supportive Living Level 4 Dementia")</f>
        <v>Designated Supportive Living Level 4 Dementia</v>
      </c>
      <c r="B767" s="1" t="s">
        <v>2434</v>
      </c>
      <c r="C767" s="2" t="s">
        <v>31</v>
      </c>
      <c r="D767" s="2" t="s">
        <v>2432</v>
      </c>
      <c r="E767" s="1"/>
      <c r="F767" s="2" t="s">
        <v>23</v>
      </c>
      <c r="G767" s="2" t="s">
        <v>52</v>
      </c>
      <c r="H767" s="2" t="s">
        <v>2433</v>
      </c>
    </row>
    <row r="768" spans="1:8" ht="345" x14ac:dyDescent="0.25">
      <c r="A768" s="1" t="str">
        <f>HYPERLINK("https://www.albertahealthservices.ca/findhealth/Service.aspx?serviceAtFacilityId=1087670","Assertive Outreach Services")</f>
        <v>Assertive Outreach Services</v>
      </c>
      <c r="B768" s="1" t="s">
        <v>148</v>
      </c>
      <c r="C768" s="2" t="s">
        <v>882</v>
      </c>
      <c r="D768" s="2" t="s">
        <v>2435</v>
      </c>
      <c r="E768" s="2" t="s">
        <v>880</v>
      </c>
      <c r="F768" s="2" t="s">
        <v>311</v>
      </c>
      <c r="G768" s="2" t="s">
        <v>878</v>
      </c>
      <c r="H768" s="2" t="s">
        <v>2436</v>
      </c>
    </row>
    <row r="769" spans="1:8" ht="270" x14ac:dyDescent="0.25">
      <c r="A769" s="1" t="str">
        <f>HYPERLINK("https://www.albertahealthservices.ca/findhealth/Service.aspx?serviceAtFacilityId=1104508","Designated Supportive Living Level 4 Dementia")</f>
        <v>Designated Supportive Living Level 4 Dementia</v>
      </c>
      <c r="B769" s="1" t="s">
        <v>2439</v>
      </c>
      <c r="C769" s="2" t="s">
        <v>31</v>
      </c>
      <c r="D769" s="2" t="s">
        <v>2437</v>
      </c>
      <c r="E769" s="1"/>
      <c r="F769" s="2" t="s">
        <v>23</v>
      </c>
      <c r="G769" s="2" t="s">
        <v>27</v>
      </c>
      <c r="H769" s="2" t="s">
        <v>2438</v>
      </c>
    </row>
    <row r="770" spans="1:8" ht="120" x14ac:dyDescent="0.25">
      <c r="A770" s="1" t="str">
        <f>HYPERLINK("https://www.albertahealthservices.ca/findhealth/Service.aspx?serviceAtFacilityId=1104184","Seniors Health Clinic")</f>
        <v>Seniors Health Clinic</v>
      </c>
      <c r="B770" s="1" t="s">
        <v>108</v>
      </c>
      <c r="C770" s="2" t="s">
        <v>2185</v>
      </c>
      <c r="D770" s="2" t="s">
        <v>2440</v>
      </c>
      <c r="E770" s="1"/>
      <c r="F770" s="2" t="s">
        <v>2441</v>
      </c>
      <c r="G770" s="2" t="s">
        <v>2182</v>
      </c>
      <c r="H770" s="2" t="s">
        <v>2442</v>
      </c>
    </row>
    <row r="771" spans="1:8" ht="409.5" x14ac:dyDescent="0.25">
      <c r="A771" s="1" t="str">
        <f>HYPERLINK("https://www.albertahealthservices.ca/findhealth/Service.aspx?serviceAtFacilityId=1108508","Provincial Family Violence Treatment Program")</f>
        <v>Provincial Family Violence Treatment Program</v>
      </c>
      <c r="B771" s="1" t="s">
        <v>1765</v>
      </c>
      <c r="C771" s="2" t="s">
        <v>232</v>
      </c>
      <c r="D771" s="2" t="s">
        <v>2443</v>
      </c>
      <c r="E771" s="1"/>
      <c r="F771" s="1" t="s">
        <v>34</v>
      </c>
      <c r="G771" s="2" t="s">
        <v>227</v>
      </c>
      <c r="H771" s="2" t="s">
        <v>2444</v>
      </c>
    </row>
    <row r="772" spans="1:8" ht="195" x14ac:dyDescent="0.25">
      <c r="A772" s="1" t="str">
        <f>HYPERLINK("https://www.albertahealthservices.ca/findhealth/Service.aspx?serviceAtFacilityId=1093750","Addiction Services - Adult Counselling")</f>
        <v>Addiction Services - Adult Counselling</v>
      </c>
      <c r="B772" s="1" t="s">
        <v>1422</v>
      </c>
      <c r="C772" s="2" t="s">
        <v>949</v>
      </c>
      <c r="D772" s="2" t="s">
        <v>2445</v>
      </c>
      <c r="E772" s="1"/>
      <c r="F772" s="2" t="s">
        <v>2446</v>
      </c>
      <c r="G772" s="2" t="s">
        <v>945</v>
      </c>
      <c r="H772" s="2" t="s">
        <v>2447</v>
      </c>
    </row>
    <row r="773" spans="1:8" ht="405" x14ac:dyDescent="0.25">
      <c r="A773" s="1" t="str">
        <f>HYPERLINK("https://www.albertahealthservices.ca/findhealth/Service.aspx?serviceAtFacilityId=1051501","Community Addiction &amp; Mental Health - Adult &amp; Youth Services")</f>
        <v>Community Addiction &amp; Mental Health - Adult &amp; Youth Services</v>
      </c>
      <c r="B773" s="1" t="s">
        <v>1692</v>
      </c>
      <c r="C773" s="2" t="s">
        <v>133</v>
      </c>
      <c r="D773" s="2" t="s">
        <v>2246</v>
      </c>
      <c r="E773" s="1"/>
      <c r="F773" s="2" t="s">
        <v>2448</v>
      </c>
      <c r="G773" s="2" t="s">
        <v>129</v>
      </c>
      <c r="H773" s="2" t="s">
        <v>2449</v>
      </c>
    </row>
    <row r="774" spans="1:8" ht="180" x14ac:dyDescent="0.25">
      <c r="A774" s="1" t="str">
        <f>HYPERLINK("https://www.albertahealthservices.ca/findhealth/Service.aspx?serviceAtFacilityId=1117876","Community Mental Health Service")</f>
        <v>Community Mental Health Service</v>
      </c>
      <c r="B774" s="1" t="s">
        <v>684</v>
      </c>
      <c r="C774" s="2" t="s">
        <v>313</v>
      </c>
      <c r="D774" s="2" t="s">
        <v>2450</v>
      </c>
      <c r="E774" s="1"/>
      <c r="F774" s="2" t="s">
        <v>2451</v>
      </c>
      <c r="G774" s="2" t="s">
        <v>309</v>
      </c>
      <c r="H774" s="2" t="s">
        <v>2452</v>
      </c>
    </row>
    <row r="775" spans="1:8" ht="405" x14ac:dyDescent="0.25">
      <c r="A775" s="1" t="str">
        <f>HYPERLINK("https://www.albertahealthservices.ca/findhealth/Service.aspx?serviceAtFacilityId=1029051","Community Addiction &amp; Mental Health - Adult &amp; Youth Services")</f>
        <v>Community Addiction &amp; Mental Health - Adult &amp; Youth Services</v>
      </c>
      <c r="B775" s="1" t="s">
        <v>492</v>
      </c>
      <c r="C775" s="2" t="s">
        <v>133</v>
      </c>
      <c r="D775" s="2" t="s">
        <v>2453</v>
      </c>
      <c r="E775" s="1"/>
      <c r="F775" s="2" t="s">
        <v>257</v>
      </c>
      <c r="G775" s="2" t="s">
        <v>129</v>
      </c>
      <c r="H775" s="2" t="s">
        <v>2454</v>
      </c>
    </row>
    <row r="776" spans="1:8" ht="165" x14ac:dyDescent="0.25">
      <c r="A776" s="1" t="str">
        <f>HYPERLINK("https://www.albertahealthservices.ca/findhealth/Service.aspx?serviceAtFacilityId=1093951","Addiction Services - Adult Transitional")</f>
        <v>Addiction Services - Adult Transitional</v>
      </c>
      <c r="B776" s="1" t="s">
        <v>2458</v>
      </c>
      <c r="C776" s="2" t="s">
        <v>2459</v>
      </c>
      <c r="D776" s="2" t="s">
        <v>2456</v>
      </c>
      <c r="E776" s="1"/>
      <c r="F776" s="2" t="s">
        <v>23</v>
      </c>
      <c r="G776" s="2" t="s">
        <v>2455</v>
      </c>
      <c r="H776" s="1" t="s">
        <v>2457</v>
      </c>
    </row>
    <row r="777" spans="1:8" ht="409.5" x14ac:dyDescent="0.25">
      <c r="A777" s="1" t="str">
        <f>HYPERLINK("https://www.albertahealthservices.ca/findhealth/Service.aspx?serviceAtFacilityId=1115451","Therapeutic Recreation Services")</f>
        <v>Therapeutic Recreation Services</v>
      </c>
      <c r="B777" s="1" t="s">
        <v>1501</v>
      </c>
      <c r="C777" s="2" t="s">
        <v>37</v>
      </c>
      <c r="D777" s="2" t="s">
        <v>2460</v>
      </c>
      <c r="E777" s="1"/>
      <c r="F777" s="1" t="s">
        <v>34</v>
      </c>
      <c r="G777" s="2" t="s">
        <v>32</v>
      </c>
      <c r="H777" s="2" t="s">
        <v>2461</v>
      </c>
    </row>
    <row r="778" spans="1:8" ht="135" x14ac:dyDescent="0.25">
      <c r="A778" s="1" t="str">
        <f>HYPERLINK("https://www.albertahealthservices.ca/findhealth/Service.aspx?serviceAtFacilityId=1104181","Children's Hospice and Palliative Care Service (CHaPS) - Loss of a Child Grief Support Program")</f>
        <v>Children's Hospice and Palliative Care Service (CHaPS) - Loss of a Child Grief Support Program</v>
      </c>
      <c r="B778" s="1" t="s">
        <v>711</v>
      </c>
      <c r="C778" s="2" t="s">
        <v>2465</v>
      </c>
      <c r="D778" s="2" t="s">
        <v>2463</v>
      </c>
      <c r="E778" s="1"/>
      <c r="F778" s="2" t="s">
        <v>2464</v>
      </c>
      <c r="G778" s="2" t="s">
        <v>2462</v>
      </c>
      <c r="H778" s="1"/>
    </row>
    <row r="779" spans="1:8" ht="105" x14ac:dyDescent="0.25">
      <c r="A779" s="1" t="str">
        <f>HYPERLINK("https://www.albertahealthservices.ca/findhealth/Service.aspx?serviceAtFacilityId=1119398","Mental Health Capacity Building - Aim For Success")</f>
        <v>Mental Health Capacity Building - Aim For Success</v>
      </c>
      <c r="B779" s="1" t="s">
        <v>2468</v>
      </c>
      <c r="C779" s="2" t="s">
        <v>477</v>
      </c>
      <c r="D779" s="2" t="s">
        <v>2466</v>
      </c>
      <c r="E779" s="2" t="s">
        <v>474</v>
      </c>
      <c r="F779" s="1" t="s">
        <v>34</v>
      </c>
      <c r="G779" s="2" t="s">
        <v>472</v>
      </c>
      <c r="H779" s="2" t="s">
        <v>2467</v>
      </c>
    </row>
    <row r="780" spans="1:8" ht="315" x14ac:dyDescent="0.25">
      <c r="A780" s="1" t="str">
        <f>HYPERLINK("https://www.albertahealthservices.ca/findhealth/Service.aspx?serviceAtFacilityId=1101640","Child and Youth Addiction &amp; Mental Health Services")</f>
        <v>Child and Youth Addiction &amp; Mental Health Services</v>
      </c>
      <c r="B780" s="1" t="s">
        <v>840</v>
      </c>
      <c r="C780" s="2" t="s">
        <v>2472</v>
      </c>
      <c r="D780" s="2" t="s">
        <v>2470</v>
      </c>
      <c r="E780" s="1"/>
      <c r="F780" s="2" t="s">
        <v>2471</v>
      </c>
      <c r="G780" s="2" t="s">
        <v>2469</v>
      </c>
      <c r="H780" s="1"/>
    </row>
    <row r="781" spans="1:8" ht="195" x14ac:dyDescent="0.25">
      <c r="A781" s="1" t="str">
        <f>HYPERLINK("https://www.albertahealthservices.ca/findhealth/Service.aspx?serviceAtFacilityId=1105114","Behavioural Education and Support Team")</f>
        <v>Behavioural Education and Support Team</v>
      </c>
      <c r="B781" s="1" t="s">
        <v>1020</v>
      </c>
      <c r="C781" s="2" t="s">
        <v>2474</v>
      </c>
      <c r="D781" s="2" t="s">
        <v>2362</v>
      </c>
      <c r="E781" s="1"/>
      <c r="F781" s="2" t="s">
        <v>190</v>
      </c>
      <c r="G781" s="2" t="s">
        <v>2473</v>
      </c>
      <c r="H781" s="1"/>
    </row>
    <row r="782" spans="1:8" ht="180" x14ac:dyDescent="0.25">
      <c r="A782" s="1" t="str">
        <f>HYPERLINK("https://www.albertahealthservices.ca/findhealth/Service.aspx?serviceAtFacilityId=1038670","Community Support Service - Mental Health")</f>
        <v>Community Support Service - Mental Health</v>
      </c>
      <c r="B782" s="1" t="s">
        <v>2092</v>
      </c>
      <c r="C782" s="2" t="s">
        <v>2478</v>
      </c>
      <c r="D782" s="2" t="s">
        <v>2476</v>
      </c>
      <c r="E782" s="1"/>
      <c r="F782" s="2" t="s">
        <v>2477</v>
      </c>
      <c r="G782" s="2" t="s">
        <v>2475</v>
      </c>
      <c r="H782" s="1"/>
    </row>
    <row r="783" spans="1:8" ht="409.5" x14ac:dyDescent="0.25">
      <c r="A783" s="1" t="str">
        <f>HYPERLINK("https://www.albertahealthservices.ca/findhealth/Service.aspx?serviceAtFacilityId=1090109","Continuing Care Counselling")</f>
        <v>Continuing Care Counselling</v>
      </c>
      <c r="B783" s="1" t="s">
        <v>705</v>
      </c>
      <c r="C783" s="2" t="s">
        <v>163</v>
      </c>
      <c r="D783" s="2" t="s">
        <v>2479</v>
      </c>
      <c r="E783" s="1"/>
      <c r="F783" s="2" t="s">
        <v>261</v>
      </c>
      <c r="G783" s="2" t="s">
        <v>158</v>
      </c>
      <c r="H783" s="2" t="s">
        <v>2480</v>
      </c>
    </row>
    <row r="784" spans="1:8" ht="135" x14ac:dyDescent="0.25">
      <c r="A784" s="1" t="str">
        <f>HYPERLINK("https://www.albertahealthservices.ca/findhealth/Service.aspx?serviceAtFacilityId=1107664","Mental Health Capacity Building - Team For Success")</f>
        <v>Mental Health Capacity Building - Team For Success</v>
      </c>
      <c r="B784" s="1" t="s">
        <v>2483</v>
      </c>
      <c r="C784" s="2" t="s">
        <v>1740</v>
      </c>
      <c r="D784" s="2" t="s">
        <v>2481</v>
      </c>
      <c r="E784" s="1"/>
      <c r="F784" s="1" t="s">
        <v>34</v>
      </c>
      <c r="G784" s="2" t="s">
        <v>1736</v>
      </c>
      <c r="H784" s="2" t="s">
        <v>2482</v>
      </c>
    </row>
    <row r="785" spans="1:8" ht="315" x14ac:dyDescent="0.25">
      <c r="A785" s="1" t="str">
        <f>HYPERLINK("https://www.albertahealthservices.ca/findhealth/Service.aspx?serviceAtFacilityId=1090395","Postpartum Depression Support")</f>
        <v>Postpartum Depression Support</v>
      </c>
      <c r="B785" s="1" t="s">
        <v>65</v>
      </c>
      <c r="C785" s="2" t="s">
        <v>114</v>
      </c>
      <c r="D785" s="2" t="s">
        <v>2484</v>
      </c>
      <c r="E785" s="1"/>
      <c r="F785" s="2" t="s">
        <v>340</v>
      </c>
      <c r="G785" s="1"/>
      <c r="H785" s="2" t="s">
        <v>2485</v>
      </c>
    </row>
    <row r="786" spans="1:8" ht="135" x14ac:dyDescent="0.25">
      <c r="A786" s="1" t="str">
        <f>HYPERLINK("https://www.albertahealthservices.ca/findhealth/Service.aspx?serviceAtFacilityId=1116865","Addiction and Mental Health - Diversion Services")</f>
        <v>Addiction and Mental Health - Diversion Services</v>
      </c>
      <c r="B786" s="1" t="s">
        <v>394</v>
      </c>
      <c r="C786" s="2" t="s">
        <v>154</v>
      </c>
      <c r="D786" s="2" t="s">
        <v>2486</v>
      </c>
      <c r="E786" s="2" t="s">
        <v>152</v>
      </c>
      <c r="F786" s="2" t="s">
        <v>311</v>
      </c>
      <c r="G786" s="2" t="s">
        <v>149</v>
      </c>
      <c r="H786" s="2" t="s">
        <v>2487</v>
      </c>
    </row>
    <row r="787" spans="1:8" ht="390" x14ac:dyDescent="0.25">
      <c r="A787" s="1" t="str">
        <f>HYPERLINK("https://www.albertahealthservices.ca/findhealth/Service.aspx?serviceAtFacilityId=1104629","Designated Supportive Living Level 4 Dementia")</f>
        <v>Designated Supportive Living Level 4 Dementia</v>
      </c>
      <c r="B787" s="1" t="s">
        <v>2490</v>
      </c>
      <c r="C787" s="2" t="s">
        <v>31</v>
      </c>
      <c r="D787" s="2" t="s">
        <v>2488</v>
      </c>
      <c r="E787" s="1"/>
      <c r="F787" s="2" t="s">
        <v>23</v>
      </c>
      <c r="G787" s="2" t="s">
        <v>52</v>
      </c>
      <c r="H787" s="2" t="s">
        <v>2489</v>
      </c>
    </row>
    <row r="788" spans="1:8" ht="405" x14ac:dyDescent="0.25">
      <c r="A788" s="1" t="str">
        <f>HYPERLINK("https://www.albertahealthservices.ca/findhealth/Service.aspx?serviceAtFacilityId=1089208","Community Addiction &amp; Mental Health - Adult &amp; Youth Services")</f>
        <v>Community Addiction &amp; Mental Health - Adult &amp; Youth Services</v>
      </c>
      <c r="B788" s="1" t="s">
        <v>1606</v>
      </c>
      <c r="C788" s="2" t="s">
        <v>133</v>
      </c>
      <c r="D788" s="2" t="s">
        <v>2491</v>
      </c>
      <c r="E788" s="1"/>
      <c r="F788" s="2" t="s">
        <v>2492</v>
      </c>
      <c r="G788" s="2" t="s">
        <v>129</v>
      </c>
      <c r="H788" s="2" t="s">
        <v>2493</v>
      </c>
    </row>
    <row r="789" spans="1:8" ht="409.5" x14ac:dyDescent="0.25">
      <c r="A789" s="1" t="str">
        <f>HYPERLINK("https://www.albertahealthservices.ca/findhealth/Service.aspx?serviceAtFacilityId=1039022","Eating Disorder Services")</f>
        <v>Eating Disorder Services</v>
      </c>
      <c r="B789" s="1" t="s">
        <v>342</v>
      </c>
      <c r="C789" s="2" t="s">
        <v>212</v>
      </c>
      <c r="D789" s="2" t="s">
        <v>2494</v>
      </c>
      <c r="E789" s="1"/>
      <c r="F789" s="2" t="s">
        <v>311</v>
      </c>
      <c r="G789" s="2" t="s">
        <v>209</v>
      </c>
      <c r="H789" s="2" t="s">
        <v>2495</v>
      </c>
    </row>
    <row r="790" spans="1:8" ht="409.5" x14ac:dyDescent="0.25">
      <c r="A790" s="1" t="str">
        <f>HYPERLINK("https://www.albertahealthservices.ca/findhealth/Service.aspx?serviceAtFacilityId=1082320","Mental Health Services")</f>
        <v>Mental Health Services</v>
      </c>
      <c r="B790" s="1" t="s">
        <v>1042</v>
      </c>
      <c r="C790" s="2" t="s">
        <v>98</v>
      </c>
      <c r="D790" s="2" t="s">
        <v>2496</v>
      </c>
      <c r="E790" s="1"/>
      <c r="F790" s="2" t="s">
        <v>392</v>
      </c>
      <c r="G790" s="2" t="s">
        <v>94</v>
      </c>
      <c r="H790" s="2" t="s">
        <v>2497</v>
      </c>
    </row>
    <row r="791" spans="1:8" ht="180" x14ac:dyDescent="0.25">
      <c r="A791" s="1" t="str">
        <f>HYPERLINK("https://www.albertahealthservices.ca/findhealth/Service.aspx?serviceAtFacilityId=1115251","Addiction and Mental Health - Community Urgent Services, Adult")</f>
        <v>Addiction and Mental Health - Community Urgent Services, Adult</v>
      </c>
      <c r="B791" s="1" t="s">
        <v>2501</v>
      </c>
      <c r="C791" s="2" t="s">
        <v>2502</v>
      </c>
      <c r="D791" s="2" t="s">
        <v>2499</v>
      </c>
      <c r="E791" s="2" t="s">
        <v>2500</v>
      </c>
      <c r="F791" s="2" t="s">
        <v>23</v>
      </c>
      <c r="G791" s="2" t="s">
        <v>2498</v>
      </c>
      <c r="H791" s="1" t="s">
        <v>1364</v>
      </c>
    </row>
    <row r="792" spans="1:8" ht="105" x14ac:dyDescent="0.25">
      <c r="A792" s="1" t="str">
        <f>HYPERLINK("https://www.albertahealthservices.ca/findhealth/Service.aspx?serviceAtFacilityId=1111395","Addiction and Mental Health - Intake Services, Adult")</f>
        <v>Addiction and Mental Health - Intake Services, Adult</v>
      </c>
      <c r="B792" s="1" t="s">
        <v>221</v>
      </c>
      <c r="C792" s="2" t="s">
        <v>2506</v>
      </c>
      <c r="D792" s="2" t="s">
        <v>2504</v>
      </c>
      <c r="E792" s="2" t="s">
        <v>2505</v>
      </c>
      <c r="F792" s="2" t="s">
        <v>311</v>
      </c>
      <c r="G792" s="2" t="s">
        <v>2503</v>
      </c>
      <c r="H792" s="1"/>
    </row>
    <row r="793" spans="1:8" ht="150" x14ac:dyDescent="0.25">
      <c r="A793" s="1" t="str">
        <f>HYPERLINK("https://www.albertahealthservices.ca/findhealth/Service.aspx?serviceAtFacilityId=1108359","Mental Health Capacity Building - When We Are Healthy")</f>
        <v>Mental Health Capacity Building - When We Are Healthy</v>
      </c>
      <c r="B793" s="1" t="s">
        <v>2213</v>
      </c>
      <c r="C793" s="2" t="s">
        <v>462</v>
      </c>
      <c r="D793" s="2" t="s">
        <v>2507</v>
      </c>
      <c r="E793" s="1"/>
      <c r="F793" s="2" t="s">
        <v>2508</v>
      </c>
      <c r="G793" s="2" t="s">
        <v>2211</v>
      </c>
      <c r="H793" s="1" t="s">
        <v>2214</v>
      </c>
    </row>
    <row r="794" spans="1:8" ht="345" x14ac:dyDescent="0.25">
      <c r="A794" s="1" t="str">
        <f>HYPERLINK("https://www.albertahealthservices.ca/findhealth/Service.aspx?serviceAtFacilityId=1104497","Designated Supportive Living Level 4 Dementia")</f>
        <v>Designated Supportive Living Level 4 Dementia</v>
      </c>
      <c r="B794" s="1" t="s">
        <v>2511</v>
      </c>
      <c r="C794" s="2" t="s">
        <v>31</v>
      </c>
      <c r="D794" s="2" t="s">
        <v>2509</v>
      </c>
      <c r="E794" s="1"/>
      <c r="F794" s="2" t="s">
        <v>23</v>
      </c>
      <c r="G794" s="2" t="s">
        <v>182</v>
      </c>
      <c r="H794" s="2" t="s">
        <v>2510</v>
      </c>
    </row>
    <row r="795" spans="1:8" ht="165" x14ac:dyDescent="0.25">
      <c r="A795" s="1" t="str">
        <f>HYPERLINK("https://www.albertahealthservices.ca/findhealth/Service.aspx?serviceAtFacilityId=1111602","Addiction and Mental Health - Community Services, Child and Adolescent")</f>
        <v>Addiction and Mental Health - Community Services, Child and Adolescent</v>
      </c>
      <c r="B795" s="1" t="s">
        <v>144</v>
      </c>
      <c r="C795" s="2" t="s">
        <v>292</v>
      </c>
      <c r="D795" s="2" t="s">
        <v>2512</v>
      </c>
      <c r="E795" s="2" t="s">
        <v>289</v>
      </c>
      <c r="F795" s="2" t="s">
        <v>288</v>
      </c>
      <c r="G795" s="2" t="s">
        <v>286</v>
      </c>
      <c r="H795" s="2" t="s">
        <v>2513</v>
      </c>
    </row>
    <row r="796" spans="1:8" ht="345" x14ac:dyDescent="0.25">
      <c r="A796" s="1" t="str">
        <f>HYPERLINK("https://www.albertahealthservices.ca/findhealth/Service.aspx?serviceAtFacilityId=1110907","Designated Supportive Living Level 4 Dementia")</f>
        <v>Designated Supportive Living Level 4 Dementia</v>
      </c>
      <c r="B796" s="1" t="s">
        <v>2516</v>
      </c>
      <c r="C796" s="2" t="s">
        <v>31</v>
      </c>
      <c r="D796" s="2" t="s">
        <v>2514</v>
      </c>
      <c r="E796" s="1"/>
      <c r="F796" s="2" t="s">
        <v>23</v>
      </c>
      <c r="G796" s="2" t="s">
        <v>182</v>
      </c>
      <c r="H796" s="2" t="s">
        <v>2515</v>
      </c>
    </row>
    <row r="797" spans="1:8" ht="390" x14ac:dyDescent="0.25">
      <c r="A797" s="1" t="str">
        <f>HYPERLINK("https://www.albertahealthservices.ca/findhealth/Service.aspx?serviceAtFacilityId=1104669","Designated Supportive Living Level 4 Dementia")</f>
        <v>Designated Supportive Living Level 4 Dementia</v>
      </c>
      <c r="B797" s="1" t="s">
        <v>2519</v>
      </c>
      <c r="C797" s="2" t="s">
        <v>31</v>
      </c>
      <c r="D797" s="2" t="s">
        <v>2517</v>
      </c>
      <c r="E797" s="1"/>
      <c r="F797" s="2" t="s">
        <v>23</v>
      </c>
      <c r="G797" s="2" t="s">
        <v>52</v>
      </c>
      <c r="H797" s="2" t="s">
        <v>2518</v>
      </c>
    </row>
    <row r="798" spans="1:8" ht="135" x14ac:dyDescent="0.25">
      <c r="A798" s="1" t="str">
        <f>HYPERLINK("https://www.albertahealthservices.ca/findhealth/Service.aspx?serviceAtFacilityId=1055456","Sexual Assault Response Team")</f>
        <v>Sexual Assault Response Team</v>
      </c>
      <c r="B798" s="1" t="s">
        <v>2522</v>
      </c>
      <c r="C798" s="2" t="s">
        <v>512</v>
      </c>
      <c r="D798" s="2" t="s">
        <v>2520</v>
      </c>
      <c r="E798" s="1"/>
      <c r="F798" s="2" t="s">
        <v>23</v>
      </c>
      <c r="G798" s="2" t="s">
        <v>508</v>
      </c>
      <c r="H798" s="2" t="s">
        <v>2521</v>
      </c>
    </row>
    <row r="799" spans="1:8" ht="390" x14ac:dyDescent="0.25">
      <c r="A799" s="1" t="str">
        <f>HYPERLINK("https://www.albertahealthservices.ca/findhealth/Service.aspx?serviceAtFacilityId=1115286","Community Helpers Program")</f>
        <v>Community Helpers Program</v>
      </c>
      <c r="B799" s="1" t="s">
        <v>2525</v>
      </c>
      <c r="C799" s="2" t="s">
        <v>120</v>
      </c>
      <c r="D799" s="2" t="s">
        <v>2523</v>
      </c>
      <c r="E799" s="1"/>
      <c r="F799" s="2" t="s">
        <v>117</v>
      </c>
      <c r="G799" s="2" t="s">
        <v>115</v>
      </c>
      <c r="H799" s="2" t="s">
        <v>2524</v>
      </c>
    </row>
    <row r="800" spans="1:8" ht="225" x14ac:dyDescent="0.25">
      <c r="A800" s="1" t="str">
        <f>HYPERLINK("https://www.albertahealthservices.ca/findhealth/Service.aspx?serviceAtFacilityId=1111335","Addiction and Mental Health - Suburban Community Assessment and Treatment Services, Adult")</f>
        <v>Addiction and Mental Health - Suburban Community Assessment and Treatment Services, Adult</v>
      </c>
      <c r="B800" s="1" t="s">
        <v>1814</v>
      </c>
      <c r="C800" s="2" t="s">
        <v>145</v>
      </c>
      <c r="D800" s="2" t="s">
        <v>2526</v>
      </c>
      <c r="E800" s="1"/>
      <c r="F800" s="2" t="s">
        <v>142</v>
      </c>
      <c r="G800" s="2" t="s">
        <v>140</v>
      </c>
      <c r="H800" s="2" t="s">
        <v>2527</v>
      </c>
    </row>
    <row r="801" spans="1:8" ht="405" x14ac:dyDescent="0.25">
      <c r="A801" s="1" t="str">
        <f>HYPERLINK("https://www.albertahealthservices.ca/findhealth/Service.aspx?serviceAtFacilityId=1000804","Community Addiction &amp; Mental Health - Adult &amp; Youth Services")</f>
        <v>Community Addiction &amp; Mental Health - Adult &amp; Youth Services</v>
      </c>
      <c r="B801" s="1" t="s">
        <v>1083</v>
      </c>
      <c r="C801" s="2" t="s">
        <v>133</v>
      </c>
      <c r="D801" s="2" t="s">
        <v>2528</v>
      </c>
      <c r="E801" s="1"/>
      <c r="F801" s="2" t="s">
        <v>2448</v>
      </c>
      <c r="G801" s="2" t="s">
        <v>129</v>
      </c>
      <c r="H801" s="2" t="s">
        <v>2529</v>
      </c>
    </row>
    <row r="802" spans="1:8" ht="409.5" x14ac:dyDescent="0.25">
      <c r="A802" s="1" t="str">
        <f>HYPERLINK("https://www.albertahealthservices.ca/findhealth/Service.aspx?serviceAtFacilityId=1004626","Continuing Care Counselling")</f>
        <v>Continuing Care Counselling</v>
      </c>
      <c r="B802" s="1" t="s">
        <v>2037</v>
      </c>
      <c r="C802" s="2" t="s">
        <v>163</v>
      </c>
      <c r="D802" s="2" t="s">
        <v>2530</v>
      </c>
      <c r="E802" s="1"/>
      <c r="F802" s="2" t="s">
        <v>160</v>
      </c>
      <c r="G802" s="2" t="s">
        <v>158</v>
      </c>
      <c r="H802" s="2" t="s">
        <v>2531</v>
      </c>
    </row>
    <row r="803" spans="1:8" ht="210" x14ac:dyDescent="0.25">
      <c r="A803" s="1" t="str">
        <f>HYPERLINK("https://www.albertahealthservices.ca/findhealth/Service.aspx?serviceAtFacilityId=1094009","Addiction Services - Youth Counselling")</f>
        <v>Addiction Services - Youth Counselling</v>
      </c>
      <c r="B803" s="1" t="s">
        <v>738</v>
      </c>
      <c r="C803" s="2" t="s">
        <v>875</v>
      </c>
      <c r="D803" s="2" t="s">
        <v>2532</v>
      </c>
      <c r="E803" s="1"/>
      <c r="F803" s="2" t="s">
        <v>2110</v>
      </c>
      <c r="G803" s="2" t="s">
        <v>870</v>
      </c>
      <c r="H803" s="2" t="s">
        <v>2533</v>
      </c>
    </row>
    <row r="804" spans="1:8" ht="409.5" x14ac:dyDescent="0.25">
      <c r="A804" s="1" t="str">
        <f>HYPERLINK("https://www.albertahealthservices.ca/findhealth/Service.aspx?serviceAtFacilityId=1108507","Provincial Family Violence Treatment Program")</f>
        <v>Provincial Family Violence Treatment Program</v>
      </c>
      <c r="B804" s="1" t="s">
        <v>2537</v>
      </c>
      <c r="C804" s="2" t="s">
        <v>232</v>
      </c>
      <c r="D804" s="2" t="s">
        <v>2534</v>
      </c>
      <c r="E804" s="1"/>
      <c r="F804" s="2" t="s">
        <v>2535</v>
      </c>
      <c r="G804" s="2" t="s">
        <v>227</v>
      </c>
      <c r="H804" s="2" t="s">
        <v>2536</v>
      </c>
    </row>
    <row r="805" spans="1:8" ht="150" x14ac:dyDescent="0.25">
      <c r="A805" s="1" t="str">
        <f>HYPERLINK("https://www.albertahealthservices.ca/findhealth/Service.aspx?serviceAtFacilityId=1102675","Successful Transitions")</f>
        <v>Successful Transitions</v>
      </c>
      <c r="B805" s="1" t="s">
        <v>276</v>
      </c>
      <c r="C805" s="2" t="s">
        <v>2541</v>
      </c>
      <c r="D805" s="2" t="s">
        <v>2539</v>
      </c>
      <c r="E805" s="2" t="s">
        <v>2540</v>
      </c>
      <c r="F805" s="1" t="s">
        <v>34</v>
      </c>
      <c r="G805" s="2" t="s">
        <v>2538</v>
      </c>
      <c r="H805" s="1"/>
    </row>
    <row r="806" spans="1:8" ht="180" x14ac:dyDescent="0.25">
      <c r="A806" s="1" t="str">
        <f>HYPERLINK("https://www.albertahealthservices.ca/findhealth/Service.aspx?serviceAtFacilityId=1038533","Child and Adolescent Addiction and Mental Health Community Clinics")</f>
        <v>Child and Adolescent Addiction and Mental Health Community Clinics</v>
      </c>
      <c r="B806" s="1" t="s">
        <v>50</v>
      </c>
      <c r="C806" s="2" t="s">
        <v>1566</v>
      </c>
      <c r="D806" s="2" t="s">
        <v>2542</v>
      </c>
      <c r="E806" s="1"/>
      <c r="F806" s="2" t="s">
        <v>2543</v>
      </c>
      <c r="G806" s="2" t="s">
        <v>1562</v>
      </c>
      <c r="H806" s="2" t="s">
        <v>2544</v>
      </c>
    </row>
    <row r="807" spans="1:8" ht="180" x14ac:dyDescent="0.25">
      <c r="A807" s="1" t="str">
        <f>HYPERLINK("https://www.albertahealthservices.ca/findhealth/Service.aspx?serviceAtFacilityId=1119400","Street Connect")</f>
        <v>Street Connect</v>
      </c>
      <c r="B807" s="1" t="s">
        <v>1654</v>
      </c>
      <c r="C807" s="2" t="s">
        <v>2547</v>
      </c>
      <c r="D807" s="2" t="s">
        <v>2546</v>
      </c>
      <c r="E807" s="1"/>
      <c r="F807" s="2" t="s">
        <v>311</v>
      </c>
      <c r="G807" s="2" t="s">
        <v>2545</v>
      </c>
      <c r="H807" s="1"/>
    </row>
    <row r="808" spans="1:8" ht="195" x14ac:dyDescent="0.25">
      <c r="A808" s="1" t="str">
        <f>HYPERLINK("https://www.albertahealthservices.ca/findhealth/Service.aspx?serviceAtFacilityId=1093967","Community Health Promotion Services")</f>
        <v>Community Health Promotion Services</v>
      </c>
      <c r="B808" s="1" t="s">
        <v>307</v>
      </c>
      <c r="C808" s="2" t="s">
        <v>2551</v>
      </c>
      <c r="D808" s="2" t="s">
        <v>2549</v>
      </c>
      <c r="E808" s="1"/>
      <c r="F808" s="2" t="s">
        <v>2550</v>
      </c>
      <c r="G808" s="2" t="s">
        <v>2548</v>
      </c>
      <c r="H808" s="1"/>
    </row>
    <row r="809" spans="1:8" ht="240" x14ac:dyDescent="0.25">
      <c r="A809" s="1" t="str">
        <f>HYPERLINK("https://www.albertahealthservices.ca/findhealth/Service.aspx?serviceAtFacilityId=1047893","Spiritual Care")</f>
        <v>Spiritual Care</v>
      </c>
      <c r="B809" s="1" t="s">
        <v>2555</v>
      </c>
      <c r="C809" s="2" t="s">
        <v>613</v>
      </c>
      <c r="D809" s="2" t="s">
        <v>2552</v>
      </c>
      <c r="E809" s="1"/>
      <c r="F809" s="2" t="s">
        <v>2553</v>
      </c>
      <c r="G809" s="2" t="s">
        <v>609</v>
      </c>
      <c r="H809" s="2" t="s">
        <v>2554</v>
      </c>
    </row>
    <row r="810" spans="1:8" ht="165" x14ac:dyDescent="0.25">
      <c r="A810" s="1" t="str">
        <f>HYPERLINK("https://www.albertahealthservices.ca/findhealth/Service.aspx?serviceAtFacilityId=1094186","Community Addiction and Mental Health Services - Rural")</f>
        <v>Community Addiction and Mental Health Services - Rural</v>
      </c>
      <c r="B810" s="1" t="s">
        <v>1754</v>
      </c>
      <c r="C810" s="2" t="s">
        <v>72</v>
      </c>
      <c r="D810" s="2" t="s">
        <v>2556</v>
      </c>
      <c r="E810" s="1"/>
      <c r="F810" s="2" t="s">
        <v>190</v>
      </c>
      <c r="G810" s="2" t="s">
        <v>67</v>
      </c>
      <c r="H810" s="2" t="s">
        <v>2557</v>
      </c>
    </row>
    <row r="811" spans="1:8" ht="409.5" x14ac:dyDescent="0.25">
      <c r="A811" s="1" t="str">
        <f>HYPERLINK("https://www.albertahealthservices.ca/findhealth/Service.aspx?serviceAtFacilityId=1055815","Mood, Anxiety &amp; Psychosis Service - Child and Adolescent Addiction and Mental Health Specialized Services")</f>
        <v>Mood, Anxiety &amp; Psychosis Service - Child and Adolescent Addiction and Mental Health Specialized Services</v>
      </c>
      <c r="B811" s="1" t="s">
        <v>276</v>
      </c>
      <c r="C811" s="2" t="s">
        <v>2560</v>
      </c>
      <c r="D811" s="2" t="s">
        <v>2252</v>
      </c>
      <c r="E811" s="1"/>
      <c r="F811" s="2" t="s">
        <v>2559</v>
      </c>
      <c r="G811" s="2" t="s">
        <v>2558</v>
      </c>
      <c r="H811" s="1"/>
    </row>
    <row r="812" spans="1:8" ht="120" x14ac:dyDescent="0.25">
      <c r="A812" s="1" t="str">
        <f>HYPERLINK("https://www.albertahealthservices.ca/findhealth/Service.aspx?serviceAtFacilityId=1115202","Addiction and Mental Health - Community Services, Child and Adolescent")</f>
        <v>Addiction and Mental Health - Community Services, Child and Adolescent</v>
      </c>
      <c r="B812" s="1" t="s">
        <v>2564</v>
      </c>
      <c r="C812" s="2" t="s">
        <v>292</v>
      </c>
      <c r="D812" s="2" t="s">
        <v>2561</v>
      </c>
      <c r="E812" s="2" t="s">
        <v>289</v>
      </c>
      <c r="F812" s="2" t="s">
        <v>2562</v>
      </c>
      <c r="G812" s="2" t="s">
        <v>286</v>
      </c>
      <c r="H812" s="2" t="s">
        <v>2563</v>
      </c>
    </row>
    <row r="813" spans="1:8" ht="330" x14ac:dyDescent="0.25">
      <c r="A813" s="1" t="str">
        <f>HYPERLINK("https://www.albertahealthservices.ca/findhealth/Service.aspx?serviceAtFacilityId=1049273","Pastoral Care Services")</f>
        <v>Pastoral Care Services</v>
      </c>
      <c r="B813" s="1" t="s">
        <v>394</v>
      </c>
      <c r="C813" s="2" t="s">
        <v>423</v>
      </c>
      <c r="D813" s="2" t="s">
        <v>478</v>
      </c>
      <c r="E813" s="1"/>
      <c r="F813" s="2" t="s">
        <v>425</v>
      </c>
      <c r="G813" s="2" t="s">
        <v>419</v>
      </c>
      <c r="H813" s="2" t="s">
        <v>2565</v>
      </c>
    </row>
    <row r="814" spans="1:8" ht="375" x14ac:dyDescent="0.25">
      <c r="A814" s="1" t="str">
        <f>HYPERLINK("https://www.albertahealthservices.ca/findhealth/Service.aspx?serviceAtFacilityId=1102473","Regional Collaborative Service Delivery - School based and school linked mental health teams")</f>
        <v>Regional Collaborative Service Delivery - School based and school linked mental health teams</v>
      </c>
      <c r="B814" s="1" t="s">
        <v>168</v>
      </c>
      <c r="C814" s="2" t="s">
        <v>688</v>
      </c>
      <c r="D814" s="2" t="s">
        <v>1118</v>
      </c>
      <c r="E814" s="1"/>
      <c r="F814" s="1" t="s">
        <v>34</v>
      </c>
      <c r="G814" s="2" t="s">
        <v>685</v>
      </c>
      <c r="H814" s="2" t="s">
        <v>2566</v>
      </c>
    </row>
    <row r="815" spans="1:8" ht="330" x14ac:dyDescent="0.25">
      <c r="A815" s="1" t="str">
        <f>HYPERLINK("https://www.albertahealthservices.ca/findhealth/Service.aspx?serviceAtFacilityId=1094128","Pastoral Care Services")</f>
        <v>Pastoral Care Services</v>
      </c>
      <c r="B815" s="1" t="s">
        <v>585</v>
      </c>
      <c r="C815" s="2" t="s">
        <v>423</v>
      </c>
      <c r="D815" s="2" t="s">
        <v>2567</v>
      </c>
      <c r="E815" s="1"/>
      <c r="F815" s="1" t="s">
        <v>34</v>
      </c>
      <c r="G815" s="2" t="s">
        <v>419</v>
      </c>
      <c r="H815" s="2" t="s">
        <v>2568</v>
      </c>
    </row>
    <row r="816" spans="1:8" ht="210" x14ac:dyDescent="0.25">
      <c r="A816" s="1" t="str">
        <f>HYPERLINK("https://www.albertahealthservices.ca/findhealth/Service.aspx?serviceAtFacilityId=1040103","Community Geriatric Mental Health Service")</f>
        <v>Community Geriatric Mental Health Service</v>
      </c>
      <c r="B816" s="1" t="s">
        <v>1020</v>
      </c>
      <c r="C816" s="2" t="s">
        <v>375</v>
      </c>
      <c r="D816" s="2" t="s">
        <v>2569</v>
      </c>
      <c r="E816" s="1"/>
      <c r="F816" s="2" t="s">
        <v>190</v>
      </c>
      <c r="G816" s="2" t="s">
        <v>370</v>
      </c>
      <c r="H816" s="2" t="s">
        <v>2570</v>
      </c>
    </row>
    <row r="817" spans="1:8" ht="150" x14ac:dyDescent="0.25">
      <c r="A817" s="1" t="str">
        <f>HYPERLINK("https://www.albertahealthservices.ca/findhealth/Service.aspx?serviceAtFacilityId=1107993","Mental Health Capacity Building - Helping Our Students to Succeed")</f>
        <v>Mental Health Capacity Building - Helping Our Students to Succeed</v>
      </c>
      <c r="B817" s="1" t="s">
        <v>2573</v>
      </c>
      <c r="C817" s="2" t="s">
        <v>1272</v>
      </c>
      <c r="D817" s="2" t="s">
        <v>2571</v>
      </c>
      <c r="E817" s="1"/>
      <c r="F817" s="1" t="s">
        <v>34</v>
      </c>
      <c r="G817" s="2" t="s">
        <v>1268</v>
      </c>
      <c r="H817" s="2" t="s">
        <v>2572</v>
      </c>
    </row>
    <row r="818" spans="1:8" ht="390" x14ac:dyDescent="0.25">
      <c r="A818" s="1" t="str">
        <f>HYPERLINK("https://www.albertahealthservices.ca/findhealth/Service.aspx?serviceAtFacilityId=1120129","Community Helpers Program")</f>
        <v>Community Helpers Program</v>
      </c>
      <c r="B818" s="1" t="s">
        <v>2576</v>
      </c>
      <c r="C818" s="2" t="s">
        <v>120</v>
      </c>
      <c r="D818" s="2" t="s">
        <v>2574</v>
      </c>
      <c r="E818" s="1"/>
      <c r="F818" s="1" t="s">
        <v>34</v>
      </c>
      <c r="G818" s="2" t="s">
        <v>115</v>
      </c>
      <c r="H818" s="2" t="s">
        <v>2575</v>
      </c>
    </row>
    <row r="819" spans="1:8" ht="390" x14ac:dyDescent="0.25">
      <c r="A819" s="1" t="str">
        <f>HYPERLINK("https://www.albertahealthservices.ca/findhealth/Service.aspx?serviceAtFacilityId=1102358","Children's Mental Health Treatment Services")</f>
        <v>Children's Mental Health Treatment Services</v>
      </c>
      <c r="B819" s="1" t="s">
        <v>124</v>
      </c>
      <c r="C819" s="2" t="s">
        <v>84</v>
      </c>
      <c r="D819" s="2" t="s">
        <v>122</v>
      </c>
      <c r="E819" s="2" t="s">
        <v>82</v>
      </c>
      <c r="F819" s="1" t="s">
        <v>34</v>
      </c>
      <c r="G819" s="2" t="s">
        <v>79</v>
      </c>
      <c r="H819" s="2" t="s">
        <v>2577</v>
      </c>
    </row>
    <row r="820" spans="1:8" ht="375" x14ac:dyDescent="0.25">
      <c r="A820" s="1" t="str">
        <f>HYPERLINK("https://www.albertahealthservices.ca/findhealth/Service.aspx?serviceAtFacilityId=1102491","Regional Collaborative Service Delivery - School based and school linked mental health teams")</f>
        <v>Regional Collaborative Service Delivery - School based and school linked mental health teams</v>
      </c>
      <c r="B820" s="1" t="s">
        <v>65</v>
      </c>
      <c r="C820" s="2" t="s">
        <v>688</v>
      </c>
      <c r="D820" s="2" t="s">
        <v>63</v>
      </c>
      <c r="E820" s="1"/>
      <c r="F820" s="1" t="s">
        <v>34</v>
      </c>
      <c r="G820" s="2" t="s">
        <v>685</v>
      </c>
      <c r="H820" s="2" t="s">
        <v>2578</v>
      </c>
    </row>
    <row r="821" spans="1:8" ht="409.5" x14ac:dyDescent="0.25">
      <c r="A821" s="1" t="str">
        <f>HYPERLINK("https://www.albertahealthservices.ca/findhealth/Service.aspx?serviceAtFacilityId=1082252","Therapeutic Recreation Services")</f>
        <v>Therapeutic Recreation Services</v>
      </c>
      <c r="B821" s="1" t="s">
        <v>1240</v>
      </c>
      <c r="C821" s="2" t="s">
        <v>37</v>
      </c>
      <c r="D821" s="2" t="s">
        <v>2579</v>
      </c>
      <c r="E821" s="1"/>
      <c r="F821" s="2" t="s">
        <v>10</v>
      </c>
      <c r="G821" s="2" t="s">
        <v>32</v>
      </c>
      <c r="H821" s="2" t="s">
        <v>2580</v>
      </c>
    </row>
    <row r="822" spans="1:8" ht="135" x14ac:dyDescent="0.25">
      <c r="A822" s="1" t="str">
        <f>HYPERLINK("https://www.albertahealthservices.ca/findhealth/Service.aspx?serviceAtFacilityId=1120748","Walk-in Crisis Service")</f>
        <v>Walk-in Crisis Service</v>
      </c>
      <c r="B822" s="1" t="s">
        <v>92</v>
      </c>
      <c r="C822" s="2" t="s">
        <v>562</v>
      </c>
      <c r="D822" s="2" t="s">
        <v>1166</v>
      </c>
      <c r="E822" s="1"/>
      <c r="F822" s="2" t="s">
        <v>1167</v>
      </c>
      <c r="G822" s="2" t="s">
        <v>557</v>
      </c>
      <c r="H822" s="2" t="s">
        <v>2581</v>
      </c>
    </row>
    <row r="823" spans="1:8" ht="285" x14ac:dyDescent="0.25">
      <c r="A823" s="1" t="str">
        <f>HYPERLINK("https://www.albertahealthservices.ca/findhealth/Service.aspx?serviceAtFacilityId=1093923","Addiction Services - Adult Long-Term Residential")</f>
        <v>Addiction Services - Adult Long-Term Residential</v>
      </c>
      <c r="B823" s="1" t="s">
        <v>1261</v>
      </c>
      <c r="C823" s="2" t="s">
        <v>2584</v>
      </c>
      <c r="D823" s="2" t="s">
        <v>2583</v>
      </c>
      <c r="E823" s="1"/>
      <c r="F823" s="1" t="s">
        <v>34</v>
      </c>
      <c r="G823" s="2" t="s">
        <v>2582</v>
      </c>
      <c r="H823" s="1"/>
    </row>
    <row r="824" spans="1:8" ht="240" x14ac:dyDescent="0.25">
      <c r="A824" s="1" t="str">
        <f>HYPERLINK("https://www.albertahealthservices.ca/findhealth/Service.aspx?serviceAtFacilityId=1103611","Child and Adolescent Mental Health Program")</f>
        <v>Child and Adolescent Mental Health Program</v>
      </c>
      <c r="B824" s="1" t="s">
        <v>242</v>
      </c>
      <c r="C824" s="2" t="s">
        <v>1971</v>
      </c>
      <c r="D824" s="2" t="s">
        <v>2585</v>
      </c>
      <c r="E824" s="1"/>
      <c r="F824" s="2" t="s">
        <v>311</v>
      </c>
      <c r="G824" s="2" t="s">
        <v>1969</v>
      </c>
      <c r="H824" s="2" t="s">
        <v>2586</v>
      </c>
    </row>
    <row r="825" spans="1:8" ht="135" x14ac:dyDescent="0.25">
      <c r="A825" s="1" t="str">
        <f>HYPERLINK("https://www.albertahealthservices.ca/findhealth/Service.aspx?serviceAtFacilityId=1005378","Adolescent Services")</f>
        <v>Adolescent Services</v>
      </c>
      <c r="B825" s="1" t="s">
        <v>216</v>
      </c>
      <c r="C825" s="2" t="s">
        <v>2589</v>
      </c>
      <c r="D825" s="2" t="s">
        <v>2588</v>
      </c>
      <c r="E825" s="1"/>
      <c r="F825" s="2" t="s">
        <v>190</v>
      </c>
      <c r="G825" s="2" t="s">
        <v>2587</v>
      </c>
      <c r="H825" s="1"/>
    </row>
    <row r="826" spans="1:8" ht="135" x14ac:dyDescent="0.25">
      <c r="A826" s="1" t="str">
        <f>HYPERLINK("https://www.albertahealthservices.ca/findhealth/Service.aspx?serviceAtFacilityId=1087003","Community Mental Health Service")</f>
        <v>Community Mental Health Service</v>
      </c>
      <c r="B826" s="1" t="s">
        <v>1422</v>
      </c>
      <c r="C826" s="2" t="s">
        <v>313</v>
      </c>
      <c r="D826" s="2" t="s">
        <v>1420</v>
      </c>
      <c r="E826" s="1"/>
      <c r="F826" s="2" t="s">
        <v>2590</v>
      </c>
      <c r="G826" s="2" t="s">
        <v>309</v>
      </c>
      <c r="H826" s="2" t="s">
        <v>2591</v>
      </c>
    </row>
    <row r="827" spans="1:8" ht="345" x14ac:dyDescent="0.25">
      <c r="A827" s="1" t="str">
        <f>HYPERLINK("https://www.albertahealthservices.ca/findhealth/Service.aspx?serviceAtFacilityId=1102411","Assertive Outreach Services")</f>
        <v>Assertive Outreach Services</v>
      </c>
      <c r="B827" s="1" t="s">
        <v>192</v>
      </c>
      <c r="C827" s="2" t="s">
        <v>882</v>
      </c>
      <c r="D827" s="2" t="s">
        <v>2592</v>
      </c>
      <c r="E827" s="2" t="s">
        <v>880</v>
      </c>
      <c r="F827" s="1" t="s">
        <v>34</v>
      </c>
      <c r="G827" s="2" t="s">
        <v>878</v>
      </c>
      <c r="H827" s="2" t="s">
        <v>2593</v>
      </c>
    </row>
    <row r="828" spans="1:8" ht="150" x14ac:dyDescent="0.25">
      <c r="A828" s="1" t="str">
        <f>HYPERLINK("https://www.albertahealthservices.ca/findhealth/Service.aspx?serviceAtFacilityId=1103584","Post Partum Mental Health Services")</f>
        <v>Post Partum Mental Health Services</v>
      </c>
      <c r="B828" s="1" t="s">
        <v>243</v>
      </c>
      <c r="C828" s="2" t="s">
        <v>2595</v>
      </c>
      <c r="D828" s="2" t="s">
        <v>310</v>
      </c>
      <c r="E828" s="1"/>
      <c r="F828" s="2" t="s">
        <v>311</v>
      </c>
      <c r="G828" s="2" t="s">
        <v>2594</v>
      </c>
      <c r="H828" s="2" t="s">
        <v>1198</v>
      </c>
    </row>
    <row r="829" spans="1:8" ht="105" x14ac:dyDescent="0.25">
      <c r="A829" s="1" t="str">
        <f>HYPERLINK("https://www.albertahealthservices.ca/findhealth/Service.aspx?serviceAtFacilityId=1111147","Addiction and Mental Health - Psychiatry Inpatient Services, Geriatric")</f>
        <v>Addiction and Mental Health - Psychiatry Inpatient Services, Geriatric</v>
      </c>
      <c r="B829" s="1" t="s">
        <v>1316</v>
      </c>
      <c r="C829" s="2" t="s">
        <v>2599</v>
      </c>
      <c r="D829" s="2" t="s">
        <v>2597</v>
      </c>
      <c r="E829" s="2" t="s">
        <v>1315</v>
      </c>
      <c r="F829" s="2" t="s">
        <v>2598</v>
      </c>
      <c r="G829" s="2" t="s">
        <v>2596</v>
      </c>
      <c r="H829" s="1"/>
    </row>
    <row r="830" spans="1:8" ht="345" x14ac:dyDescent="0.25">
      <c r="A830" s="1" t="str">
        <f>HYPERLINK("https://www.albertahealthservices.ca/findhealth/Service.aspx?serviceAtFacilityId=1049042","Sexual and Reproductive Health - Clinical Services")</f>
        <v>Sexual and Reproductive Health - Clinical Services</v>
      </c>
      <c r="B830" s="1" t="s">
        <v>431</v>
      </c>
      <c r="C830" s="2" t="s">
        <v>905</v>
      </c>
      <c r="D830" s="2" t="s">
        <v>2600</v>
      </c>
      <c r="E830" s="2" t="s">
        <v>903</v>
      </c>
      <c r="F830" s="2" t="s">
        <v>2601</v>
      </c>
      <c r="G830" s="2" t="s">
        <v>900</v>
      </c>
      <c r="H830" s="2" t="s">
        <v>2602</v>
      </c>
    </row>
    <row r="831" spans="1:8" ht="390" x14ac:dyDescent="0.25">
      <c r="A831" s="1" t="str">
        <f>HYPERLINK("https://www.albertahealthservices.ca/findhealth/Service.aspx?serviceAtFacilityId=1102368","Children's Mental Health Treatment Services")</f>
        <v>Children's Mental Health Treatment Services</v>
      </c>
      <c r="B831" s="1" t="s">
        <v>1101</v>
      </c>
      <c r="C831" s="2" t="s">
        <v>84</v>
      </c>
      <c r="D831" s="2" t="s">
        <v>1099</v>
      </c>
      <c r="E831" s="2" t="s">
        <v>82</v>
      </c>
      <c r="F831" s="1" t="s">
        <v>34</v>
      </c>
      <c r="G831" s="2" t="s">
        <v>79</v>
      </c>
      <c r="H831" s="2" t="s">
        <v>2603</v>
      </c>
    </row>
    <row r="832" spans="1:8" ht="180" x14ac:dyDescent="0.25">
      <c r="A832" s="1" t="str">
        <f>HYPERLINK("https://www.albertahealthservices.ca/findhealth/Service.aspx?serviceAtFacilityId=1024553","Seniors Mental Health Program Community Services, Seniors Outreach Nurses")</f>
        <v>Seniors Mental Health Program Community Services, Seniors Outreach Nurses</v>
      </c>
      <c r="B832" s="1" t="s">
        <v>259</v>
      </c>
      <c r="C832" s="2" t="s">
        <v>471</v>
      </c>
      <c r="D832" s="2" t="s">
        <v>2604</v>
      </c>
      <c r="E832" s="1"/>
      <c r="F832" s="2" t="s">
        <v>850</v>
      </c>
      <c r="G832" s="2" t="s">
        <v>467</v>
      </c>
      <c r="H832" s="2" t="s">
        <v>2605</v>
      </c>
    </row>
    <row r="833" spans="1:8" ht="409.5" x14ac:dyDescent="0.25">
      <c r="A833" s="1" t="str">
        <f>HYPERLINK("https://www.albertahealthservices.ca/findhealth/Service.aspx?serviceAtFacilityId=1108523","Provincial Family Violence Treatment Program")</f>
        <v>Provincial Family Violence Treatment Program</v>
      </c>
      <c r="B833" s="1" t="s">
        <v>2608</v>
      </c>
      <c r="C833" s="2" t="s">
        <v>232</v>
      </c>
      <c r="D833" s="2" t="s">
        <v>2606</v>
      </c>
      <c r="E833" s="1"/>
      <c r="F833" s="1" t="s">
        <v>34</v>
      </c>
      <c r="G833" s="2" t="s">
        <v>227</v>
      </c>
      <c r="H833" s="2" t="s">
        <v>2607</v>
      </c>
    </row>
    <row r="834" spans="1:8" ht="210" x14ac:dyDescent="0.25">
      <c r="A834" s="1" t="str">
        <f>HYPERLINK("https://www.albertahealthservices.ca/findhealth/Service.aspx?serviceAtFacilityId=1075754","Mobile Response Team")</f>
        <v>Mobile Response Team</v>
      </c>
      <c r="B834" s="1" t="s">
        <v>1020</v>
      </c>
      <c r="C834" s="2" t="s">
        <v>2613</v>
      </c>
      <c r="D834" s="2" t="s">
        <v>2610</v>
      </c>
      <c r="E834" s="2" t="s">
        <v>2612</v>
      </c>
      <c r="F834" s="2" t="s">
        <v>2611</v>
      </c>
      <c r="G834" s="2" t="s">
        <v>2609</v>
      </c>
      <c r="H834" s="1"/>
    </row>
    <row r="835" spans="1:8" ht="409.5" x14ac:dyDescent="0.25">
      <c r="A835" s="1" t="str">
        <f>HYPERLINK("https://www.albertahealthservices.ca/findhealth/Service.aspx?serviceAtFacilityId=1014514","School Health Program")</f>
        <v>School Health Program</v>
      </c>
      <c r="B835" s="1" t="s">
        <v>148</v>
      </c>
      <c r="C835" s="2" t="s">
        <v>204</v>
      </c>
      <c r="D835" s="2" t="s">
        <v>2614</v>
      </c>
      <c r="E835" s="1"/>
      <c r="F835" s="1" t="s">
        <v>34</v>
      </c>
      <c r="G835" s="2" t="s">
        <v>199</v>
      </c>
      <c r="H835" s="2" t="s">
        <v>2615</v>
      </c>
    </row>
    <row r="836" spans="1:8" ht="180" x14ac:dyDescent="0.25">
      <c r="A836" s="1" t="str">
        <f>HYPERLINK("https://www.albertahealthservices.ca/findhealth/Service.aspx?serviceAtFacilityId=1111299","Addiction and Mental Health - Enhanced Services for Individuals and Families")</f>
        <v>Addiction and Mental Health - Enhanced Services for Individuals and Families</v>
      </c>
      <c r="B836" s="1" t="s">
        <v>2618</v>
      </c>
      <c r="C836" s="2" t="s">
        <v>2619</v>
      </c>
      <c r="D836" s="2" t="s">
        <v>2617</v>
      </c>
      <c r="E836" s="1"/>
      <c r="F836" s="2" t="s">
        <v>1849</v>
      </c>
      <c r="G836" s="2" t="s">
        <v>2616</v>
      </c>
      <c r="H836" s="1"/>
    </row>
    <row r="837" spans="1:8" ht="120" x14ac:dyDescent="0.25">
      <c r="A837" s="1" t="str">
        <f>HYPERLINK("https://www.albertahealthservices.ca/findhealth/Service.aspx?serviceAtFacilityId=1093784","Addiction Services - Youth Outpatient Counselling")</f>
        <v>Addiction Services - Youth Outpatient Counselling</v>
      </c>
      <c r="B837" s="1" t="s">
        <v>92</v>
      </c>
      <c r="C837" s="2" t="s">
        <v>499</v>
      </c>
      <c r="D837" s="2" t="s">
        <v>2620</v>
      </c>
      <c r="E837" s="1"/>
      <c r="F837" s="2" t="s">
        <v>2621</v>
      </c>
      <c r="G837" s="2" t="s">
        <v>494</v>
      </c>
      <c r="H837" s="2" t="s">
        <v>2622</v>
      </c>
    </row>
    <row r="838" spans="1:8" ht="120" x14ac:dyDescent="0.25">
      <c r="A838" s="1" t="str">
        <f>HYPERLINK("https://www.albertahealthservices.ca/findhealth/Service.aspx?serviceAtFacilityId=1103602","Adult Inpatient Psychiatry")</f>
        <v>Adult Inpatient Psychiatry</v>
      </c>
      <c r="B838" s="1" t="s">
        <v>602</v>
      </c>
      <c r="C838" s="2" t="s">
        <v>2102</v>
      </c>
      <c r="D838" s="2" t="s">
        <v>2623</v>
      </c>
      <c r="E838" s="1"/>
      <c r="F838" s="2" t="s">
        <v>23</v>
      </c>
      <c r="G838" s="2" t="s">
        <v>2100</v>
      </c>
      <c r="H838" s="1" t="s">
        <v>843</v>
      </c>
    </row>
    <row r="839" spans="1:8" ht="135" x14ac:dyDescent="0.25">
      <c r="A839" s="1" t="str">
        <f>HYPERLINK("https://www.albertahealthservices.ca/findhealth/Service.aspx?serviceAtFacilityId=1089276","Psychiatric Emergency Team Rural")</f>
        <v>Psychiatric Emergency Team Rural</v>
      </c>
      <c r="B839" s="1" t="s">
        <v>2032</v>
      </c>
      <c r="C839" s="2" t="s">
        <v>756</v>
      </c>
      <c r="D839" s="2" t="s">
        <v>2030</v>
      </c>
      <c r="E839" s="1"/>
      <c r="F839" s="2" t="s">
        <v>753</v>
      </c>
      <c r="G839" s="2" t="s">
        <v>751</v>
      </c>
      <c r="H839" s="2" t="s">
        <v>2624</v>
      </c>
    </row>
    <row r="840" spans="1:8" ht="195" x14ac:dyDescent="0.25">
      <c r="A840" s="1" t="str">
        <f>HYPERLINK("https://www.albertahealthservices.ca/findhealth/Service.aspx?serviceAtFacilityId=1106315","Addiction Services - Adult Counselling")</f>
        <v>Addiction Services - Adult Counselling</v>
      </c>
      <c r="B840" s="1" t="s">
        <v>1792</v>
      </c>
      <c r="C840" s="2" t="s">
        <v>949</v>
      </c>
      <c r="D840" s="2" t="s">
        <v>2625</v>
      </c>
      <c r="E840" s="1"/>
      <c r="F840" s="2" t="s">
        <v>2626</v>
      </c>
      <c r="G840" s="2" t="s">
        <v>945</v>
      </c>
      <c r="H840" s="2" t="s">
        <v>2627</v>
      </c>
    </row>
    <row r="841" spans="1:8" ht="225" x14ac:dyDescent="0.25">
      <c r="A841" s="1" t="str">
        <f>HYPERLINK("https://www.albertahealthservices.ca/findhealth/Service.aspx?serviceAtFacilityId=1104166","Applied Behaviour Collaboration Team, The")</f>
        <v>Applied Behaviour Collaboration Team, The</v>
      </c>
      <c r="B841" s="1" t="s">
        <v>1113</v>
      </c>
      <c r="C841" s="2" t="s">
        <v>2630</v>
      </c>
      <c r="D841" s="2" t="s">
        <v>2629</v>
      </c>
      <c r="E841" s="1"/>
      <c r="F841" s="2" t="s">
        <v>220</v>
      </c>
      <c r="G841" s="2" t="s">
        <v>2628</v>
      </c>
      <c r="H841" s="1"/>
    </row>
    <row r="842" spans="1:8" ht="270" x14ac:dyDescent="0.25">
      <c r="A842" s="1" t="str">
        <f>HYPERLINK("https://www.albertahealthservices.ca/findhealth/Service.aspx?serviceAtFacilityId=1115779","Addiction Services - Prevention")</f>
        <v>Addiction Services - Prevention</v>
      </c>
      <c r="B842" s="1" t="s">
        <v>1298</v>
      </c>
      <c r="C842" s="2" t="s">
        <v>493</v>
      </c>
      <c r="D842" s="2" t="s">
        <v>2631</v>
      </c>
      <c r="E842" s="1"/>
      <c r="F842" s="2" t="s">
        <v>311</v>
      </c>
      <c r="G842" s="2" t="s">
        <v>489</v>
      </c>
      <c r="H842" s="2" t="s">
        <v>2632</v>
      </c>
    </row>
    <row r="843" spans="1:8" ht="180" x14ac:dyDescent="0.25">
      <c r="A843" s="1" t="str">
        <f>HYPERLINK("https://www.albertahealthservices.ca/findhealth/Service.aspx?serviceAtFacilityId=1111291","Addiction and Mental Health - Crisis Services, Child and Adolescent")</f>
        <v>Addiction and Mental Health - Crisis Services, Child and Adolescent</v>
      </c>
      <c r="B843" s="1" t="s">
        <v>723</v>
      </c>
      <c r="C843" s="2" t="s">
        <v>2636</v>
      </c>
      <c r="D843" s="2" t="s">
        <v>2634</v>
      </c>
      <c r="E843" s="1"/>
      <c r="F843" s="2" t="s">
        <v>2635</v>
      </c>
      <c r="G843" s="2" t="s">
        <v>2633</v>
      </c>
      <c r="H843" s="1"/>
    </row>
    <row r="844" spans="1:8" ht="270" x14ac:dyDescent="0.25">
      <c r="A844" s="1" t="str">
        <f>HYPERLINK("https://www.albertahealthservices.ca/findhealth/Service.aspx?serviceAtFacilityId=1107571","School Health Services")</f>
        <v>School Health Services</v>
      </c>
      <c r="B844" s="1" t="s">
        <v>2639</v>
      </c>
      <c r="C844" s="2" t="s">
        <v>641</v>
      </c>
      <c r="D844" s="2" t="s">
        <v>2637</v>
      </c>
      <c r="E844" s="1"/>
      <c r="F844" s="2" t="s">
        <v>818</v>
      </c>
      <c r="G844" s="2" t="s">
        <v>636</v>
      </c>
      <c r="H844" s="2" t="s">
        <v>2638</v>
      </c>
    </row>
    <row r="845" spans="1:8" ht="409.5" x14ac:dyDescent="0.25">
      <c r="A845" s="1" t="str">
        <f>HYPERLINK("https://www.albertahealthservices.ca/findhealth/Service.aspx?serviceAtFacilityId=1115704","Provincial Family Violence Treatment Program")</f>
        <v>Provincial Family Violence Treatment Program</v>
      </c>
      <c r="B845" s="1" t="s">
        <v>1422</v>
      </c>
      <c r="C845" s="2" t="s">
        <v>232</v>
      </c>
      <c r="D845" s="2" t="s">
        <v>1420</v>
      </c>
      <c r="E845" s="1"/>
      <c r="F845" s="2" t="s">
        <v>2640</v>
      </c>
      <c r="G845" s="2" t="s">
        <v>227</v>
      </c>
      <c r="H845" s="2" t="s">
        <v>2641</v>
      </c>
    </row>
    <row r="846" spans="1:8" ht="285" x14ac:dyDescent="0.25">
      <c r="A846" s="1" t="str">
        <f>HYPERLINK("https://www.albertahealthservices.ca/findhealth/Service.aspx?serviceAtFacilityId=1103862","School Health Program")</f>
        <v>School Health Program</v>
      </c>
      <c r="B846" s="1" t="s">
        <v>2644</v>
      </c>
      <c r="C846" s="2" t="s">
        <v>93</v>
      </c>
      <c r="D846" s="2" t="s">
        <v>2642</v>
      </c>
      <c r="E846" s="1"/>
      <c r="F846" s="2" t="s">
        <v>311</v>
      </c>
      <c r="G846" s="1" t="s">
        <v>89</v>
      </c>
      <c r="H846" s="2" t="s">
        <v>2643</v>
      </c>
    </row>
    <row r="847" spans="1:8" ht="409.5" x14ac:dyDescent="0.25">
      <c r="A847" s="1" t="str">
        <f>HYPERLINK("https://www.albertahealthservices.ca/findhealth/Service.aspx?serviceAtFacilityId=1006612","Therapeutic Recreation Services")</f>
        <v>Therapeutic Recreation Services</v>
      </c>
      <c r="B847" s="1" t="s">
        <v>427</v>
      </c>
      <c r="C847" s="2" t="s">
        <v>37</v>
      </c>
      <c r="D847" s="2" t="s">
        <v>2645</v>
      </c>
      <c r="E847" s="1"/>
      <c r="F847" s="1" t="s">
        <v>34</v>
      </c>
      <c r="G847" s="2" t="s">
        <v>32</v>
      </c>
      <c r="H847" s="2" t="s">
        <v>2646</v>
      </c>
    </row>
    <row r="848" spans="1:8" ht="315" x14ac:dyDescent="0.25">
      <c r="A848" s="1" t="str">
        <f>HYPERLINK("https://www.albertahealthservices.ca/findhealth/Service.aspx?serviceAtFacilityId=1006539","Postpartum Depression Support")</f>
        <v>Postpartum Depression Support</v>
      </c>
      <c r="B848" s="1" t="s">
        <v>619</v>
      </c>
      <c r="C848" s="2" t="s">
        <v>114</v>
      </c>
      <c r="D848" s="2" t="s">
        <v>2647</v>
      </c>
      <c r="E848" s="1"/>
      <c r="F848" s="1" t="s">
        <v>34</v>
      </c>
      <c r="G848" s="1"/>
      <c r="H848" s="2" t="s">
        <v>2648</v>
      </c>
    </row>
    <row r="849" spans="1:8" ht="135" x14ac:dyDescent="0.25">
      <c r="A849" s="1" t="str">
        <f>HYPERLINK("https://www.albertahealthservices.ca/findhealth/Service.aspx?serviceAtFacilityId=1120209","Family Connections - Skill Development")</f>
        <v>Family Connections - Skill Development</v>
      </c>
      <c r="B849" s="1" t="s">
        <v>2652</v>
      </c>
      <c r="C849" s="2" t="s">
        <v>302</v>
      </c>
      <c r="D849" s="2" t="s">
        <v>2649</v>
      </c>
      <c r="E849" s="2" t="s">
        <v>299</v>
      </c>
      <c r="F849" s="2" t="s">
        <v>2650</v>
      </c>
      <c r="G849" s="2" t="s">
        <v>296</v>
      </c>
      <c r="H849" s="2" t="s">
        <v>2651</v>
      </c>
    </row>
    <row r="850" spans="1:8" ht="409.5" x14ac:dyDescent="0.25">
      <c r="A850" s="1" t="str">
        <f>HYPERLINK("https://www.albertahealthservices.ca/findhealth/Service.aspx?serviceAtFacilityId=1108527","Provincial Family Violence Treatment Program")</f>
        <v>Provincial Family Violence Treatment Program</v>
      </c>
      <c r="B850" s="1" t="s">
        <v>2655</v>
      </c>
      <c r="C850" s="2" t="s">
        <v>232</v>
      </c>
      <c r="D850" s="2" t="s">
        <v>2653</v>
      </c>
      <c r="E850" s="1"/>
      <c r="F850" s="1" t="s">
        <v>34</v>
      </c>
      <c r="G850" s="2" t="s">
        <v>227</v>
      </c>
      <c r="H850" s="2" t="s">
        <v>2654</v>
      </c>
    </row>
    <row r="851" spans="1:8" ht="409.5" x14ac:dyDescent="0.25">
      <c r="A851" s="1" t="str">
        <f>HYPERLINK("https://www.albertahealthservices.ca/findhealth/Service.aspx?serviceAtFacilityId=1115129","Provincial Family Violence Treatment Program")</f>
        <v>Provincial Family Violence Treatment Program</v>
      </c>
      <c r="B851" s="1" t="s">
        <v>2658</v>
      </c>
      <c r="C851" s="2" t="s">
        <v>232</v>
      </c>
      <c r="D851" s="2" t="s">
        <v>2656</v>
      </c>
      <c r="E851" s="1"/>
      <c r="F851" s="1" t="s">
        <v>34</v>
      </c>
      <c r="G851" s="2" t="s">
        <v>227</v>
      </c>
      <c r="H851" s="2" t="s">
        <v>2657</v>
      </c>
    </row>
    <row r="852" spans="1:8" ht="195" x14ac:dyDescent="0.25">
      <c r="A852" s="1" t="str">
        <f>HYPERLINK("https://www.albertahealthservices.ca/findhealth/Service.aspx?serviceAtFacilityId=1104302","Mental Health Diversion Program")</f>
        <v>Mental Health Diversion Program</v>
      </c>
      <c r="B852" s="1" t="s">
        <v>768</v>
      </c>
      <c r="C852" s="2" t="s">
        <v>1130</v>
      </c>
      <c r="D852" s="2" t="s">
        <v>2659</v>
      </c>
      <c r="E852" s="1"/>
      <c r="F852" s="2" t="s">
        <v>392</v>
      </c>
      <c r="G852" s="2" t="s">
        <v>1128</v>
      </c>
      <c r="H852" s="2" t="s">
        <v>2660</v>
      </c>
    </row>
    <row r="853" spans="1:8" ht="105" x14ac:dyDescent="0.25">
      <c r="A853" s="1" t="str">
        <f>HYPERLINK("https://www.albertahealthservices.ca/findhealth/Service.aspx?serviceAtFacilityId=1118802","Youth Health Program")</f>
        <v>Youth Health Program</v>
      </c>
      <c r="B853" s="1" t="s">
        <v>1865</v>
      </c>
      <c r="C853" s="2" t="s">
        <v>2663</v>
      </c>
      <c r="D853" s="2" t="s">
        <v>2662</v>
      </c>
      <c r="E853" s="1"/>
      <c r="F853" s="2" t="s">
        <v>311</v>
      </c>
      <c r="G853" s="2" t="s">
        <v>2661</v>
      </c>
      <c r="H853" s="1"/>
    </row>
    <row r="854" spans="1:8" ht="285" x14ac:dyDescent="0.25">
      <c r="A854" s="1" t="str">
        <f>HYPERLINK("https://www.albertahealthservices.ca/findhealth/Service.aspx?serviceAtFacilityId=1103867","School Health Program")</f>
        <v>School Health Program</v>
      </c>
      <c r="B854" s="1" t="s">
        <v>847</v>
      </c>
      <c r="C854" s="2" t="s">
        <v>93</v>
      </c>
      <c r="D854" s="2" t="s">
        <v>2664</v>
      </c>
      <c r="E854" s="1"/>
      <c r="F854" s="2" t="s">
        <v>265</v>
      </c>
      <c r="G854" s="1" t="s">
        <v>89</v>
      </c>
      <c r="H854" s="2" t="s">
        <v>2665</v>
      </c>
    </row>
    <row r="855" spans="1:8" ht="150" x14ac:dyDescent="0.25">
      <c r="A855" s="1" t="str">
        <f>HYPERLINK("https://www.albertahealthservices.ca/findhealth/Service.aspx?serviceAtFacilityId=1101635","Child and Adolescent Mental Health Inpatient Services")</f>
        <v>Child and Adolescent Mental Health Inpatient Services</v>
      </c>
      <c r="B855" s="1" t="s">
        <v>108</v>
      </c>
      <c r="C855" s="2" t="s">
        <v>2668</v>
      </c>
      <c r="D855" s="2" t="s">
        <v>2667</v>
      </c>
      <c r="E855" s="1"/>
      <c r="F855" s="2" t="s">
        <v>23</v>
      </c>
      <c r="G855" s="2" t="s">
        <v>2666</v>
      </c>
      <c r="H855" s="2" t="s">
        <v>548</v>
      </c>
    </row>
    <row r="856" spans="1:8" ht="409.5" x14ac:dyDescent="0.25">
      <c r="A856" s="1" t="str">
        <f>HYPERLINK("https://www.albertahealthservices.ca/findhealth/Service.aspx?serviceAtFacilityId=1001803","Continuing Care Counselling")</f>
        <v>Continuing Care Counselling</v>
      </c>
      <c r="B856" s="1" t="s">
        <v>1083</v>
      </c>
      <c r="C856" s="2" t="s">
        <v>163</v>
      </c>
      <c r="D856" s="2" t="s">
        <v>2669</v>
      </c>
      <c r="E856" s="1"/>
      <c r="F856" s="2" t="s">
        <v>160</v>
      </c>
      <c r="G856" s="2" t="s">
        <v>158</v>
      </c>
      <c r="H856" s="2" t="s">
        <v>2670</v>
      </c>
    </row>
    <row r="857" spans="1:8" ht="409.5" x14ac:dyDescent="0.25">
      <c r="A857" s="1" t="str">
        <f>HYPERLINK("https://www.albertahealthservices.ca/findhealth/Service.aspx?serviceAtFacilityId=1094205","Eating Disorder Services")</f>
        <v>Eating Disorder Services</v>
      </c>
      <c r="B857" s="1" t="s">
        <v>448</v>
      </c>
      <c r="C857" s="2" t="s">
        <v>212</v>
      </c>
      <c r="D857" s="2" t="s">
        <v>2671</v>
      </c>
      <c r="E857" s="1"/>
      <c r="F857" s="1" t="s">
        <v>34</v>
      </c>
      <c r="G857" s="2" t="s">
        <v>209</v>
      </c>
      <c r="H857" s="2" t="s">
        <v>2672</v>
      </c>
    </row>
    <row r="858" spans="1:8" ht="270" x14ac:dyDescent="0.25">
      <c r="A858" s="1" t="str">
        <f>HYPERLINK("https://www.albertahealthservices.ca/findhealth/Service.aspx?serviceAtFacilityId=1104558","Designated Supportive Living Level 4 Dementia")</f>
        <v>Designated Supportive Living Level 4 Dementia</v>
      </c>
      <c r="B858" s="1" t="s">
        <v>2675</v>
      </c>
      <c r="C858" s="2" t="s">
        <v>31</v>
      </c>
      <c r="D858" s="2" t="s">
        <v>2673</v>
      </c>
      <c r="E858" s="1"/>
      <c r="F858" s="2" t="s">
        <v>23</v>
      </c>
      <c r="G858" s="2" t="s">
        <v>27</v>
      </c>
      <c r="H858" s="2" t="s">
        <v>2674</v>
      </c>
    </row>
    <row r="859" spans="1:8" ht="409.5" x14ac:dyDescent="0.25">
      <c r="A859" s="1" t="str">
        <f>HYPERLINK("https://www.albertahealthservices.ca/findhealth/Service.aspx?serviceAtFacilityId=1108525","Provincial Family Violence Treatment Program")</f>
        <v>Provincial Family Violence Treatment Program</v>
      </c>
      <c r="B859" s="1" t="s">
        <v>2678</v>
      </c>
      <c r="C859" s="2" t="s">
        <v>232</v>
      </c>
      <c r="D859" s="2" t="s">
        <v>2676</v>
      </c>
      <c r="E859" s="1"/>
      <c r="F859" s="1" t="s">
        <v>34</v>
      </c>
      <c r="G859" s="2" t="s">
        <v>227</v>
      </c>
      <c r="H859" s="2" t="s">
        <v>2677</v>
      </c>
    </row>
    <row r="860" spans="1:8" ht="165" x14ac:dyDescent="0.25">
      <c r="A860" s="1" t="str">
        <f>HYPERLINK("https://www.albertahealthservices.ca/findhealth/Service.aspx?serviceAtFacilityId=1024002","Primary Mental Health Care")</f>
        <v>Primary Mental Health Care</v>
      </c>
      <c r="B860" s="1" t="s">
        <v>2024</v>
      </c>
      <c r="C860" s="2" t="s">
        <v>2682</v>
      </c>
      <c r="D860" s="2" t="s">
        <v>2680</v>
      </c>
      <c r="E860" s="1"/>
      <c r="F860" s="2" t="s">
        <v>2681</v>
      </c>
      <c r="G860" s="2" t="s">
        <v>2679</v>
      </c>
      <c r="H860" s="1"/>
    </row>
    <row r="861" spans="1:8" ht="135" x14ac:dyDescent="0.25">
      <c r="A861" s="1" t="str">
        <f>HYPERLINK("https://www.albertahealthservices.ca/findhealth/Service.aspx?serviceAtFacilityId=1102264","Acute Inpatient Psychiatry")</f>
        <v>Acute Inpatient Psychiatry</v>
      </c>
      <c r="B861" s="1" t="s">
        <v>192</v>
      </c>
      <c r="C861" s="2" t="s">
        <v>1667</v>
      </c>
      <c r="D861" s="2" t="s">
        <v>805</v>
      </c>
      <c r="E861" s="1"/>
      <c r="F861" s="2" t="s">
        <v>23</v>
      </c>
      <c r="G861" s="2" t="s">
        <v>1664</v>
      </c>
      <c r="H861" s="2" t="s">
        <v>2683</v>
      </c>
    </row>
    <row r="862" spans="1:8" ht="150" x14ac:dyDescent="0.25">
      <c r="A862" s="1" t="str">
        <f>HYPERLINK("https://www.albertahealthservices.ca/findhealth/Service.aspx?serviceAtFacilityId=1107212","Mental Health Capacity Building - Together We're Better")</f>
        <v>Mental Health Capacity Building - Together We're Better</v>
      </c>
      <c r="B862" s="1" t="s">
        <v>2686</v>
      </c>
      <c r="C862" s="2" t="s">
        <v>462</v>
      </c>
      <c r="D862" s="2" t="s">
        <v>2684</v>
      </c>
      <c r="E862" s="1"/>
      <c r="F862" s="2" t="s">
        <v>117</v>
      </c>
      <c r="G862" s="2" t="s">
        <v>458</v>
      </c>
      <c r="H862" s="2" t="s">
        <v>2685</v>
      </c>
    </row>
    <row r="863" spans="1:8" ht="105" x14ac:dyDescent="0.25">
      <c r="A863" s="1" t="str">
        <f>HYPERLINK("https://www.albertahealthservices.ca/findhealth/Service.aspx?serviceAtFacilityId=1119395","Mental Health Capacity Building - Aim For Success")</f>
        <v>Mental Health Capacity Building - Aim For Success</v>
      </c>
      <c r="B863" s="1" t="s">
        <v>2689</v>
      </c>
      <c r="C863" s="2" t="s">
        <v>477</v>
      </c>
      <c r="D863" s="2" t="s">
        <v>2687</v>
      </c>
      <c r="E863" s="2" t="s">
        <v>474</v>
      </c>
      <c r="F863" s="1" t="s">
        <v>34</v>
      </c>
      <c r="G863" s="2" t="s">
        <v>472</v>
      </c>
      <c r="H863" s="2" t="s">
        <v>2688</v>
      </c>
    </row>
    <row r="864" spans="1:8" ht="390" x14ac:dyDescent="0.25">
      <c r="A864" s="1" t="str">
        <f>HYPERLINK("https://www.albertahealthservices.ca/findhealth/Service.aspx?serviceAtFacilityId=1109970","Designated Supportive Living Level 4 Dementia")</f>
        <v>Designated Supportive Living Level 4 Dementia</v>
      </c>
      <c r="B864" s="1" t="s">
        <v>2692</v>
      </c>
      <c r="C864" s="2" t="s">
        <v>31</v>
      </c>
      <c r="D864" s="2" t="s">
        <v>2690</v>
      </c>
      <c r="E864" s="1"/>
      <c r="F864" s="2" t="s">
        <v>23</v>
      </c>
      <c r="G864" s="2" t="s">
        <v>52</v>
      </c>
      <c r="H864" s="2" t="s">
        <v>2691</v>
      </c>
    </row>
    <row r="865" spans="1:8" ht="409.5" x14ac:dyDescent="0.25">
      <c r="A865" s="1" t="str">
        <f>HYPERLINK("https://www.albertahealthservices.ca/findhealth/Service.aspx?serviceAtFacilityId=1108510","Provincial Family Violence Treatment Program")</f>
        <v>Provincial Family Violence Treatment Program</v>
      </c>
      <c r="B865" s="1" t="s">
        <v>2695</v>
      </c>
      <c r="C865" s="2" t="s">
        <v>232</v>
      </c>
      <c r="D865" s="2" t="s">
        <v>2693</v>
      </c>
      <c r="E865" s="1"/>
      <c r="F865" s="1" t="s">
        <v>34</v>
      </c>
      <c r="G865" s="2" t="s">
        <v>227</v>
      </c>
      <c r="H865" s="2" t="s">
        <v>2694</v>
      </c>
    </row>
    <row r="866" spans="1:8" ht="270" x14ac:dyDescent="0.25">
      <c r="A866" s="1" t="str">
        <f>HYPERLINK("https://www.albertahealthservices.ca/findhealth/Service.aspx?serviceAtFacilityId=1100871","Addiction Services - Prevention")</f>
        <v>Addiction Services - Prevention</v>
      </c>
      <c r="B866" s="1" t="s">
        <v>674</v>
      </c>
      <c r="C866" s="2" t="s">
        <v>493</v>
      </c>
      <c r="D866" s="2" t="s">
        <v>2696</v>
      </c>
      <c r="E866" s="1"/>
      <c r="F866" s="2" t="s">
        <v>311</v>
      </c>
      <c r="G866" s="2" t="s">
        <v>489</v>
      </c>
      <c r="H866" s="2" t="s">
        <v>2697</v>
      </c>
    </row>
    <row r="867" spans="1:8" ht="409.5" x14ac:dyDescent="0.25">
      <c r="A867" s="1" t="str">
        <f>HYPERLINK("https://www.albertahealthservices.ca/findhealth/Service.aspx?serviceAtFacilityId=1109746","Provincial Family Violence Treatment Program")</f>
        <v>Provincial Family Violence Treatment Program</v>
      </c>
      <c r="B867" s="1" t="s">
        <v>2701</v>
      </c>
      <c r="C867" s="2" t="s">
        <v>232</v>
      </c>
      <c r="D867" s="2" t="s">
        <v>2698</v>
      </c>
      <c r="E867" s="1"/>
      <c r="F867" s="2" t="s">
        <v>2699</v>
      </c>
      <c r="G867" s="2" t="s">
        <v>227</v>
      </c>
      <c r="H867" s="2" t="s">
        <v>2700</v>
      </c>
    </row>
    <row r="868" spans="1:8" ht="75" x14ac:dyDescent="0.25">
      <c r="A868" s="1" t="str">
        <f>HYPERLINK("https://www.albertahealthservices.ca/findhealth/Service.aspx?serviceAtFacilityId=1111125","Addiction and Mental Health Emergency Services, Adult")</f>
        <v>Addiction and Mental Health Emergency Services, Adult</v>
      </c>
      <c r="B868" s="1" t="s">
        <v>1310</v>
      </c>
      <c r="C868" s="2" t="s">
        <v>2703</v>
      </c>
      <c r="D868" s="2" t="s">
        <v>2702</v>
      </c>
      <c r="E868" s="1"/>
      <c r="F868" s="2" t="s">
        <v>23</v>
      </c>
      <c r="G868" s="1"/>
      <c r="H868" s="1"/>
    </row>
    <row r="869" spans="1:8" ht="135" x14ac:dyDescent="0.25">
      <c r="A869" s="1" t="str">
        <f>HYPERLINK("https://www.albertahealthservices.ca/findhealth/Service.aspx?serviceAtFacilityId=1119535","Psychology Services")</f>
        <v>Psychology Services</v>
      </c>
      <c r="B869" s="1" t="s">
        <v>1140</v>
      </c>
      <c r="C869" s="2" t="s">
        <v>1142</v>
      </c>
      <c r="D869" s="2" t="s">
        <v>2704</v>
      </c>
      <c r="E869" s="1"/>
      <c r="F869" s="2" t="s">
        <v>190</v>
      </c>
      <c r="G869" s="2" t="s">
        <v>1137</v>
      </c>
      <c r="H869" s="1" t="s">
        <v>1141</v>
      </c>
    </row>
    <row r="870" spans="1:8" ht="180" x14ac:dyDescent="0.25">
      <c r="A870" s="1" t="str">
        <f>HYPERLINK("https://www.albertahealthservices.ca/findhealth/Service.aspx?serviceAtFacilityId=1111517","Addiction and Mental Health - Community Urgent Services, Adult")</f>
        <v>Addiction and Mental Health - Community Urgent Services, Adult</v>
      </c>
      <c r="B870" s="1" t="s">
        <v>1364</v>
      </c>
      <c r="C870" s="2" t="s">
        <v>2502</v>
      </c>
      <c r="D870" s="2" t="s">
        <v>1362</v>
      </c>
      <c r="E870" s="2" t="s">
        <v>2500</v>
      </c>
      <c r="F870" s="2" t="s">
        <v>23</v>
      </c>
      <c r="G870" s="2" t="s">
        <v>2498</v>
      </c>
      <c r="H870" s="1" t="s">
        <v>2501</v>
      </c>
    </row>
    <row r="871" spans="1:8" ht="135" x14ac:dyDescent="0.25">
      <c r="A871" s="1" t="str">
        <f>HYPERLINK("https://www.albertahealthservices.ca/findhealth/Service.aspx?serviceAtFacilityId=1114412","Sexual Assault Response Team")</f>
        <v>Sexual Assault Response Team</v>
      </c>
      <c r="B871" s="1" t="s">
        <v>144</v>
      </c>
      <c r="C871" s="2" t="s">
        <v>512</v>
      </c>
      <c r="D871" s="2" t="s">
        <v>2705</v>
      </c>
      <c r="E871" s="1"/>
      <c r="F871" s="1" t="s">
        <v>34</v>
      </c>
      <c r="G871" s="2" t="s">
        <v>508</v>
      </c>
      <c r="H871" s="2" t="s">
        <v>2706</v>
      </c>
    </row>
    <row r="872" spans="1:8" ht="270" x14ac:dyDescent="0.25">
      <c r="A872" s="1" t="str">
        <f>HYPERLINK("https://www.albertahealthservices.ca/findhealth/Service.aspx?serviceAtFacilityId=1104417","Designated Supportive Living Level 4 Dementia")</f>
        <v>Designated Supportive Living Level 4 Dementia</v>
      </c>
      <c r="B872" s="1" t="s">
        <v>2709</v>
      </c>
      <c r="C872" s="2" t="s">
        <v>26</v>
      </c>
      <c r="D872" s="2" t="s">
        <v>2707</v>
      </c>
      <c r="E872" s="1"/>
      <c r="F872" s="2" t="s">
        <v>23</v>
      </c>
      <c r="G872" s="2" t="s">
        <v>21</v>
      </c>
      <c r="H872" s="2" t="s">
        <v>2708</v>
      </c>
    </row>
    <row r="873" spans="1:8" ht="405" x14ac:dyDescent="0.25">
      <c r="A873" s="1" t="str">
        <f>HYPERLINK("https://www.albertahealthservices.ca/findhealth/Service.aspx?serviceAtFacilityId=1044151","Calgary Sexual Assault Response Team")</f>
        <v>Calgary Sexual Assault Response Team</v>
      </c>
      <c r="B873" s="1" t="s">
        <v>1020</v>
      </c>
      <c r="C873" s="2" t="s">
        <v>1021</v>
      </c>
      <c r="D873" s="2" t="s">
        <v>2710</v>
      </c>
      <c r="E873" s="2" t="s">
        <v>1019</v>
      </c>
      <c r="F873" s="2" t="s">
        <v>23</v>
      </c>
      <c r="G873" s="2" t="s">
        <v>1017</v>
      </c>
      <c r="H873" s="1" t="s">
        <v>456</v>
      </c>
    </row>
    <row r="874" spans="1:8" ht="210" x14ac:dyDescent="0.25">
      <c r="A874" s="1" t="str">
        <f>HYPERLINK("https://www.albertahealthservices.ca/findhealth/Service.aspx?serviceAtFacilityId=1085878","Therapeutic Recreation - Community &amp; Outpatient")</f>
        <v>Therapeutic Recreation - Community &amp; Outpatient</v>
      </c>
      <c r="B874" s="1" t="s">
        <v>602</v>
      </c>
      <c r="C874" s="2" t="s">
        <v>524</v>
      </c>
      <c r="D874" s="2" t="s">
        <v>2711</v>
      </c>
      <c r="E874" s="1"/>
      <c r="F874" s="2" t="s">
        <v>201</v>
      </c>
      <c r="G874" s="2" t="s">
        <v>520</v>
      </c>
      <c r="H874" s="2" t="s">
        <v>2712</v>
      </c>
    </row>
    <row r="875" spans="1:8" ht="345" x14ac:dyDescent="0.25">
      <c r="A875" s="1" t="str">
        <f>HYPERLINK("https://www.albertahealthservices.ca/findhealth/Service.aspx?serviceAtFacilityId=1104470","Designated Supportive Living Level 4 Dementia")</f>
        <v>Designated Supportive Living Level 4 Dementia</v>
      </c>
      <c r="B875" s="1" t="s">
        <v>2715</v>
      </c>
      <c r="C875" s="2" t="s">
        <v>31</v>
      </c>
      <c r="D875" s="2" t="s">
        <v>2713</v>
      </c>
      <c r="E875" s="1"/>
      <c r="F875" s="2" t="s">
        <v>23</v>
      </c>
      <c r="G875" s="2" t="s">
        <v>182</v>
      </c>
      <c r="H875" s="2" t="s">
        <v>2714</v>
      </c>
    </row>
    <row r="876" spans="1:8" ht="285" x14ac:dyDescent="0.25">
      <c r="A876" s="1" t="str">
        <f>HYPERLINK("https://www.albertahealthservices.ca/findhealth/Service.aspx?serviceAtFacilityId=1031701","Concurrent Disorders Program")</f>
        <v>Concurrent Disorders Program</v>
      </c>
      <c r="B876" s="1" t="s">
        <v>2092</v>
      </c>
      <c r="C876" s="2" t="s">
        <v>2718</v>
      </c>
      <c r="D876" s="2" t="s">
        <v>2717</v>
      </c>
      <c r="E876" s="1"/>
      <c r="F876" s="1" t="s">
        <v>34</v>
      </c>
      <c r="G876" s="2" t="s">
        <v>2716</v>
      </c>
      <c r="H876" s="1"/>
    </row>
    <row r="877" spans="1:8" ht="405" x14ac:dyDescent="0.25">
      <c r="A877" s="1" t="str">
        <f>HYPERLINK("https://www.albertahealthservices.ca/findhealth/Service.aspx?serviceAtFacilityId=1115417","Addiction and Mental Health - Recovery Supports Services, Adult")</f>
        <v>Addiction and Mental Health - Recovery Supports Services, Adult</v>
      </c>
      <c r="B877" s="1" t="s">
        <v>2722</v>
      </c>
      <c r="C877" s="2" t="s">
        <v>666</v>
      </c>
      <c r="D877" s="2" t="s">
        <v>2719</v>
      </c>
      <c r="E877" s="2" t="s">
        <v>663</v>
      </c>
      <c r="F877" s="2" t="s">
        <v>2720</v>
      </c>
      <c r="G877" s="1"/>
      <c r="H877" s="2" t="s">
        <v>2721</v>
      </c>
    </row>
    <row r="878" spans="1:8" ht="195" x14ac:dyDescent="0.25">
      <c r="A878" s="1" t="str">
        <f>HYPERLINK("https://www.albertahealthservices.ca/findhealth/Service.aspx?serviceAtFacilityId=1003026","Psychiatric Nurses Team")</f>
        <v>Psychiatric Nurses Team</v>
      </c>
      <c r="B878" s="1" t="s">
        <v>657</v>
      </c>
      <c r="C878" s="2" t="s">
        <v>807</v>
      </c>
      <c r="D878" s="2" t="s">
        <v>2723</v>
      </c>
      <c r="E878" s="1"/>
      <c r="F878" s="2" t="s">
        <v>2724</v>
      </c>
      <c r="G878" s="1" t="s">
        <v>804</v>
      </c>
      <c r="H878" s="1" t="s">
        <v>192</v>
      </c>
    </row>
    <row r="879" spans="1:8" ht="150" x14ac:dyDescent="0.25">
      <c r="A879" s="1" t="str">
        <f>HYPERLINK("https://www.albertahealthservices.ca/findhealth/Service.aspx?serviceAtFacilityId=1051712","Calgary Rural Children's Rehabilitation Program")</f>
        <v>Calgary Rural Children's Rehabilitation Program</v>
      </c>
      <c r="B879" s="1" t="s">
        <v>252</v>
      </c>
      <c r="C879" s="2" t="s">
        <v>1071</v>
      </c>
      <c r="D879" s="2" t="s">
        <v>2725</v>
      </c>
      <c r="E879" s="2" t="s">
        <v>1068</v>
      </c>
      <c r="F879" s="2" t="s">
        <v>190</v>
      </c>
      <c r="G879" s="2" t="s">
        <v>1066</v>
      </c>
      <c r="H879" s="2" t="s">
        <v>2726</v>
      </c>
    </row>
    <row r="880" spans="1:8" ht="409.5" x14ac:dyDescent="0.25">
      <c r="A880" s="1" t="str">
        <f>HYPERLINK("https://www.albertahealthservices.ca/findhealth/Service.aspx?serviceAtFacilityId=1017393","Continuing Care Counselling")</f>
        <v>Continuing Care Counselling</v>
      </c>
      <c r="B880" s="1" t="s">
        <v>556</v>
      </c>
      <c r="C880" s="2" t="s">
        <v>163</v>
      </c>
      <c r="D880" s="2" t="s">
        <v>2727</v>
      </c>
      <c r="E880" s="1"/>
      <c r="F880" s="2" t="s">
        <v>486</v>
      </c>
      <c r="G880" s="2" t="s">
        <v>158</v>
      </c>
      <c r="H880" s="2" t="s">
        <v>2728</v>
      </c>
    </row>
    <row r="881" spans="1:8" ht="409.5" x14ac:dyDescent="0.25">
      <c r="A881" s="1" t="str">
        <f>HYPERLINK("https://www.albertahealthservices.ca/findhealth/Service.aspx?serviceAtFacilityId=1082253","Therapeutic Recreation Services")</f>
        <v>Therapeutic Recreation Services</v>
      </c>
      <c r="B881" s="1" t="s">
        <v>657</v>
      </c>
      <c r="C881" s="2" t="s">
        <v>37</v>
      </c>
      <c r="D881" s="2" t="s">
        <v>2729</v>
      </c>
      <c r="E881" s="1"/>
      <c r="F881" s="2" t="s">
        <v>517</v>
      </c>
      <c r="G881" s="2" t="s">
        <v>32</v>
      </c>
      <c r="H881" s="2" t="s">
        <v>2730</v>
      </c>
    </row>
    <row r="882" spans="1:8" ht="409.5" x14ac:dyDescent="0.25">
      <c r="A882" s="1" t="str">
        <f>HYPERLINK("https://www.albertahealthservices.ca/findhealth/Service.aspx?serviceAtFacilityId=1108502","Provincial Family Violence Treatment Program")</f>
        <v>Provincial Family Violence Treatment Program</v>
      </c>
      <c r="B882" s="1" t="s">
        <v>2734</v>
      </c>
      <c r="C882" s="2" t="s">
        <v>232</v>
      </c>
      <c r="D882" s="2" t="s">
        <v>2731</v>
      </c>
      <c r="E882" s="1"/>
      <c r="F882" s="2" t="s">
        <v>2732</v>
      </c>
      <c r="G882" s="2" t="s">
        <v>227</v>
      </c>
      <c r="H882" s="2" t="s">
        <v>2733</v>
      </c>
    </row>
    <row r="883" spans="1:8" ht="240" x14ac:dyDescent="0.25">
      <c r="A883" s="1" t="str">
        <f>HYPERLINK("https://www.albertahealthservices.ca/findhealth/Service.aspx?serviceAtFacilityId=1103583","Child and Adolescent Mental Health Program")</f>
        <v>Child and Adolescent Mental Health Program</v>
      </c>
      <c r="B883" s="1" t="s">
        <v>874</v>
      </c>
      <c r="C883" s="2" t="s">
        <v>1971</v>
      </c>
      <c r="D883" s="2" t="s">
        <v>871</v>
      </c>
      <c r="E883" s="1"/>
      <c r="F883" s="2" t="s">
        <v>2735</v>
      </c>
      <c r="G883" s="2" t="s">
        <v>1969</v>
      </c>
      <c r="H883" s="2" t="s">
        <v>2736</v>
      </c>
    </row>
    <row r="884" spans="1:8" ht="150" x14ac:dyDescent="0.25">
      <c r="A884" s="1" t="str">
        <f>HYPERLINK("https://www.albertahealthservices.ca/findhealth/Service.aspx?serviceAtFacilityId=1108253","Mental Health Capacity Building - High Level Student Wellness Project")</f>
        <v>Mental Health Capacity Building - High Level Student Wellness Project</v>
      </c>
      <c r="B884" s="1" t="s">
        <v>2739</v>
      </c>
      <c r="C884" s="2" t="s">
        <v>892</v>
      </c>
      <c r="D884" s="2" t="s">
        <v>2737</v>
      </c>
      <c r="E884" s="1"/>
      <c r="F884" s="2" t="s">
        <v>10</v>
      </c>
      <c r="G884" s="2" t="s">
        <v>458</v>
      </c>
      <c r="H884" s="2" t="s">
        <v>2738</v>
      </c>
    </row>
    <row r="885" spans="1:8" ht="135" x14ac:dyDescent="0.25">
      <c r="A885" s="1" t="str">
        <f>HYPERLINK("https://www.albertahealthservices.ca/findhealth/Service.aspx?serviceAtFacilityId=1055451","Sexual Assault Response Team")</f>
        <v>Sexual Assault Response Team</v>
      </c>
      <c r="B885" s="1" t="s">
        <v>1141</v>
      </c>
      <c r="C885" s="2" t="s">
        <v>512</v>
      </c>
      <c r="D885" s="2" t="s">
        <v>2740</v>
      </c>
      <c r="E885" s="1"/>
      <c r="F885" s="2" t="s">
        <v>23</v>
      </c>
      <c r="G885" s="2" t="s">
        <v>508</v>
      </c>
      <c r="H885" s="2" t="s">
        <v>2741</v>
      </c>
    </row>
    <row r="886" spans="1:8" ht="195" x14ac:dyDescent="0.25">
      <c r="A886" s="1" t="str">
        <f>HYPERLINK("https://www.albertahealthservices.ca/findhealth/Service.aspx?serviceAtFacilityId=1101804","Addiction and Mental Health - Outpatient Counseling Services, Adult")</f>
        <v>Addiction and Mental Health - Outpatient Counseling Services, Adult</v>
      </c>
      <c r="B886" s="1" t="s">
        <v>1795</v>
      </c>
      <c r="C886" s="2" t="s">
        <v>576</v>
      </c>
      <c r="D886" s="2" t="s">
        <v>2742</v>
      </c>
      <c r="E886" s="1"/>
      <c r="F886" s="2" t="s">
        <v>2743</v>
      </c>
      <c r="G886" s="2" t="s">
        <v>571</v>
      </c>
      <c r="H886" s="2" t="s">
        <v>2744</v>
      </c>
    </row>
    <row r="887" spans="1:8" ht="135" x14ac:dyDescent="0.25">
      <c r="A887" s="1" t="str">
        <f>HYPERLINK("https://www.albertahealthservices.ca/findhealth/Service.aspx?serviceAtFacilityId=1055453","Sexual Assault Response Team")</f>
        <v>Sexual Assault Response Team</v>
      </c>
      <c r="B887" s="1" t="s">
        <v>1310</v>
      </c>
      <c r="C887" s="2" t="s">
        <v>512</v>
      </c>
      <c r="D887" s="2" t="s">
        <v>2745</v>
      </c>
      <c r="E887" s="1"/>
      <c r="F887" s="2" t="s">
        <v>23</v>
      </c>
      <c r="G887" s="2" t="s">
        <v>508</v>
      </c>
      <c r="H887" s="2" t="s">
        <v>2746</v>
      </c>
    </row>
    <row r="888" spans="1:8" ht="405" x14ac:dyDescent="0.25">
      <c r="A888" s="1" t="str">
        <f>HYPERLINK("https://www.albertahealthservices.ca/findhealth/Service.aspx?serviceAtFacilityId=1115292","Addiction and Mental Health - Recovery Supports Services, Adult")</f>
        <v>Addiction and Mental Health - Recovery Supports Services, Adult</v>
      </c>
      <c r="B888" s="1" t="s">
        <v>2750</v>
      </c>
      <c r="C888" s="2" t="s">
        <v>666</v>
      </c>
      <c r="D888" s="2" t="s">
        <v>2747</v>
      </c>
      <c r="E888" s="2" t="s">
        <v>663</v>
      </c>
      <c r="F888" s="2" t="s">
        <v>2748</v>
      </c>
      <c r="G888" s="1"/>
      <c r="H888" s="2" t="s">
        <v>2749</v>
      </c>
    </row>
    <row r="889" spans="1:8" ht="255" x14ac:dyDescent="0.25">
      <c r="A889" s="1" t="str">
        <f>HYPERLINK("https://www.albertahealthservices.ca/findhealth/Service.aspx?serviceAtFacilityId=1052000","Addiction and Mental Health - Adult and Youth Intake")</f>
        <v>Addiction and Mental Health - Adult and Youth Intake</v>
      </c>
      <c r="B889" s="1" t="s">
        <v>2754</v>
      </c>
      <c r="C889" s="2" t="s">
        <v>78</v>
      </c>
      <c r="D889" s="2" t="s">
        <v>2751</v>
      </c>
      <c r="E889" s="1"/>
      <c r="F889" s="2" t="s">
        <v>2752</v>
      </c>
      <c r="G889" s="2" t="s">
        <v>73</v>
      </c>
      <c r="H889" s="2" t="s">
        <v>2753</v>
      </c>
    </row>
    <row r="890" spans="1:8" ht="405" x14ac:dyDescent="0.25">
      <c r="A890" s="1" t="str">
        <f>HYPERLINK("https://www.albertahealthservices.ca/findhealth/Service.aspx?serviceAtFacilityId=1000790","Community Addiction &amp; Mental Health - Adult &amp; Youth Services")</f>
        <v>Community Addiction &amp; Mental Health - Adult &amp; Youth Services</v>
      </c>
      <c r="B890" s="1" t="s">
        <v>470</v>
      </c>
      <c r="C890" s="2" t="s">
        <v>133</v>
      </c>
      <c r="D890" s="2" t="s">
        <v>2755</v>
      </c>
      <c r="E890" s="1"/>
      <c r="F890" s="2" t="s">
        <v>257</v>
      </c>
      <c r="G890" s="2" t="s">
        <v>129</v>
      </c>
      <c r="H890" s="2" t="s">
        <v>2756</v>
      </c>
    </row>
    <row r="891" spans="1:8" ht="165" x14ac:dyDescent="0.25">
      <c r="A891" s="1" t="str">
        <f>HYPERLINK("https://www.albertahealthservices.ca/findhealth/Service.aspx?serviceAtFacilityId=1103278","South Mobile Response Team")</f>
        <v>South Mobile Response Team</v>
      </c>
      <c r="B891" s="1" t="s">
        <v>108</v>
      </c>
      <c r="C891" s="2" t="s">
        <v>2760</v>
      </c>
      <c r="D891" s="2" t="s">
        <v>2758</v>
      </c>
      <c r="E891" s="2" t="s">
        <v>2612</v>
      </c>
      <c r="F891" s="2" t="s">
        <v>2759</v>
      </c>
      <c r="G891" s="2" t="s">
        <v>2757</v>
      </c>
      <c r="H891" s="1"/>
    </row>
    <row r="892" spans="1:8" ht="315" x14ac:dyDescent="0.25">
      <c r="A892" s="1" t="str">
        <f>HYPERLINK("https://www.albertahealthservices.ca/findhealth/Service.aspx?serviceAtFacilityId=1022730","Walk In Counselling Services")</f>
        <v>Walk In Counselling Services</v>
      </c>
      <c r="B892" s="1" t="s">
        <v>1090</v>
      </c>
      <c r="C892" s="2" t="s">
        <v>773</v>
      </c>
      <c r="D892" s="2" t="s">
        <v>2761</v>
      </c>
      <c r="E892" s="1"/>
      <c r="F892" s="2" t="s">
        <v>2762</v>
      </c>
      <c r="G892" s="2" t="s">
        <v>769</v>
      </c>
      <c r="H892" s="2" t="s">
        <v>2763</v>
      </c>
    </row>
    <row r="893" spans="1:8" ht="270" x14ac:dyDescent="0.25">
      <c r="A893" s="1" t="str">
        <f>HYPERLINK("https://www.albertahealthservices.ca/findhealth/Service.aspx?serviceAtFacilityId=1110870","Addiction Services - Prevention")</f>
        <v>Addiction Services - Prevention</v>
      </c>
      <c r="B893" s="1" t="s">
        <v>1654</v>
      </c>
      <c r="C893" s="2" t="s">
        <v>782</v>
      </c>
      <c r="D893" s="2" t="s">
        <v>1651</v>
      </c>
      <c r="E893" s="1"/>
      <c r="F893" s="2" t="s">
        <v>1652</v>
      </c>
      <c r="G893" s="2" t="s">
        <v>778</v>
      </c>
      <c r="H893" s="2" t="s">
        <v>2764</v>
      </c>
    </row>
    <row r="894" spans="1:8" ht="135" x14ac:dyDescent="0.25">
      <c r="A894" s="1" t="str">
        <f>HYPERLINK("https://www.albertahealthservices.ca/findhealth/Service.aspx?serviceAtFacilityId=1106161","Supported Housing")</f>
        <v>Supported Housing</v>
      </c>
      <c r="B894" s="1" t="s">
        <v>2768</v>
      </c>
      <c r="C894" s="2" t="s">
        <v>2769</v>
      </c>
      <c r="D894" s="2" t="s">
        <v>2766</v>
      </c>
      <c r="E894" s="2" t="s">
        <v>2767</v>
      </c>
      <c r="F894" s="1" t="s">
        <v>34</v>
      </c>
      <c r="G894" s="2" t="s">
        <v>2765</v>
      </c>
      <c r="H894" s="1"/>
    </row>
    <row r="895" spans="1:8" ht="195" x14ac:dyDescent="0.25">
      <c r="A895" s="1" t="str">
        <f>HYPERLINK("https://www.albertahealthservices.ca/findhealth/Service.aspx?serviceAtFacilityId=1099657","Mental Health Urgent Care")</f>
        <v>Mental Health Urgent Care</v>
      </c>
      <c r="B895" s="1" t="s">
        <v>561</v>
      </c>
      <c r="C895" s="2" t="s">
        <v>360</v>
      </c>
      <c r="D895" s="2" t="s">
        <v>558</v>
      </c>
      <c r="E895" s="1"/>
      <c r="F895" s="2" t="s">
        <v>2770</v>
      </c>
      <c r="G895" s="2" t="s">
        <v>356</v>
      </c>
      <c r="H895" s="2" t="s">
        <v>2771</v>
      </c>
    </row>
    <row r="896" spans="1:8" ht="225" x14ac:dyDescent="0.25">
      <c r="A896" s="1" t="str">
        <f>HYPERLINK("https://www.albertahealthservices.ca/findhealth/Service.aspx?serviceAtFacilityId=1120854","Addiction Services - Adult Counselling")</f>
        <v>Addiction Services - Adult Counselling</v>
      </c>
      <c r="B896" s="1" t="s">
        <v>243</v>
      </c>
      <c r="C896" s="2" t="s">
        <v>949</v>
      </c>
      <c r="D896" s="2" t="s">
        <v>2772</v>
      </c>
      <c r="E896" s="1"/>
      <c r="F896" s="2" t="s">
        <v>2773</v>
      </c>
      <c r="G896" s="2" t="s">
        <v>945</v>
      </c>
      <c r="H896" s="2" t="s">
        <v>2774</v>
      </c>
    </row>
    <row r="897" spans="1:8" ht="195" x14ac:dyDescent="0.25">
      <c r="A897" s="1" t="str">
        <f>HYPERLINK("https://www.albertahealthservices.ca/findhealth/Service.aspx?serviceAtFacilityId=1111384","Addiction and Mental Health - Acute Inpatient Intensive Care Services, Adult")</f>
        <v>Addiction and Mental Health - Acute Inpatient Intensive Care Services, Adult</v>
      </c>
      <c r="B897" s="1" t="s">
        <v>1141</v>
      </c>
      <c r="C897" s="2" t="s">
        <v>2777</v>
      </c>
      <c r="D897" s="2" t="s">
        <v>2776</v>
      </c>
      <c r="E897" s="1"/>
      <c r="F897" s="1" t="s">
        <v>34</v>
      </c>
      <c r="G897" s="2" t="s">
        <v>2775</v>
      </c>
      <c r="H897" s="1" t="s">
        <v>57</v>
      </c>
    </row>
    <row r="898" spans="1:8" ht="135" x14ac:dyDescent="0.25">
      <c r="A898" s="1" t="str">
        <f>HYPERLINK("https://www.albertahealthservices.ca/findhealth/Service.aspx?serviceAtFacilityId=1040153","Walk-in Crisis Service")</f>
        <v>Walk-in Crisis Service</v>
      </c>
      <c r="B898" s="1" t="s">
        <v>1020</v>
      </c>
      <c r="C898" s="2" t="s">
        <v>562</v>
      </c>
      <c r="D898" s="2" t="s">
        <v>2778</v>
      </c>
      <c r="E898" s="1"/>
      <c r="F898" s="2" t="s">
        <v>2779</v>
      </c>
      <c r="G898" s="2" t="s">
        <v>557</v>
      </c>
      <c r="H898" s="2" t="s">
        <v>2780</v>
      </c>
    </row>
    <row r="899" spans="1:8" ht="409.5" x14ac:dyDescent="0.25">
      <c r="A899" s="1" t="str">
        <f>HYPERLINK("https://www.albertahealthservices.ca/findhealth/Service.aspx?serviceAtFacilityId=1049315","Therapeutic Recreation Services")</f>
        <v>Therapeutic Recreation Services</v>
      </c>
      <c r="B899" s="1" t="s">
        <v>2783</v>
      </c>
      <c r="C899" s="2" t="s">
        <v>37</v>
      </c>
      <c r="D899" s="2" t="s">
        <v>2781</v>
      </c>
      <c r="E899" s="1"/>
      <c r="F899" s="1" t="s">
        <v>34</v>
      </c>
      <c r="G899" s="2" t="s">
        <v>32</v>
      </c>
      <c r="H899" s="2" t="s">
        <v>2782</v>
      </c>
    </row>
    <row r="900" spans="1:8" ht="195" x14ac:dyDescent="0.25">
      <c r="A900" s="1" t="str">
        <f>HYPERLINK("https://www.albertahealthservices.ca/findhealth/Service.aspx?serviceAtFacilityId=1087783","Seniors Mental Health Rehabilitation Program")</f>
        <v>Seniors Mental Health Rehabilitation Program</v>
      </c>
      <c r="B900" s="1" t="s">
        <v>1401</v>
      </c>
      <c r="C900" s="2" t="s">
        <v>2787</v>
      </c>
      <c r="D900" s="2" t="s">
        <v>2785</v>
      </c>
      <c r="E900" s="1"/>
      <c r="F900" s="2" t="s">
        <v>2786</v>
      </c>
      <c r="G900" s="2" t="s">
        <v>2784</v>
      </c>
      <c r="H900" s="1"/>
    </row>
    <row r="901" spans="1:8" ht="285" x14ac:dyDescent="0.25">
      <c r="A901" s="1" t="str">
        <f>HYPERLINK("https://www.albertahealthservices.ca/findhealth/Service.aspx?serviceAtFacilityId=1103868","School Health Program")</f>
        <v>School Health Program</v>
      </c>
      <c r="B901" s="1" t="s">
        <v>2790</v>
      </c>
      <c r="C901" s="2" t="s">
        <v>93</v>
      </c>
      <c r="D901" s="2" t="s">
        <v>2788</v>
      </c>
      <c r="E901" s="1"/>
      <c r="F901" s="2" t="s">
        <v>265</v>
      </c>
      <c r="G901" s="1" t="s">
        <v>89</v>
      </c>
      <c r="H901" s="2" t="s">
        <v>2789</v>
      </c>
    </row>
    <row r="902" spans="1:8" ht="225" x14ac:dyDescent="0.25">
      <c r="A902" s="1" t="str">
        <f>HYPERLINK("https://www.albertahealthservices.ca/findhealth/Service.aspx?serviceAtFacilityId=1102426","Psychogeriatric Consultation")</f>
        <v>Psychogeriatric Consultation</v>
      </c>
      <c r="B902" s="1" t="s">
        <v>124</v>
      </c>
      <c r="C902" s="2" t="s">
        <v>66</v>
      </c>
      <c r="D902" s="2" t="s">
        <v>1173</v>
      </c>
      <c r="E902" s="1"/>
      <c r="F902" s="1" t="s">
        <v>34</v>
      </c>
      <c r="G902" s="2" t="s">
        <v>62</v>
      </c>
      <c r="H902" s="2" t="s">
        <v>2791</v>
      </c>
    </row>
    <row r="903" spans="1:8" ht="150" x14ac:dyDescent="0.25">
      <c r="A903" s="1" t="str">
        <f>HYPERLINK("https://www.albertahealthservices.ca/findhealth/Service.aspx?serviceAtFacilityId=1107992","Mental Health Capacity Building - Helping Our Students to Succeed")</f>
        <v>Mental Health Capacity Building - Helping Our Students to Succeed</v>
      </c>
      <c r="B903" s="1" t="s">
        <v>2794</v>
      </c>
      <c r="C903" s="2" t="s">
        <v>1272</v>
      </c>
      <c r="D903" s="2" t="s">
        <v>2792</v>
      </c>
      <c r="E903" s="1"/>
      <c r="F903" s="1" t="s">
        <v>34</v>
      </c>
      <c r="G903" s="2" t="s">
        <v>1268</v>
      </c>
      <c r="H903" s="2" t="s">
        <v>2793</v>
      </c>
    </row>
    <row r="904" spans="1:8" ht="255" x14ac:dyDescent="0.25">
      <c r="A904" s="1" t="str">
        <f>HYPERLINK("https://www.albertahealthservices.ca/findhealth/Service.aspx?serviceAtFacilityId=1046525","Addiction and Mental Health - Adult and Youth Intake")</f>
        <v>Addiction and Mental Health - Adult and Youth Intake</v>
      </c>
      <c r="B904" s="1" t="s">
        <v>781</v>
      </c>
      <c r="C904" s="2" t="s">
        <v>78</v>
      </c>
      <c r="D904" s="2" t="s">
        <v>2795</v>
      </c>
      <c r="E904" s="1"/>
      <c r="F904" s="2" t="s">
        <v>2796</v>
      </c>
      <c r="G904" s="2" t="s">
        <v>73</v>
      </c>
      <c r="H904" s="2" t="s">
        <v>2797</v>
      </c>
    </row>
    <row r="905" spans="1:8" ht="390" x14ac:dyDescent="0.25">
      <c r="A905" s="1" t="str">
        <f>HYPERLINK("https://www.albertahealthservices.ca/findhealth/Service.aspx?serviceAtFacilityId=1104635","Designated Supportive Living Level 4 Dementia")</f>
        <v>Designated Supportive Living Level 4 Dementia</v>
      </c>
      <c r="B905" s="1" t="s">
        <v>2800</v>
      </c>
      <c r="C905" s="2" t="s">
        <v>31</v>
      </c>
      <c r="D905" s="2" t="s">
        <v>2798</v>
      </c>
      <c r="E905" s="1"/>
      <c r="F905" s="2" t="s">
        <v>23</v>
      </c>
      <c r="G905" s="2" t="s">
        <v>52</v>
      </c>
      <c r="H905" s="2" t="s">
        <v>2799</v>
      </c>
    </row>
    <row r="906" spans="1:8" ht="240" x14ac:dyDescent="0.25">
      <c r="A906" s="1" t="str">
        <f>HYPERLINK("https://www.albertahealthservices.ca/findhealth/Service.aspx?serviceAtFacilityId=1114428","Psychosocial Oncology")</f>
        <v>Psychosocial Oncology</v>
      </c>
      <c r="B906" s="1" t="s">
        <v>2804</v>
      </c>
      <c r="C906" s="2" t="s">
        <v>2805</v>
      </c>
      <c r="D906" s="2" t="s">
        <v>2802</v>
      </c>
      <c r="E906" s="1"/>
      <c r="F906" s="1" t="s">
        <v>34</v>
      </c>
      <c r="G906" s="2" t="s">
        <v>2801</v>
      </c>
      <c r="H906" s="1" t="s">
        <v>2803</v>
      </c>
    </row>
    <row r="907" spans="1:8" ht="270" x14ac:dyDescent="0.25">
      <c r="A907" s="1" t="str">
        <f>HYPERLINK("https://www.albertahealthservices.ca/findhealth/Service.aspx?serviceAtFacilityId=1115611","Designated Supportive Living Level 4 Dementia")</f>
        <v>Designated Supportive Living Level 4 Dementia</v>
      </c>
      <c r="B907" s="1" t="s">
        <v>2808</v>
      </c>
      <c r="C907" s="2" t="s">
        <v>31</v>
      </c>
      <c r="D907" s="2" t="s">
        <v>2806</v>
      </c>
      <c r="E907" s="1"/>
      <c r="F907" s="2" t="s">
        <v>23</v>
      </c>
      <c r="G907" s="2" t="s">
        <v>27</v>
      </c>
      <c r="H907" s="2" t="s">
        <v>2807</v>
      </c>
    </row>
    <row r="908" spans="1:8" ht="375" x14ac:dyDescent="0.25">
      <c r="A908" s="1" t="str">
        <f>HYPERLINK("https://www.albertahealthservices.ca/findhealth/Service.aspx?serviceAtFacilityId=1102474","Regional Collaborative Service Delivery - School based and school linked mental health teams")</f>
        <v>Regional Collaborative Service Delivery - School based and school linked mental health teams</v>
      </c>
      <c r="B908" s="1" t="s">
        <v>768</v>
      </c>
      <c r="C908" s="2" t="s">
        <v>688</v>
      </c>
      <c r="D908" s="2" t="s">
        <v>2809</v>
      </c>
      <c r="E908" s="1"/>
      <c r="F908" s="1" t="s">
        <v>34</v>
      </c>
      <c r="G908" s="2" t="s">
        <v>685</v>
      </c>
      <c r="H908" s="2" t="s">
        <v>2810</v>
      </c>
    </row>
    <row r="909" spans="1:8" ht="150" x14ac:dyDescent="0.25">
      <c r="A909" s="1" t="str">
        <f>HYPERLINK("https://www.albertahealthservices.ca/findhealth/Service.aspx?serviceAtFacilityId=1023723","Child and Adolescent Mental Health Inpatient Services")</f>
        <v>Child and Adolescent Mental Health Inpatient Services</v>
      </c>
      <c r="B909" s="1" t="s">
        <v>456</v>
      </c>
      <c r="C909" s="2" t="s">
        <v>2668</v>
      </c>
      <c r="D909" s="2" t="s">
        <v>2811</v>
      </c>
      <c r="E909" s="1"/>
      <c r="F909" s="2" t="s">
        <v>23</v>
      </c>
      <c r="G909" s="2" t="s">
        <v>2666</v>
      </c>
      <c r="H909" s="2" t="s">
        <v>2250</v>
      </c>
    </row>
    <row r="910" spans="1:8" ht="409.5" x14ac:dyDescent="0.25">
      <c r="A910" s="1" t="str">
        <f>HYPERLINK("https://www.albertahealthservices.ca/findhealth/Service.aspx?serviceAtFacilityId=1102266","Mental Health Services")</f>
        <v>Mental Health Services</v>
      </c>
      <c r="B910" s="1" t="s">
        <v>484</v>
      </c>
      <c r="C910" s="2" t="s">
        <v>98</v>
      </c>
      <c r="D910" s="2" t="s">
        <v>2812</v>
      </c>
      <c r="E910" s="1"/>
      <c r="F910" s="2" t="s">
        <v>2813</v>
      </c>
      <c r="G910" s="2" t="s">
        <v>94</v>
      </c>
      <c r="H910" s="2" t="s">
        <v>2814</v>
      </c>
    </row>
    <row r="911" spans="1:8" ht="409.5" x14ac:dyDescent="0.25">
      <c r="A911" s="1" t="str">
        <f>HYPERLINK("https://www.albertahealthservices.ca/findhealth/Service.aspx?serviceAtFacilityId=1046152","Adult Mental Health Treatment Services")</f>
        <v>Adult Mental Health Treatment Services</v>
      </c>
      <c r="B911" s="1" t="s">
        <v>226</v>
      </c>
      <c r="C911" s="2" t="s">
        <v>125</v>
      </c>
      <c r="D911" s="2" t="s">
        <v>2815</v>
      </c>
      <c r="E911" s="1"/>
      <c r="F911" s="2" t="s">
        <v>2816</v>
      </c>
      <c r="G911" s="2" t="s">
        <v>121</v>
      </c>
      <c r="H911" s="2" t="s">
        <v>2817</v>
      </c>
    </row>
    <row r="912" spans="1:8" ht="409.5" x14ac:dyDescent="0.25">
      <c r="A912" s="1" t="str">
        <f>HYPERLINK("https://www.albertahealthservices.ca/findhealth/Service.aspx?serviceAtFacilityId=1111318","Provincial Family Violence Treatment Program")</f>
        <v>Provincial Family Violence Treatment Program</v>
      </c>
      <c r="B912" s="1" t="s">
        <v>330</v>
      </c>
      <c r="C912" s="2" t="s">
        <v>232</v>
      </c>
      <c r="D912" s="2" t="s">
        <v>2818</v>
      </c>
      <c r="E912" s="1"/>
      <c r="F912" s="2" t="s">
        <v>220</v>
      </c>
      <c r="G912" s="2" t="s">
        <v>227</v>
      </c>
      <c r="H912" s="2" t="s">
        <v>2819</v>
      </c>
    </row>
    <row r="913" spans="1:8" ht="135" x14ac:dyDescent="0.25">
      <c r="A913" s="1" t="str">
        <f>HYPERLINK("https://www.albertahealthservices.ca/findhealth/Service.aspx?serviceAtFacilityId=4527","Special Care Unit Services")</f>
        <v>Special Care Unit Services</v>
      </c>
      <c r="B913" s="1" t="s">
        <v>1141</v>
      </c>
      <c r="C913" s="2" t="s">
        <v>2822</v>
      </c>
      <c r="D913" s="2" t="s">
        <v>2821</v>
      </c>
      <c r="E913" s="1"/>
      <c r="F913" s="1" t="s">
        <v>34</v>
      </c>
      <c r="G913" s="2" t="s">
        <v>2820</v>
      </c>
      <c r="H913" s="1"/>
    </row>
    <row r="914" spans="1:8" ht="225" x14ac:dyDescent="0.25">
      <c r="A914" s="1" t="str">
        <f>HYPERLINK("https://www.albertahealthservices.ca/findhealth/Service.aspx?serviceAtFacilityId=1111330","Addiction and Mental Health - Suburban Community Assessment and Treatment Services, Adult")</f>
        <v>Addiction and Mental Health - Suburban Community Assessment and Treatment Services, Adult</v>
      </c>
      <c r="B914" s="1" t="s">
        <v>1501</v>
      </c>
      <c r="C914" s="2" t="s">
        <v>145</v>
      </c>
      <c r="D914" s="2" t="s">
        <v>2823</v>
      </c>
      <c r="E914" s="1"/>
      <c r="F914" s="2" t="s">
        <v>142</v>
      </c>
      <c r="G914" s="2" t="s">
        <v>140</v>
      </c>
      <c r="H914" s="2" t="s">
        <v>2824</v>
      </c>
    </row>
    <row r="915" spans="1:8" ht="90" x14ac:dyDescent="0.25">
      <c r="A915" s="1" t="str">
        <f>HYPERLINK("https://www.albertahealthservices.ca/findhealth/Service.aspx?serviceAtFacilityId=1111278","Addiction and Mental Health - Acute Inpatient Services, Adolescent")</f>
        <v>Addiction and Mental Health - Acute Inpatient Services, Adolescent</v>
      </c>
      <c r="B915" s="1" t="s">
        <v>177</v>
      </c>
      <c r="C915" s="2" t="s">
        <v>1061</v>
      </c>
      <c r="D915" s="2" t="s">
        <v>174</v>
      </c>
      <c r="E915" s="1"/>
      <c r="F915" s="2" t="s">
        <v>23</v>
      </c>
      <c r="G915" s="2" t="s">
        <v>1059</v>
      </c>
      <c r="H915" s="1" t="s">
        <v>176</v>
      </c>
    </row>
    <row r="916" spans="1:8" ht="315" x14ac:dyDescent="0.25">
      <c r="A916" s="1" t="str">
        <f>HYPERLINK("https://www.albertahealthservices.ca/findhealth/Service.aspx?serviceAtFacilityId=1088604","Postpartum Depression Support")</f>
        <v>Postpartum Depression Support</v>
      </c>
      <c r="B916" s="1" t="s">
        <v>2827</v>
      </c>
      <c r="C916" s="2" t="s">
        <v>114</v>
      </c>
      <c r="D916" s="2" t="s">
        <v>2825</v>
      </c>
      <c r="E916" s="1"/>
      <c r="F916" s="1" t="s">
        <v>34</v>
      </c>
      <c r="G916" s="1"/>
      <c r="H916" s="2" t="s">
        <v>2826</v>
      </c>
    </row>
    <row r="917" spans="1:8" ht="345" x14ac:dyDescent="0.25">
      <c r="A917" s="1" t="str">
        <f>HYPERLINK("https://www.albertahealthservices.ca/findhealth/Service.aspx?serviceAtFacilityId=1104663","Designated Supportive Living Level 4 Dementia")</f>
        <v>Designated Supportive Living Level 4 Dementia</v>
      </c>
      <c r="B917" s="1" t="s">
        <v>2830</v>
      </c>
      <c r="C917" s="2" t="s">
        <v>31</v>
      </c>
      <c r="D917" s="2" t="s">
        <v>2828</v>
      </c>
      <c r="E917" s="1"/>
      <c r="F917" s="2" t="s">
        <v>23</v>
      </c>
      <c r="G917" s="2" t="s">
        <v>182</v>
      </c>
      <c r="H917" s="2" t="s">
        <v>2829</v>
      </c>
    </row>
    <row r="918" spans="1:8" ht="390" x14ac:dyDescent="0.25">
      <c r="A918" s="1" t="str">
        <f>HYPERLINK("https://www.albertahealthservices.ca/findhealth/Service.aspx?serviceAtFacilityId=1104610","Designated Supportive Living Level 4 Dementia")</f>
        <v>Designated Supportive Living Level 4 Dementia</v>
      </c>
      <c r="B918" s="1" t="s">
        <v>2833</v>
      </c>
      <c r="C918" s="2" t="s">
        <v>31</v>
      </c>
      <c r="D918" s="2" t="s">
        <v>2831</v>
      </c>
      <c r="E918" s="1"/>
      <c r="F918" s="2" t="s">
        <v>23</v>
      </c>
      <c r="G918" s="2" t="s">
        <v>52</v>
      </c>
      <c r="H918" s="2" t="s">
        <v>2832</v>
      </c>
    </row>
    <row r="919" spans="1:8" ht="240" x14ac:dyDescent="0.25">
      <c r="A919" s="1" t="str">
        <f>HYPERLINK("https://www.albertahealthservices.ca/findhealth/Service.aspx?serviceAtFacilityId=1047724","Spiritual Care")</f>
        <v>Spiritual Care</v>
      </c>
      <c r="B919" s="1" t="s">
        <v>1141</v>
      </c>
      <c r="C919" s="2" t="s">
        <v>613</v>
      </c>
      <c r="D919" s="2" t="s">
        <v>2834</v>
      </c>
      <c r="E919" s="1"/>
      <c r="F919" s="2" t="s">
        <v>2835</v>
      </c>
      <c r="G919" s="2" t="s">
        <v>609</v>
      </c>
      <c r="H919" s="2" t="s">
        <v>2836</v>
      </c>
    </row>
    <row r="920" spans="1:8" ht="405" x14ac:dyDescent="0.25">
      <c r="A920" s="1" t="str">
        <f>HYPERLINK("https://www.albertahealthservices.ca/findhealth/Service.aspx?serviceAtFacilityId=1115404","Addiction and Mental Health - Recovery Supports Services, Adult")</f>
        <v>Addiction and Mental Health - Recovery Supports Services, Adult</v>
      </c>
      <c r="B920" s="1" t="s">
        <v>2840</v>
      </c>
      <c r="C920" s="2" t="s">
        <v>666</v>
      </c>
      <c r="D920" s="2" t="s">
        <v>2837</v>
      </c>
      <c r="E920" s="2" t="s">
        <v>663</v>
      </c>
      <c r="F920" s="2" t="s">
        <v>2838</v>
      </c>
      <c r="G920" s="1"/>
      <c r="H920" s="2" t="s">
        <v>2839</v>
      </c>
    </row>
    <row r="921" spans="1:8" ht="405" x14ac:dyDescent="0.25">
      <c r="A921" s="1" t="str">
        <f>HYPERLINK("https://www.albertahealthservices.ca/findhealth/Service.aspx?serviceAtFacilityId=1089202","Community Addiction &amp; Mental Health - Adult &amp; Youth Services")</f>
        <v>Community Addiction &amp; Mental Health - Adult &amp; Youth Services</v>
      </c>
      <c r="B921" s="1" t="s">
        <v>2843</v>
      </c>
      <c r="C921" s="2" t="s">
        <v>133</v>
      </c>
      <c r="D921" s="2" t="s">
        <v>2841</v>
      </c>
      <c r="E921" s="1"/>
      <c r="F921" s="2" t="s">
        <v>311</v>
      </c>
      <c r="G921" s="2" t="s">
        <v>129</v>
      </c>
      <c r="H921" s="2" t="s">
        <v>2842</v>
      </c>
    </row>
    <row r="922" spans="1:8" ht="180" x14ac:dyDescent="0.25">
      <c r="A922" s="1" t="str">
        <f>HYPERLINK("https://www.albertahealthservices.ca/findhealth/Service.aspx?serviceAtFacilityId=1104801","Community Addiction and Mental Health Clinics")</f>
        <v>Community Addiction and Mental Health Clinics</v>
      </c>
      <c r="B922" s="1" t="s">
        <v>2846</v>
      </c>
      <c r="C922" s="2" t="s">
        <v>1546</v>
      </c>
      <c r="D922" s="2" t="s">
        <v>2844</v>
      </c>
      <c r="E922" s="1"/>
      <c r="F922" s="2" t="s">
        <v>1544</v>
      </c>
      <c r="G922" s="2" t="s">
        <v>1542</v>
      </c>
      <c r="H922" s="2" t="s">
        <v>2845</v>
      </c>
    </row>
    <row r="923" spans="1:8" ht="225" x14ac:dyDescent="0.25">
      <c r="A923" s="1" t="str">
        <f>HYPERLINK("https://www.albertahealthservices.ca/findhealth/Service.aspx?serviceAtFacilityId=1072807","Spiritual Care Services")</f>
        <v>Spiritual Care Services</v>
      </c>
      <c r="B923" s="1" t="s">
        <v>378</v>
      </c>
      <c r="C923" s="2" t="s">
        <v>971</v>
      </c>
      <c r="D923" s="2" t="s">
        <v>2847</v>
      </c>
      <c r="E923" s="1"/>
      <c r="F923" s="2" t="s">
        <v>2848</v>
      </c>
      <c r="G923" s="2" t="s">
        <v>968</v>
      </c>
      <c r="H923" s="2" t="s">
        <v>2849</v>
      </c>
    </row>
    <row r="924" spans="1:8" ht="405" x14ac:dyDescent="0.25">
      <c r="A924" s="1" t="str">
        <f>HYPERLINK("https://www.albertahealthservices.ca/findhealth/Service.aspx?serviceAtFacilityId=1115408","Addiction and Mental Health - Recovery Supports Services, Adult")</f>
        <v>Addiction and Mental Health - Recovery Supports Services, Adult</v>
      </c>
      <c r="B924" s="1" t="s">
        <v>2852</v>
      </c>
      <c r="C924" s="2" t="s">
        <v>666</v>
      </c>
      <c r="D924" s="2" t="s">
        <v>2850</v>
      </c>
      <c r="E924" s="2" t="s">
        <v>663</v>
      </c>
      <c r="F924" s="2" t="s">
        <v>201</v>
      </c>
      <c r="G924" s="1"/>
      <c r="H924" s="2" t="s">
        <v>2851</v>
      </c>
    </row>
    <row r="925" spans="1:8" ht="409.5" x14ac:dyDescent="0.25">
      <c r="A925" s="1" t="str">
        <f>HYPERLINK("https://www.albertahealthservices.ca/findhealth/Service.aspx?serviceAtFacilityId=1108521","Provincial Family Violence Treatment Program")</f>
        <v>Provincial Family Violence Treatment Program</v>
      </c>
      <c r="B925" s="1" t="s">
        <v>119</v>
      </c>
      <c r="C925" s="2" t="s">
        <v>232</v>
      </c>
      <c r="D925" s="1" t="s">
        <v>119</v>
      </c>
      <c r="E925" s="1"/>
      <c r="F925" s="1" t="s">
        <v>34</v>
      </c>
      <c r="G925" s="2" t="s">
        <v>227</v>
      </c>
      <c r="H925" s="2" t="s">
        <v>2853</v>
      </c>
    </row>
    <row r="926" spans="1:8" ht="75" x14ac:dyDescent="0.25">
      <c r="A926" s="1" t="str">
        <f>HYPERLINK("https://www.albertahealthservices.ca/findhealth/Service.aspx?serviceAtFacilityId=1111361","Addiction and Mental Health - Inpatient Rehabilitation Services, Adult")</f>
        <v>Addiction and Mental Health - Inpatient Rehabilitation Services, Adult</v>
      </c>
      <c r="B926" s="1" t="s">
        <v>57</v>
      </c>
      <c r="C926" s="2" t="s">
        <v>2854</v>
      </c>
      <c r="D926" s="2" t="s">
        <v>2333</v>
      </c>
      <c r="E926" s="1"/>
      <c r="F926" s="1" t="s">
        <v>34</v>
      </c>
      <c r="G926" s="1"/>
      <c r="H926" s="1"/>
    </row>
    <row r="927" spans="1:8" ht="270" x14ac:dyDescent="0.25">
      <c r="A927" s="1" t="str">
        <f>HYPERLINK("https://www.albertahealthservices.ca/findhealth/Service.aspx?serviceAtFacilityId=1074545","Regional Housing")</f>
        <v>Regional Housing</v>
      </c>
      <c r="B927" s="1" t="s">
        <v>1020</v>
      </c>
      <c r="C927" s="2" t="s">
        <v>2858</v>
      </c>
      <c r="D927" s="2" t="s">
        <v>2856</v>
      </c>
      <c r="E927" s="1"/>
      <c r="F927" s="2" t="s">
        <v>2857</v>
      </c>
      <c r="G927" s="2" t="s">
        <v>2855</v>
      </c>
      <c r="H927" s="1"/>
    </row>
    <row r="928" spans="1:8" ht="409.5" x14ac:dyDescent="0.25">
      <c r="A928" s="1" t="str">
        <f>HYPERLINK("https://www.albertahealthservices.ca/findhealth/Service.aspx?serviceAtFacilityId=1044058","Continuing Care Counselling")</f>
        <v>Continuing Care Counselling</v>
      </c>
      <c r="B928" s="1" t="s">
        <v>755</v>
      </c>
      <c r="C928" s="2" t="s">
        <v>163</v>
      </c>
      <c r="D928" s="2" t="s">
        <v>752</v>
      </c>
      <c r="E928" s="1"/>
      <c r="F928" s="2" t="s">
        <v>261</v>
      </c>
      <c r="G928" s="2" t="s">
        <v>158</v>
      </c>
      <c r="H928" s="2" t="s">
        <v>2859</v>
      </c>
    </row>
    <row r="929" spans="1:8" ht="210" x14ac:dyDescent="0.25">
      <c r="A929" s="1" t="str">
        <f>HYPERLINK("https://www.albertahealthservices.ca/findhealth/Service.aspx?serviceAtFacilityId=1093745","Addiction and Mental Health - Outpatient Counseling Services, Adult")</f>
        <v>Addiction and Mental Health - Outpatient Counseling Services, Adult</v>
      </c>
      <c r="B929" s="1" t="s">
        <v>2618</v>
      </c>
      <c r="C929" s="2" t="s">
        <v>576</v>
      </c>
      <c r="D929" s="2" t="s">
        <v>2617</v>
      </c>
      <c r="E929" s="1"/>
      <c r="F929" s="2" t="s">
        <v>2860</v>
      </c>
      <c r="G929" s="2" t="s">
        <v>571</v>
      </c>
      <c r="H929" s="2" t="s">
        <v>2861</v>
      </c>
    </row>
    <row r="930" spans="1:8" ht="210" x14ac:dyDescent="0.25">
      <c r="A930" s="1" t="str">
        <f>HYPERLINK("https://www.albertahealthservices.ca/findhealth/Service.aspx?serviceAtFacilityId=1105662","Assertive Community Treatment Service - Mental Health")</f>
        <v>Assertive Community Treatment Service - Mental Health</v>
      </c>
      <c r="B930" s="1" t="s">
        <v>847</v>
      </c>
      <c r="C930" s="2" t="s">
        <v>2236</v>
      </c>
      <c r="D930" s="2" t="s">
        <v>2862</v>
      </c>
      <c r="E930" s="1"/>
      <c r="F930" s="2" t="s">
        <v>2235</v>
      </c>
      <c r="G930" s="2" t="s">
        <v>2233</v>
      </c>
      <c r="H930" s="1" t="s">
        <v>1020</v>
      </c>
    </row>
    <row r="931" spans="1:8" ht="180" x14ac:dyDescent="0.25">
      <c r="A931" s="1" t="str">
        <f>HYPERLINK("https://www.albertahealthservices.ca/findhealth/Service.aspx?serviceAtFacilityId=1000165","Day Treatment Centre - Addiction &amp; Mental Health")</f>
        <v>Day Treatment Centre - Addiction &amp; Mental Health</v>
      </c>
      <c r="B931" s="1" t="s">
        <v>843</v>
      </c>
      <c r="C931" s="2" t="s">
        <v>2866</v>
      </c>
      <c r="D931" s="2" t="s">
        <v>2864</v>
      </c>
      <c r="E931" s="1"/>
      <c r="F931" s="2" t="s">
        <v>2865</v>
      </c>
      <c r="G931" s="2" t="s">
        <v>2863</v>
      </c>
      <c r="H931" s="1"/>
    </row>
    <row r="932" spans="1:8" ht="180" x14ac:dyDescent="0.25">
      <c r="A932" s="1" t="str">
        <f>HYPERLINK("https://www.albertahealthservices.ca/findhealth/Service.aspx?serviceAtFacilityId=1107468","Community Mental Health Service")</f>
        <v>Community Mental Health Service</v>
      </c>
      <c r="B932" s="1" t="s">
        <v>629</v>
      </c>
      <c r="C932" s="2" t="s">
        <v>313</v>
      </c>
      <c r="D932" s="2" t="s">
        <v>2198</v>
      </c>
      <c r="E932" s="1"/>
      <c r="F932" s="2" t="s">
        <v>2867</v>
      </c>
      <c r="G932" s="2" t="s">
        <v>309</v>
      </c>
      <c r="H932" s="2" t="s">
        <v>2868</v>
      </c>
    </row>
    <row r="933" spans="1:8" ht="105" x14ac:dyDescent="0.25">
      <c r="A933" s="1" t="str">
        <f>HYPERLINK("https://www.albertahealthservices.ca/findhealth/Service.aspx?serviceAtFacilityId=1112968","Mental Health Capacity Building - STAR (Strength, Tolerance, Attitude, Resilience)")</f>
        <v>Mental Health Capacity Building - STAR (Strength, Tolerance, Attitude, Resilience)</v>
      </c>
      <c r="B933" s="1" t="s">
        <v>2872</v>
      </c>
      <c r="C933" s="2" t="s">
        <v>2873</v>
      </c>
      <c r="D933" s="2" t="s">
        <v>2870</v>
      </c>
      <c r="E933" s="1"/>
      <c r="F933" s="2" t="s">
        <v>2871</v>
      </c>
      <c r="G933" s="2" t="s">
        <v>2869</v>
      </c>
      <c r="H933" s="1"/>
    </row>
    <row r="934" spans="1:8" ht="120" x14ac:dyDescent="0.25">
      <c r="A934" s="1" t="str">
        <f>HYPERLINK("https://www.albertahealthservices.ca/findhealth/Service.aspx?serviceAtFacilityId=1120208","Family Connections - Skill Development")</f>
        <v>Family Connections - Skill Development</v>
      </c>
      <c r="B934" s="1" t="s">
        <v>511</v>
      </c>
      <c r="C934" s="2" t="s">
        <v>302</v>
      </c>
      <c r="D934" s="2" t="s">
        <v>2874</v>
      </c>
      <c r="E934" s="2" t="s">
        <v>299</v>
      </c>
      <c r="F934" s="2" t="s">
        <v>2875</v>
      </c>
      <c r="G934" s="2" t="s">
        <v>296</v>
      </c>
      <c r="H934" s="2" t="s">
        <v>2876</v>
      </c>
    </row>
    <row r="935" spans="1:8" ht="105" x14ac:dyDescent="0.25">
      <c r="A935" s="1" t="str">
        <f>HYPERLINK("https://www.albertahealthservices.ca/findhealth/Service.aspx?serviceAtFacilityId=1102803","Community Assessment Consultation Service - Child and Adolescent Addiction and Mental Health Specialized Services")</f>
        <v>Community Assessment Consultation Service - Child and Adolescent Addiction and Mental Health Specialized Services</v>
      </c>
      <c r="B935" s="1" t="s">
        <v>276</v>
      </c>
      <c r="C935" s="2" t="s">
        <v>2879</v>
      </c>
      <c r="D935" s="2" t="s">
        <v>2878</v>
      </c>
      <c r="E935" s="1"/>
      <c r="F935" s="2" t="s">
        <v>190</v>
      </c>
      <c r="G935" s="2" t="s">
        <v>2877</v>
      </c>
      <c r="H935" s="1"/>
    </row>
    <row r="936" spans="1:8" ht="135" x14ac:dyDescent="0.25">
      <c r="A936" s="1" t="str">
        <f>HYPERLINK("https://www.albertahealthservices.ca/findhealth/Service.aspx?serviceAtFacilityId=1089279","Psychiatric Emergency Team Rural")</f>
        <v>Psychiatric Emergency Team Rural</v>
      </c>
      <c r="B936" s="1" t="s">
        <v>556</v>
      </c>
      <c r="C936" s="2" t="s">
        <v>756</v>
      </c>
      <c r="D936" s="2" t="s">
        <v>2880</v>
      </c>
      <c r="E936" s="1"/>
      <c r="F936" s="2" t="s">
        <v>753</v>
      </c>
      <c r="G936" s="2" t="s">
        <v>751</v>
      </c>
      <c r="H936" s="2" t="s">
        <v>2881</v>
      </c>
    </row>
    <row r="937" spans="1:8" ht="180" x14ac:dyDescent="0.25">
      <c r="A937" s="1" t="str">
        <f>HYPERLINK("https://www.albertahealthservices.ca/findhealth/Service.aspx?serviceAtFacilityId=1120858","Mental Health Outreach Depot Clinic")</f>
        <v>Mental Health Outreach Depot Clinic</v>
      </c>
      <c r="B937" s="1" t="s">
        <v>243</v>
      </c>
      <c r="C937" s="2" t="s">
        <v>1323</v>
      </c>
      <c r="D937" s="2" t="s">
        <v>2882</v>
      </c>
      <c r="E937" s="1"/>
      <c r="F937" s="2" t="s">
        <v>311</v>
      </c>
      <c r="G937" s="2" t="s">
        <v>1321</v>
      </c>
      <c r="H937" s="1" t="s">
        <v>242</v>
      </c>
    </row>
    <row r="938" spans="1:8" ht="180" x14ac:dyDescent="0.25">
      <c r="A938" s="1" t="str">
        <f>HYPERLINK("https://www.albertahealthservices.ca/findhealth/Service.aspx?serviceAtFacilityId=1075753","Psychiatric Adult Services")</f>
        <v>Psychiatric Adult Services</v>
      </c>
      <c r="B938" s="1" t="s">
        <v>197</v>
      </c>
      <c r="C938" s="2" t="s">
        <v>2886</v>
      </c>
      <c r="D938" s="2" t="s">
        <v>2884</v>
      </c>
      <c r="E938" s="1"/>
      <c r="F938" s="2" t="s">
        <v>2885</v>
      </c>
      <c r="G938" s="2" t="s">
        <v>2883</v>
      </c>
      <c r="H938" s="1"/>
    </row>
    <row r="939" spans="1:8" ht="315" x14ac:dyDescent="0.25">
      <c r="A939" s="1" t="str">
        <f>HYPERLINK("https://www.albertahealthservices.ca/findhealth/Service.aspx?serviceAtFacilityId=1094177","Postpartum Depression Support")</f>
        <v>Postpartum Depression Support</v>
      </c>
      <c r="B939" s="1" t="s">
        <v>855</v>
      </c>
      <c r="C939" s="2" t="s">
        <v>114</v>
      </c>
      <c r="D939" s="2" t="s">
        <v>2887</v>
      </c>
      <c r="E939" s="1"/>
      <c r="F939" s="1" t="s">
        <v>34</v>
      </c>
      <c r="G939" s="1"/>
      <c r="H939" s="2" t="s">
        <v>2888</v>
      </c>
    </row>
    <row r="940" spans="1:8" ht="270" x14ac:dyDescent="0.25">
      <c r="A940" s="1" t="str">
        <f>HYPERLINK("https://www.albertahealthservices.ca/findhealth/Service.aspx?serviceAtFacilityId=1107566","School Health Services")</f>
        <v>School Health Services</v>
      </c>
      <c r="B940" s="1" t="s">
        <v>1854</v>
      </c>
      <c r="C940" s="2" t="s">
        <v>641</v>
      </c>
      <c r="D940" s="2" t="s">
        <v>2889</v>
      </c>
      <c r="E940" s="1"/>
      <c r="F940" s="2" t="s">
        <v>638</v>
      </c>
      <c r="G940" s="2" t="s">
        <v>636</v>
      </c>
      <c r="H940" s="2" t="s">
        <v>2890</v>
      </c>
    </row>
    <row r="941" spans="1:8" ht="330" x14ac:dyDescent="0.25">
      <c r="A941" s="1" t="str">
        <f>HYPERLINK("https://www.albertahealthservices.ca/findhealth/Service.aspx?serviceAtFacilityId=1106111","Pastoral Care Services")</f>
        <v>Pastoral Care Services</v>
      </c>
      <c r="B941" s="1" t="s">
        <v>2894</v>
      </c>
      <c r="C941" s="2" t="s">
        <v>423</v>
      </c>
      <c r="D941" s="2" t="s">
        <v>2891</v>
      </c>
      <c r="E941" s="1"/>
      <c r="F941" s="2" t="s">
        <v>2892</v>
      </c>
      <c r="G941" s="2" t="s">
        <v>419</v>
      </c>
      <c r="H941" s="2" t="s">
        <v>2893</v>
      </c>
    </row>
    <row r="942" spans="1:8" ht="285" x14ac:dyDescent="0.25">
      <c r="A942" s="1" t="str">
        <f>HYPERLINK("https://www.albertahealthservices.ca/findhealth/Service.aspx?serviceAtFacilityId=1056057","School Health Program")</f>
        <v>School Health Program</v>
      </c>
      <c r="B942" s="1" t="s">
        <v>1376</v>
      </c>
      <c r="C942" s="2" t="s">
        <v>93</v>
      </c>
      <c r="D942" s="2" t="s">
        <v>2895</v>
      </c>
      <c r="E942" s="1"/>
      <c r="F942" s="2" t="s">
        <v>311</v>
      </c>
      <c r="G942" s="1" t="s">
        <v>89</v>
      </c>
      <c r="H942" s="2" t="s">
        <v>2896</v>
      </c>
    </row>
    <row r="943" spans="1:8" ht="150" x14ac:dyDescent="0.25">
      <c r="A943" s="1" t="str">
        <f>HYPERLINK("https://www.albertahealthservices.ca/findhealth/Service.aspx?serviceAtFacilityId=1103610","Post Partum Mental Health Services")</f>
        <v>Post Partum Mental Health Services</v>
      </c>
      <c r="B943" s="1" t="s">
        <v>242</v>
      </c>
      <c r="C943" s="2" t="s">
        <v>2595</v>
      </c>
      <c r="D943" s="2" t="s">
        <v>2897</v>
      </c>
      <c r="E943" s="1"/>
      <c r="F943" s="2" t="s">
        <v>311</v>
      </c>
      <c r="G943" s="2" t="s">
        <v>2594</v>
      </c>
      <c r="H943" s="2" t="s">
        <v>2898</v>
      </c>
    </row>
    <row r="944" spans="1:8" ht="180" x14ac:dyDescent="0.25">
      <c r="A944" s="1" t="str">
        <f>HYPERLINK("https://www.albertahealthservices.ca/findhealth/Service.aspx?serviceAtFacilityId=1103264","Community Assessment and Support Team")</f>
        <v>Community Assessment and Support Team</v>
      </c>
      <c r="B944" s="1" t="s">
        <v>874</v>
      </c>
      <c r="C944" s="2" t="s">
        <v>2903</v>
      </c>
      <c r="D944" s="2" t="s">
        <v>2900</v>
      </c>
      <c r="E944" s="2" t="s">
        <v>2902</v>
      </c>
      <c r="F944" s="2" t="s">
        <v>2901</v>
      </c>
      <c r="G944" s="2" t="s">
        <v>2899</v>
      </c>
      <c r="H944" s="1"/>
    </row>
    <row r="945" spans="1:8" ht="390" x14ac:dyDescent="0.25">
      <c r="A945" s="1" t="str">
        <f>HYPERLINK("https://www.albertahealthservices.ca/findhealth/Service.aspx?serviceAtFacilityId=1000603","Children's Mental Health Treatment Services")</f>
        <v>Children's Mental Health Treatment Services</v>
      </c>
      <c r="B945" s="1" t="s">
        <v>192</v>
      </c>
      <c r="C945" s="2" t="s">
        <v>84</v>
      </c>
      <c r="D945" s="2" t="s">
        <v>2904</v>
      </c>
      <c r="E945" s="2" t="s">
        <v>82</v>
      </c>
      <c r="F945" s="2" t="s">
        <v>2905</v>
      </c>
      <c r="G945" s="2" t="s">
        <v>79</v>
      </c>
      <c r="H945" s="2" t="s">
        <v>2906</v>
      </c>
    </row>
    <row r="946" spans="1:8" ht="255" x14ac:dyDescent="0.25">
      <c r="A946" s="1" t="str">
        <f>HYPERLINK("https://www.albertahealthservices.ca/findhealth/Service.aspx?serviceAtFacilityId=1113397","Designated Supportive Living Level 4 Dementia")</f>
        <v>Designated Supportive Living Level 4 Dementia</v>
      </c>
      <c r="B946" s="1" t="s">
        <v>2909</v>
      </c>
      <c r="C946" s="2" t="s">
        <v>43</v>
      </c>
      <c r="D946" s="2" t="s">
        <v>2907</v>
      </c>
      <c r="E946" s="1"/>
      <c r="F946" s="2" t="s">
        <v>40</v>
      </c>
      <c r="G946" s="2" t="s">
        <v>38</v>
      </c>
      <c r="H946" s="2" t="s">
        <v>2908</v>
      </c>
    </row>
    <row r="947" spans="1:8" ht="375" x14ac:dyDescent="0.25">
      <c r="A947" s="1" t="str">
        <f>HYPERLINK("https://www.albertahealthservices.ca/findhealth/Service.aspx?serviceAtFacilityId=1115277","Community Helpers Program")</f>
        <v>Community Helpers Program</v>
      </c>
      <c r="B947" s="1" t="s">
        <v>2912</v>
      </c>
      <c r="C947" s="2" t="s">
        <v>120</v>
      </c>
      <c r="D947" s="2" t="s">
        <v>2910</v>
      </c>
      <c r="E947" s="1"/>
      <c r="F947" s="2" t="s">
        <v>117</v>
      </c>
      <c r="G947" s="2" t="s">
        <v>115</v>
      </c>
      <c r="H947" s="2" t="s">
        <v>2911</v>
      </c>
    </row>
    <row r="948" spans="1:8" ht="270" x14ac:dyDescent="0.25">
      <c r="A948" s="1" t="str">
        <f>HYPERLINK("https://www.albertahealthservices.ca/findhealth/Service.aspx?serviceAtFacilityId=1096805","Addiction Services - Prevention")</f>
        <v>Addiction Services - Prevention</v>
      </c>
      <c r="B948" s="1" t="s">
        <v>660</v>
      </c>
      <c r="C948" s="2" t="s">
        <v>782</v>
      </c>
      <c r="D948" s="2" t="s">
        <v>2913</v>
      </c>
      <c r="E948" s="1"/>
      <c r="F948" s="2" t="s">
        <v>201</v>
      </c>
      <c r="G948" s="2" t="s">
        <v>778</v>
      </c>
      <c r="H948" s="2" t="s">
        <v>2914</v>
      </c>
    </row>
    <row r="949" spans="1:8" ht="330" x14ac:dyDescent="0.25">
      <c r="A949" s="1" t="str">
        <f>HYPERLINK("https://www.albertahealthservices.ca/findhealth/Service.aspx?serviceAtFacilityId=1082205","Pastoral Care Services")</f>
        <v>Pastoral Care Services</v>
      </c>
      <c r="B949" s="1" t="s">
        <v>148</v>
      </c>
      <c r="C949" s="2" t="s">
        <v>423</v>
      </c>
      <c r="D949" s="2" t="s">
        <v>2915</v>
      </c>
      <c r="E949" s="1"/>
      <c r="F949" s="1" t="s">
        <v>34</v>
      </c>
      <c r="G949" s="2" t="s">
        <v>419</v>
      </c>
      <c r="H949" s="2" t="s">
        <v>2916</v>
      </c>
    </row>
    <row r="950" spans="1:8" ht="409.5" x14ac:dyDescent="0.25">
      <c r="A950" s="1" t="str">
        <f>HYPERLINK("https://www.albertahealthservices.ca/findhealth/Service.aspx?serviceAtFacilityId=1119060","School Health Program")</f>
        <v>School Health Program</v>
      </c>
      <c r="B950" s="1" t="s">
        <v>855</v>
      </c>
      <c r="C950" s="2" t="s">
        <v>204</v>
      </c>
      <c r="D950" s="2" t="s">
        <v>2917</v>
      </c>
      <c r="E950" s="1"/>
      <c r="F950" s="2" t="s">
        <v>201</v>
      </c>
      <c r="G950" s="2" t="s">
        <v>199</v>
      </c>
      <c r="H950" s="2" t="s">
        <v>2918</v>
      </c>
    </row>
    <row r="951" spans="1:8" ht="409.5" x14ac:dyDescent="0.25">
      <c r="A951" s="1" t="str">
        <f>HYPERLINK("https://www.albertahealthservices.ca/findhealth/Service.aspx?serviceAtFacilityId=1119051","School Health Program")</f>
        <v>School Health Program</v>
      </c>
      <c r="B951" s="1" t="s">
        <v>2921</v>
      </c>
      <c r="C951" s="2" t="s">
        <v>204</v>
      </c>
      <c r="D951" s="2" t="s">
        <v>2919</v>
      </c>
      <c r="E951" s="1"/>
      <c r="F951" s="2" t="s">
        <v>201</v>
      </c>
      <c r="G951" s="2" t="s">
        <v>199</v>
      </c>
      <c r="H951" s="2" t="s">
        <v>2920</v>
      </c>
    </row>
    <row r="952" spans="1:8" ht="409.5" x14ac:dyDescent="0.25">
      <c r="A952" s="1" t="str">
        <f>HYPERLINK("https://www.albertahealthservices.ca/findhealth/Service.aspx?serviceAtFacilityId=1050504","Therapeutic Recreation Services")</f>
        <v>Therapeutic Recreation Services</v>
      </c>
      <c r="B952" s="1" t="s">
        <v>2924</v>
      </c>
      <c r="C952" s="2" t="s">
        <v>37</v>
      </c>
      <c r="D952" s="2" t="s">
        <v>2922</v>
      </c>
      <c r="E952" s="1"/>
      <c r="F952" s="1" t="s">
        <v>34</v>
      </c>
      <c r="G952" s="2" t="s">
        <v>32</v>
      </c>
      <c r="H952" s="2" t="s">
        <v>2923</v>
      </c>
    </row>
    <row r="953" spans="1:8" ht="390" x14ac:dyDescent="0.25">
      <c r="A953" s="1" t="str">
        <f>HYPERLINK("https://www.albertahealthservices.ca/findhealth/Service.aspx?serviceAtFacilityId=1120130","Community Helpers Program")</f>
        <v>Community Helpers Program</v>
      </c>
      <c r="B953" s="1" t="s">
        <v>2927</v>
      </c>
      <c r="C953" s="2" t="s">
        <v>120</v>
      </c>
      <c r="D953" s="2" t="s">
        <v>2925</v>
      </c>
      <c r="E953" s="1"/>
      <c r="F953" s="1" t="s">
        <v>34</v>
      </c>
      <c r="G953" s="2" t="s">
        <v>115</v>
      </c>
      <c r="H953" s="2" t="s">
        <v>2926</v>
      </c>
    </row>
    <row r="954" spans="1:8" ht="405" x14ac:dyDescent="0.25">
      <c r="A954" s="1" t="str">
        <f>HYPERLINK("https://www.albertahealthservices.ca/findhealth/Service.aspx?serviceAtFacilityId=1115407","Addiction and Mental Health - Recovery Supports Services, Adult")</f>
        <v>Addiction and Mental Health - Recovery Supports Services, Adult</v>
      </c>
      <c r="B954" s="1" t="s">
        <v>2930</v>
      </c>
      <c r="C954" s="2" t="s">
        <v>666</v>
      </c>
      <c r="D954" s="2" t="s">
        <v>2928</v>
      </c>
      <c r="E954" s="2" t="s">
        <v>663</v>
      </c>
      <c r="F954" s="2" t="s">
        <v>201</v>
      </c>
      <c r="G954" s="1"/>
      <c r="H954" s="2" t="s">
        <v>2929</v>
      </c>
    </row>
    <row r="955" spans="1:8" ht="409.5" x14ac:dyDescent="0.25">
      <c r="A955" s="1" t="str">
        <f>HYPERLINK("https://www.albertahealthservices.ca/findhealth/Service.aspx?serviceAtFacilityId=1109727","Provincial Family Violence Treatment Program")</f>
        <v>Provincial Family Violence Treatment Program</v>
      </c>
      <c r="B955" s="1" t="s">
        <v>2933</v>
      </c>
      <c r="C955" s="2" t="s">
        <v>232</v>
      </c>
      <c r="D955" s="2" t="s">
        <v>2931</v>
      </c>
      <c r="E955" s="1"/>
      <c r="F955" s="2" t="s">
        <v>23</v>
      </c>
      <c r="G955" s="2" t="s">
        <v>227</v>
      </c>
      <c r="H955" s="2" t="s">
        <v>2932</v>
      </c>
    </row>
    <row r="956" spans="1:8" ht="240" x14ac:dyDescent="0.25">
      <c r="A956" s="1" t="str">
        <f>HYPERLINK("https://www.albertahealthservices.ca/findhealth/Service.aspx?serviceAtFacilityId=1118862","CHOICE")</f>
        <v>CHOICE</v>
      </c>
      <c r="B956" s="1" t="s">
        <v>2936</v>
      </c>
      <c r="C956" s="2" t="s">
        <v>701</v>
      </c>
      <c r="D956" s="2" t="s">
        <v>2934</v>
      </c>
      <c r="E956" s="1"/>
      <c r="F956" s="1" t="s">
        <v>34</v>
      </c>
      <c r="G956" s="2" t="s">
        <v>697</v>
      </c>
      <c r="H956" s="2" t="s">
        <v>2935</v>
      </c>
    </row>
    <row r="957" spans="1:8" ht="270" x14ac:dyDescent="0.25">
      <c r="A957" s="1" t="str">
        <f>HYPERLINK("https://www.albertahealthservices.ca/findhealth/Service.aspx?serviceAtFacilityId=1104407","Designated Supportive Living Level 4 Dementia")</f>
        <v>Designated Supportive Living Level 4 Dementia</v>
      </c>
      <c r="B957" s="1" t="s">
        <v>2939</v>
      </c>
      <c r="C957" s="2" t="s">
        <v>26</v>
      </c>
      <c r="D957" s="2" t="s">
        <v>2937</v>
      </c>
      <c r="E957" s="1"/>
      <c r="F957" s="2" t="s">
        <v>23</v>
      </c>
      <c r="G957" s="2" t="s">
        <v>21</v>
      </c>
      <c r="H957" s="2" t="s">
        <v>2938</v>
      </c>
    </row>
    <row r="958" spans="1:8" ht="405" x14ac:dyDescent="0.25">
      <c r="A958" s="1" t="str">
        <f>HYPERLINK("https://www.albertahealthservices.ca/findhealth/Service.aspx?serviceAtFacilityId=1115290","Addiction and Mental Health - Recovery Supports Services, Adult")</f>
        <v>Addiction and Mental Health - Recovery Supports Services, Adult</v>
      </c>
      <c r="B958" s="1" t="s">
        <v>2943</v>
      </c>
      <c r="C958" s="2" t="s">
        <v>666</v>
      </c>
      <c r="D958" s="2" t="s">
        <v>2940</v>
      </c>
      <c r="E958" s="2" t="s">
        <v>663</v>
      </c>
      <c r="F958" s="2" t="s">
        <v>2941</v>
      </c>
      <c r="G958" s="1"/>
      <c r="H958" s="2" t="s">
        <v>2942</v>
      </c>
    </row>
    <row r="959" spans="1:8" ht="375" x14ac:dyDescent="0.25">
      <c r="A959" s="1" t="str">
        <f>HYPERLINK("https://www.albertahealthservices.ca/findhealth/Service.aspx?serviceAtFacilityId=1102477","Regional Collaborative Service Delivery - School based and school linked mental health teams")</f>
        <v>Regional Collaborative Service Delivery - School based and school linked mental health teams</v>
      </c>
      <c r="B959" s="1" t="s">
        <v>1001</v>
      </c>
      <c r="C959" s="2" t="s">
        <v>688</v>
      </c>
      <c r="D959" s="2" t="s">
        <v>1882</v>
      </c>
      <c r="E959" s="1"/>
      <c r="F959" s="1" t="s">
        <v>34</v>
      </c>
      <c r="G959" s="2" t="s">
        <v>685</v>
      </c>
      <c r="H959" s="2" t="s">
        <v>2944</v>
      </c>
    </row>
    <row r="960" spans="1:8" ht="409.5" x14ac:dyDescent="0.25">
      <c r="A960" s="1" t="str">
        <f>HYPERLINK("https://www.albertahealthservices.ca/findhealth/Service.aspx?serviceAtFacilityId=1119064","School Health Program")</f>
        <v>School Health Program</v>
      </c>
      <c r="B960" s="1" t="s">
        <v>448</v>
      </c>
      <c r="C960" s="2" t="s">
        <v>204</v>
      </c>
      <c r="D960" s="2" t="s">
        <v>2945</v>
      </c>
      <c r="E960" s="1"/>
      <c r="F960" s="2" t="s">
        <v>201</v>
      </c>
      <c r="G960" s="2" t="s">
        <v>199</v>
      </c>
      <c r="H960" s="2" t="s">
        <v>2946</v>
      </c>
    </row>
    <row r="961" spans="1:8" ht="345" x14ac:dyDescent="0.25">
      <c r="A961" s="1" t="str">
        <f>HYPERLINK("https://www.albertahealthservices.ca/findhealth/Service.aspx?serviceAtFacilityId=1104502","Designated Supportive Living Level 4 Dementia")</f>
        <v>Designated Supportive Living Level 4 Dementia</v>
      </c>
      <c r="B961" s="1" t="s">
        <v>2949</v>
      </c>
      <c r="C961" s="2" t="s">
        <v>31</v>
      </c>
      <c r="D961" s="2" t="s">
        <v>2947</v>
      </c>
      <c r="E961" s="1"/>
      <c r="F961" s="1" t="s">
        <v>34</v>
      </c>
      <c r="G961" s="2" t="s">
        <v>182</v>
      </c>
      <c r="H961" s="2" t="s">
        <v>2948</v>
      </c>
    </row>
    <row r="962" spans="1:8" ht="180" x14ac:dyDescent="0.25">
      <c r="A962" s="1" t="str">
        <f>HYPERLINK("https://www.albertahealthservices.ca/findhealth/Service.aspx?serviceAtFacilityId=1107496","Community Mental Health Service")</f>
        <v>Community Mental Health Service</v>
      </c>
      <c r="B962" s="1" t="s">
        <v>2953</v>
      </c>
      <c r="C962" s="2" t="s">
        <v>313</v>
      </c>
      <c r="D962" s="2" t="s">
        <v>2950</v>
      </c>
      <c r="E962" s="1"/>
      <c r="F962" s="2" t="s">
        <v>2951</v>
      </c>
      <c r="G962" s="2" t="s">
        <v>309</v>
      </c>
      <c r="H962" s="2" t="s">
        <v>2952</v>
      </c>
    </row>
    <row r="963" spans="1:8" ht="409.5" x14ac:dyDescent="0.25">
      <c r="A963" s="1" t="str">
        <f>HYPERLINK("https://www.albertahealthservices.ca/findhealth/Service.aspx?serviceAtFacilityId=1090364","Eating Disorder Services")</f>
        <v>Eating Disorder Services</v>
      </c>
      <c r="B963" s="1" t="s">
        <v>1042</v>
      </c>
      <c r="C963" s="2" t="s">
        <v>212</v>
      </c>
      <c r="D963" s="2" t="s">
        <v>2954</v>
      </c>
      <c r="E963" s="1"/>
      <c r="F963" s="2" t="s">
        <v>2955</v>
      </c>
      <c r="G963" s="2" t="s">
        <v>209</v>
      </c>
      <c r="H963" s="2" t="s">
        <v>2956</v>
      </c>
    </row>
    <row r="964" spans="1:8" ht="409.5" x14ac:dyDescent="0.25">
      <c r="A964" s="1" t="str">
        <f>HYPERLINK("https://www.albertahealthservices.ca/findhealth/Service.aspx?serviceAtFacilityId=1110663","Mental Health Services")</f>
        <v>Mental Health Services</v>
      </c>
      <c r="B964" s="1" t="s">
        <v>2960</v>
      </c>
      <c r="C964" s="2" t="s">
        <v>98</v>
      </c>
      <c r="D964" s="2" t="s">
        <v>2957</v>
      </c>
      <c r="E964" s="1"/>
      <c r="F964" s="2" t="s">
        <v>2958</v>
      </c>
      <c r="G964" s="2" t="s">
        <v>94</v>
      </c>
      <c r="H964" s="2" t="s">
        <v>2959</v>
      </c>
    </row>
    <row r="965" spans="1:8" ht="409.5" x14ac:dyDescent="0.25">
      <c r="A965" s="1" t="str">
        <f>HYPERLINK("https://www.albertahealthservices.ca/findhealth/Service.aspx?serviceAtFacilityId=1049311","Therapeutic Recreation Services")</f>
        <v>Therapeutic Recreation Services</v>
      </c>
      <c r="B965" s="1" t="s">
        <v>2963</v>
      </c>
      <c r="C965" s="2" t="s">
        <v>37</v>
      </c>
      <c r="D965" s="2" t="s">
        <v>2961</v>
      </c>
      <c r="E965" s="1"/>
      <c r="F965" s="1" t="s">
        <v>34</v>
      </c>
      <c r="G965" s="2" t="s">
        <v>32</v>
      </c>
      <c r="H965" s="2" t="s">
        <v>2962</v>
      </c>
    </row>
    <row r="966" spans="1:8" ht="165" x14ac:dyDescent="0.25">
      <c r="A966" s="1" t="str">
        <f>HYPERLINK("https://www.albertahealthservices.ca/findhealth/Service.aspx?serviceAtFacilityId=1104191","Catalyst - Consultation for Complex Service Needs")</f>
        <v>Catalyst - Consultation for Complex Service Needs</v>
      </c>
      <c r="B966" s="1" t="s">
        <v>1113</v>
      </c>
      <c r="C966" s="2" t="s">
        <v>2966</v>
      </c>
      <c r="D966" s="2" t="s">
        <v>2965</v>
      </c>
      <c r="E966" s="1"/>
      <c r="F966" s="2" t="s">
        <v>201</v>
      </c>
      <c r="G966" s="2" t="s">
        <v>2964</v>
      </c>
      <c r="H966" s="1"/>
    </row>
    <row r="967" spans="1:8" ht="315" x14ac:dyDescent="0.25">
      <c r="A967" s="1" t="str">
        <f>HYPERLINK("https://www.albertahealthservices.ca/findhealth/Service.aspx?serviceAtFacilityId=1094067","Postpartum Depression Support")</f>
        <v>Postpartum Depression Support</v>
      </c>
      <c r="B967" s="1" t="s">
        <v>2425</v>
      </c>
      <c r="C967" s="2" t="s">
        <v>114</v>
      </c>
      <c r="D967" s="2" t="s">
        <v>2967</v>
      </c>
      <c r="E967" s="1"/>
      <c r="F967" s="2" t="s">
        <v>201</v>
      </c>
      <c r="G967" s="1"/>
      <c r="H967" s="2" t="s">
        <v>2968</v>
      </c>
    </row>
    <row r="968" spans="1:8" ht="195" x14ac:dyDescent="0.25">
      <c r="A968" s="1" t="str">
        <f>HYPERLINK("https://www.albertahealthservices.ca/findhealth/Service.aspx?serviceAtFacilityId=1093747","Addiction Services - Adult Counselling")</f>
        <v>Addiction Services - Adult Counselling</v>
      </c>
      <c r="B968" s="1" t="s">
        <v>738</v>
      </c>
      <c r="C968" s="2" t="s">
        <v>949</v>
      </c>
      <c r="D968" s="2" t="s">
        <v>2969</v>
      </c>
      <c r="E968" s="1"/>
      <c r="F968" s="2" t="s">
        <v>2970</v>
      </c>
      <c r="G968" s="2" t="s">
        <v>945</v>
      </c>
      <c r="H968" s="2" t="s">
        <v>2971</v>
      </c>
    </row>
    <row r="969" spans="1:8" ht="270" x14ac:dyDescent="0.25">
      <c r="A969" s="1" t="str">
        <f>HYPERLINK("https://www.albertahealthservices.ca/findhealth/Service.aspx?serviceAtFacilityId=1094008","Addiction Services - Prevention")</f>
        <v>Addiction Services - Prevention</v>
      </c>
      <c r="B969" s="1" t="s">
        <v>2754</v>
      </c>
      <c r="C969" s="2" t="s">
        <v>782</v>
      </c>
      <c r="D969" s="2" t="s">
        <v>2972</v>
      </c>
      <c r="E969" s="1"/>
      <c r="F969" s="2" t="s">
        <v>220</v>
      </c>
      <c r="G969" s="2" t="s">
        <v>778</v>
      </c>
      <c r="H969" s="2" t="s">
        <v>2973</v>
      </c>
    </row>
    <row r="970" spans="1:8" ht="409.5" x14ac:dyDescent="0.25">
      <c r="A970" s="1" t="str">
        <f>HYPERLINK("https://www.albertahealthservices.ca/findhealth/Service.aspx?serviceAtFacilityId=1109721","Provincial Family Violence Treatment Program")</f>
        <v>Provincial Family Violence Treatment Program</v>
      </c>
      <c r="B970" s="1" t="s">
        <v>2750</v>
      </c>
      <c r="C970" s="2" t="s">
        <v>232</v>
      </c>
      <c r="D970" s="2" t="s">
        <v>2974</v>
      </c>
      <c r="E970" s="1"/>
      <c r="F970" s="2" t="s">
        <v>10</v>
      </c>
      <c r="G970" s="2" t="s">
        <v>227</v>
      </c>
      <c r="H970" s="2" t="s">
        <v>2975</v>
      </c>
    </row>
    <row r="971" spans="1:8" ht="135" x14ac:dyDescent="0.25">
      <c r="A971" s="1" t="str">
        <f>HYPERLINK("https://www.albertahealthservices.ca/findhealth/Service.aspx?serviceAtFacilityId=1055415","Sexual Assault Response Team")</f>
        <v>Sexual Assault Response Team</v>
      </c>
      <c r="B971" s="1" t="s">
        <v>401</v>
      </c>
      <c r="C971" s="2" t="s">
        <v>512</v>
      </c>
      <c r="D971" s="2" t="s">
        <v>2976</v>
      </c>
      <c r="E971" s="1"/>
      <c r="F971" s="1" t="s">
        <v>34</v>
      </c>
      <c r="G971" s="2" t="s">
        <v>508</v>
      </c>
      <c r="H971" s="2" t="s">
        <v>2977</v>
      </c>
    </row>
    <row r="972" spans="1:8" ht="210" x14ac:dyDescent="0.25">
      <c r="A972" s="1" t="str">
        <f>HYPERLINK("https://www.albertahealthservices.ca/findhealth/Service.aspx?serviceAtFacilityId=1119431","Therapeutic Recreation - Community &amp; Outpatient")</f>
        <v>Therapeutic Recreation - Community &amp; Outpatient</v>
      </c>
      <c r="B972" s="1" t="s">
        <v>452</v>
      </c>
      <c r="C972" s="2" t="s">
        <v>524</v>
      </c>
      <c r="D972" s="2" t="s">
        <v>2978</v>
      </c>
      <c r="E972" s="1"/>
      <c r="F972" s="2" t="s">
        <v>201</v>
      </c>
      <c r="G972" s="2" t="s">
        <v>520</v>
      </c>
      <c r="H972" s="2" t="s">
        <v>2979</v>
      </c>
    </row>
    <row r="973" spans="1:8" ht="390" x14ac:dyDescent="0.25">
      <c r="A973" s="1" t="str">
        <f>HYPERLINK("https://www.albertahealthservices.ca/findhealth/Service.aspx?serviceAtFacilityId=1104603","Designated Supportive Living Level 4 Dementia")</f>
        <v>Designated Supportive Living Level 4 Dementia</v>
      </c>
      <c r="B973" s="1" t="s">
        <v>2982</v>
      </c>
      <c r="C973" s="2" t="s">
        <v>31</v>
      </c>
      <c r="D973" s="2" t="s">
        <v>2980</v>
      </c>
      <c r="E973" s="1"/>
      <c r="F973" s="2" t="s">
        <v>23</v>
      </c>
      <c r="G973" s="2" t="s">
        <v>52</v>
      </c>
      <c r="H973" s="2" t="s">
        <v>2981</v>
      </c>
    </row>
    <row r="974" spans="1:8" ht="409.5" x14ac:dyDescent="0.25">
      <c r="A974" s="1" t="str">
        <f>HYPERLINK("https://www.albertahealthservices.ca/findhealth/Service.aspx?serviceAtFacilityId=1044064","Continuing Care Counselling")</f>
        <v>Continuing Care Counselling</v>
      </c>
      <c r="B974" s="1" t="s">
        <v>259</v>
      </c>
      <c r="C974" s="2" t="s">
        <v>163</v>
      </c>
      <c r="D974" s="2" t="s">
        <v>2983</v>
      </c>
      <c r="E974" s="1"/>
      <c r="F974" s="2" t="s">
        <v>261</v>
      </c>
      <c r="G974" s="2" t="s">
        <v>158</v>
      </c>
      <c r="H974" s="2" t="s">
        <v>2984</v>
      </c>
    </row>
    <row r="975" spans="1:8" ht="375" x14ac:dyDescent="0.25">
      <c r="A975" s="1" t="str">
        <f>HYPERLINK("https://www.albertahealthservices.ca/findhealth/Service.aspx?serviceAtFacilityId=1102489","Regional Collaborative Service Delivery - School based and school linked mental health teams")</f>
        <v>Regional Collaborative Service Delivery - School based and school linked mental health teams</v>
      </c>
      <c r="B975" s="1" t="s">
        <v>113</v>
      </c>
      <c r="C975" s="2" t="s">
        <v>688</v>
      </c>
      <c r="D975" s="2" t="s">
        <v>2985</v>
      </c>
      <c r="E975" s="1"/>
      <c r="F975" s="1" t="s">
        <v>34</v>
      </c>
      <c r="G975" s="2" t="s">
        <v>685</v>
      </c>
      <c r="H975" s="2" t="s">
        <v>2986</v>
      </c>
    </row>
    <row r="976" spans="1:8" ht="105" x14ac:dyDescent="0.25">
      <c r="A976" s="1" t="str">
        <f>HYPERLINK("https://www.albertahealthservices.ca/findhealth/Service.aspx?serviceAtFacilityId=1033060","Calgary Eating Disorder Program - Inpatient Program")</f>
        <v>Calgary Eating Disorder Program - Inpatient Program</v>
      </c>
      <c r="B976" s="1" t="s">
        <v>197</v>
      </c>
      <c r="C976" s="2" t="s">
        <v>2990</v>
      </c>
      <c r="D976" s="2" t="s">
        <v>2988</v>
      </c>
      <c r="E976" s="2" t="s">
        <v>1005</v>
      </c>
      <c r="F976" s="2" t="s">
        <v>2989</v>
      </c>
      <c r="G976" s="2" t="s">
        <v>2987</v>
      </c>
      <c r="H976" s="1"/>
    </row>
    <row r="977" spans="1:8" ht="210" x14ac:dyDescent="0.25">
      <c r="A977" s="1" t="str">
        <f>HYPERLINK("https://www.albertahealthservices.ca/findhealth/Service.aspx?serviceAtFacilityId=1085877","Therapeutic Recreation - Community &amp; Outpatient")</f>
        <v>Therapeutic Recreation - Community &amp; Outpatient</v>
      </c>
      <c r="B977" s="1" t="s">
        <v>350</v>
      </c>
      <c r="C977" s="2" t="s">
        <v>524</v>
      </c>
      <c r="D977" s="2" t="s">
        <v>2991</v>
      </c>
      <c r="E977" s="1"/>
      <c r="F977" s="2" t="s">
        <v>201</v>
      </c>
      <c r="G977" s="2" t="s">
        <v>520</v>
      </c>
      <c r="H977" s="2" t="s">
        <v>2992</v>
      </c>
    </row>
    <row r="978" spans="1:8" ht="270" x14ac:dyDescent="0.25">
      <c r="A978" s="1" t="str">
        <f>HYPERLINK("https://www.albertahealthservices.ca/findhealth/Service.aspx?serviceAtFacilityId=1107558","School Health Services")</f>
        <v>School Health Services</v>
      </c>
      <c r="B978" s="1" t="s">
        <v>2995</v>
      </c>
      <c r="C978" s="2" t="s">
        <v>641</v>
      </c>
      <c r="D978" s="2" t="s">
        <v>2993</v>
      </c>
      <c r="E978" s="1"/>
      <c r="F978" s="2" t="s">
        <v>818</v>
      </c>
      <c r="G978" s="2" t="s">
        <v>636</v>
      </c>
      <c r="H978" s="2" t="s">
        <v>2994</v>
      </c>
    </row>
    <row r="979" spans="1:8" ht="195" x14ac:dyDescent="0.25">
      <c r="A979" s="1" t="str">
        <f>HYPERLINK("https://www.albertahealthservices.ca/findhealth/Service.aspx?serviceAtFacilityId=1110033","Forensic Adolescent Program - Mental Health")</f>
        <v>Forensic Adolescent Program - Mental Health</v>
      </c>
      <c r="B979" s="1" t="s">
        <v>2998</v>
      </c>
      <c r="C979" s="2" t="s">
        <v>2999</v>
      </c>
      <c r="D979" s="2" t="s">
        <v>2997</v>
      </c>
      <c r="E979" s="1"/>
      <c r="F979" s="2" t="s">
        <v>190</v>
      </c>
      <c r="G979" s="2" t="s">
        <v>2996</v>
      </c>
      <c r="H979" s="1"/>
    </row>
    <row r="980" spans="1:8" ht="90" x14ac:dyDescent="0.25">
      <c r="A980" s="1" t="str">
        <f>HYPERLINK("https://www.albertahealthservices.ca/findhealth/Service.aspx?serviceAtFacilityId=1119399","Mental Health Capacity Building - Aim For Success")</f>
        <v>Mental Health Capacity Building - Aim For Success</v>
      </c>
      <c r="B980" s="1" t="s">
        <v>3002</v>
      </c>
      <c r="C980" s="2" t="s">
        <v>477</v>
      </c>
      <c r="D980" s="2" t="s">
        <v>3000</v>
      </c>
      <c r="E980" s="2" t="s">
        <v>474</v>
      </c>
      <c r="F980" s="1" t="s">
        <v>34</v>
      </c>
      <c r="G980" s="2" t="s">
        <v>472</v>
      </c>
      <c r="H980" s="2" t="s">
        <v>3001</v>
      </c>
    </row>
    <row r="981" spans="1:8" ht="105" x14ac:dyDescent="0.25">
      <c r="A981" s="1" t="str">
        <f>HYPERLINK("https://www.albertahealthservices.ca/findhealth/Service.aspx?serviceAtFacilityId=1110055","Pediatric Psychiatry - Inpatient")</f>
        <v>Pediatric Psychiatry - Inpatient</v>
      </c>
      <c r="B981" s="1" t="s">
        <v>197</v>
      </c>
      <c r="C981" s="2" t="s">
        <v>549</v>
      </c>
      <c r="D981" s="2" t="s">
        <v>3003</v>
      </c>
      <c r="E981" s="1"/>
      <c r="F981" s="2" t="s">
        <v>23</v>
      </c>
      <c r="G981" s="2" t="s">
        <v>547</v>
      </c>
      <c r="H981" s="2" t="s">
        <v>3004</v>
      </c>
    </row>
    <row r="982" spans="1:8" ht="105" x14ac:dyDescent="0.25">
      <c r="A982" s="1" t="str">
        <f>HYPERLINK("https://www.albertahealthservices.ca/findhealth/Service.aspx?serviceAtFacilityId=1049014","Disordered Eating Consultation")</f>
        <v>Disordered Eating Consultation</v>
      </c>
      <c r="B982" s="1" t="s">
        <v>87</v>
      </c>
      <c r="C982" s="2" t="s">
        <v>3006</v>
      </c>
      <c r="D982" s="2" t="s">
        <v>85</v>
      </c>
      <c r="E982" s="1"/>
      <c r="F982" s="2" t="s">
        <v>311</v>
      </c>
      <c r="G982" s="2" t="s">
        <v>3005</v>
      </c>
      <c r="H982" s="1"/>
    </row>
    <row r="983" spans="1:8" ht="375" x14ac:dyDescent="0.25">
      <c r="A983" s="1" t="str">
        <f>HYPERLINK("https://www.albertahealthservices.ca/findhealth/Service.aspx?serviceAtFacilityId=1102470","Regional Collaborative Service Delivery - School based and school linked mental health teams")</f>
        <v>Regional Collaborative Service Delivery - School based and school linked mental health teams</v>
      </c>
      <c r="B983" s="1" t="s">
        <v>342</v>
      </c>
      <c r="C983" s="2" t="s">
        <v>688</v>
      </c>
      <c r="D983" s="2" t="s">
        <v>3007</v>
      </c>
      <c r="E983" s="1"/>
      <c r="F983" s="1" t="s">
        <v>34</v>
      </c>
      <c r="G983" s="2" t="s">
        <v>685</v>
      </c>
      <c r="H983" s="2" t="s">
        <v>3008</v>
      </c>
    </row>
    <row r="984" spans="1:8" ht="409.5" x14ac:dyDescent="0.25">
      <c r="A984" s="1" t="str">
        <f>HYPERLINK("https://www.albertahealthservices.ca/findhealth/Service.aspx?serviceAtFacilityId=1090363","Eating Disorder Services")</f>
        <v>Eating Disorder Services</v>
      </c>
      <c r="B984" s="1" t="s">
        <v>519</v>
      </c>
      <c r="C984" s="2" t="s">
        <v>212</v>
      </c>
      <c r="D984" s="2" t="s">
        <v>3009</v>
      </c>
      <c r="E984" s="1"/>
      <c r="F984" s="2" t="s">
        <v>2816</v>
      </c>
      <c r="G984" s="2" t="s">
        <v>209</v>
      </c>
      <c r="H984" s="2" t="s">
        <v>3010</v>
      </c>
    </row>
    <row r="985" spans="1:8" ht="409.5" x14ac:dyDescent="0.25">
      <c r="A985" s="1" t="str">
        <f>HYPERLINK("https://www.albertahealthservices.ca/findhealth/Service.aspx?serviceAtFacilityId=1102269","Mental Health Services")</f>
        <v>Mental Health Services</v>
      </c>
      <c r="B985" s="1" t="s">
        <v>840</v>
      </c>
      <c r="C985" s="2" t="s">
        <v>98</v>
      </c>
      <c r="D985" s="2" t="s">
        <v>837</v>
      </c>
      <c r="E985" s="1"/>
      <c r="F985" s="2" t="s">
        <v>2471</v>
      </c>
      <c r="G985" s="2" t="s">
        <v>94</v>
      </c>
      <c r="H985" s="2" t="s">
        <v>3011</v>
      </c>
    </row>
    <row r="986" spans="1:8" ht="409.5" x14ac:dyDescent="0.25">
      <c r="A986" s="1" t="str">
        <f>HYPERLINK("https://www.albertahealthservices.ca/findhealth/Service.aspx?serviceAtFacilityId=1108460","Provincial Family Violence Treatment Program")</f>
        <v>Provincial Family Violence Treatment Program</v>
      </c>
      <c r="B986" s="1" t="s">
        <v>781</v>
      </c>
      <c r="C986" s="2" t="s">
        <v>232</v>
      </c>
      <c r="D986" s="2" t="s">
        <v>3012</v>
      </c>
      <c r="E986" s="1"/>
      <c r="F986" s="2" t="s">
        <v>3013</v>
      </c>
      <c r="G986" s="2" t="s">
        <v>227</v>
      </c>
      <c r="H986" s="2" t="s">
        <v>3014</v>
      </c>
    </row>
    <row r="987" spans="1:8" ht="270" x14ac:dyDescent="0.25">
      <c r="A987" s="1" t="str">
        <f>HYPERLINK("https://www.albertahealthservices.ca/findhealth/Service.aspx?serviceAtFacilityId=1107561","School Health Services")</f>
        <v>School Health Services</v>
      </c>
      <c r="B987" s="1" t="s">
        <v>3017</v>
      </c>
      <c r="C987" s="2" t="s">
        <v>641</v>
      </c>
      <c r="D987" s="2" t="s">
        <v>3015</v>
      </c>
      <c r="E987" s="1"/>
      <c r="F987" s="2" t="s">
        <v>818</v>
      </c>
      <c r="G987" s="2" t="s">
        <v>636</v>
      </c>
      <c r="H987" s="2" t="s">
        <v>3016</v>
      </c>
    </row>
    <row r="988" spans="1:8" ht="390" x14ac:dyDescent="0.25">
      <c r="A988" s="1" t="str">
        <f>HYPERLINK("https://www.albertahealthservices.ca/findhealth/Service.aspx?serviceAtFacilityId=1102363","Children's Mental Health Treatment Services")</f>
        <v>Children's Mental Health Treatment Services</v>
      </c>
      <c r="B988" s="1" t="s">
        <v>97</v>
      </c>
      <c r="C988" s="2" t="s">
        <v>84</v>
      </c>
      <c r="D988" s="2" t="s">
        <v>2293</v>
      </c>
      <c r="E988" s="2" t="s">
        <v>82</v>
      </c>
      <c r="F988" s="1" t="s">
        <v>34</v>
      </c>
      <c r="G988" s="2" t="s">
        <v>79</v>
      </c>
      <c r="H988" s="2" t="s">
        <v>3018</v>
      </c>
    </row>
    <row r="989" spans="1:8" ht="210" x14ac:dyDescent="0.25">
      <c r="A989" s="1" t="str">
        <f>HYPERLINK("https://www.albertahealthservices.ca/findhealth/Service.aspx?serviceAtFacilityId=1047270","Therapeutic Recreation - Community &amp; Outpatient")</f>
        <v>Therapeutic Recreation - Community &amp; Outpatient</v>
      </c>
      <c r="B989" s="1" t="s">
        <v>3021</v>
      </c>
      <c r="C989" s="2" t="s">
        <v>524</v>
      </c>
      <c r="D989" s="2" t="s">
        <v>3019</v>
      </c>
      <c r="E989" s="1"/>
      <c r="F989" s="2" t="s">
        <v>201</v>
      </c>
      <c r="G989" s="2" t="s">
        <v>520</v>
      </c>
      <c r="H989" s="2" t="s">
        <v>3020</v>
      </c>
    </row>
    <row r="990" spans="1:8" ht="345" x14ac:dyDescent="0.25">
      <c r="A990" s="1" t="str">
        <f>HYPERLINK("https://www.albertahealthservices.ca/findhealth/Service.aspx?serviceAtFacilityId=1116802","Designated Supportive Living Level 4 Dementia")</f>
        <v>Designated Supportive Living Level 4 Dementia</v>
      </c>
      <c r="B990" s="1" t="s">
        <v>3024</v>
      </c>
      <c r="C990" s="2" t="s">
        <v>31</v>
      </c>
      <c r="D990" s="2" t="s">
        <v>3022</v>
      </c>
      <c r="E990" s="1"/>
      <c r="F990" s="2" t="s">
        <v>23</v>
      </c>
      <c r="G990" s="2" t="s">
        <v>182</v>
      </c>
      <c r="H990" s="2" t="s">
        <v>3023</v>
      </c>
    </row>
    <row r="991" spans="1:8" ht="120" x14ac:dyDescent="0.25">
      <c r="A991" s="1" t="str">
        <f>HYPERLINK("https://www.albertahealthservices.ca/findhealth/Service.aspx?serviceAtFacilityId=1093781","Addiction Services - Youth Outpatient Counselling")</f>
        <v>Addiction Services - Youth Outpatient Counselling</v>
      </c>
      <c r="B991" s="1" t="s">
        <v>248</v>
      </c>
      <c r="C991" s="2" t="s">
        <v>499</v>
      </c>
      <c r="D991" s="2" t="s">
        <v>3025</v>
      </c>
      <c r="E991" s="1"/>
      <c r="F991" s="2" t="s">
        <v>220</v>
      </c>
      <c r="G991" s="2" t="s">
        <v>494</v>
      </c>
      <c r="H991" s="2" t="s">
        <v>3026</v>
      </c>
    </row>
    <row r="992" spans="1:8" ht="195" x14ac:dyDescent="0.25">
      <c r="A992" s="1" t="str">
        <f>HYPERLINK("https://www.albertahealthservices.ca/findhealth/Service.aspx?serviceAtFacilityId=1119440","Mental Health Intake")</f>
        <v>Mental Health Intake</v>
      </c>
      <c r="B992" s="1" t="s">
        <v>963</v>
      </c>
      <c r="C992" s="2" t="s">
        <v>856</v>
      </c>
      <c r="D992" s="2" t="s">
        <v>3027</v>
      </c>
      <c r="E992" s="1"/>
      <c r="F992" s="2" t="s">
        <v>311</v>
      </c>
      <c r="G992" s="2" t="s">
        <v>852</v>
      </c>
      <c r="H992" s="2" t="s">
        <v>3028</v>
      </c>
    </row>
    <row r="993" spans="1:8" ht="375" x14ac:dyDescent="0.25">
      <c r="A993" s="1" t="str">
        <f>HYPERLINK("https://www.albertahealthservices.ca/findhealth/Service.aspx?serviceAtFacilityId=1053059","Regional Collaborative Service Delivery - School based and school linked mental health teams")</f>
        <v>Regional Collaborative Service Delivery - School based and school linked mental health teams</v>
      </c>
      <c r="B993" s="1" t="s">
        <v>1206</v>
      </c>
      <c r="C993" s="2" t="s">
        <v>688</v>
      </c>
      <c r="D993" s="2" t="s">
        <v>3029</v>
      </c>
      <c r="E993" s="1"/>
      <c r="F993" s="1" t="s">
        <v>34</v>
      </c>
      <c r="G993" s="2" t="s">
        <v>685</v>
      </c>
      <c r="H993" s="2" t="s">
        <v>3030</v>
      </c>
    </row>
    <row r="994" spans="1:8" ht="270" x14ac:dyDescent="0.25">
      <c r="A994" s="1" t="str">
        <f>HYPERLINK("https://www.albertahealthservices.ca/findhealth/Service.aspx?serviceAtFacilityId=1104411","Designated Supportive Living Level 4 Dementia")</f>
        <v>Designated Supportive Living Level 4 Dementia</v>
      </c>
      <c r="B994" s="1" t="s">
        <v>3033</v>
      </c>
      <c r="C994" s="2" t="s">
        <v>26</v>
      </c>
      <c r="D994" s="2" t="s">
        <v>3031</v>
      </c>
      <c r="E994" s="1"/>
      <c r="F994" s="2" t="s">
        <v>23</v>
      </c>
      <c r="G994" s="2" t="s">
        <v>21</v>
      </c>
      <c r="H994" s="2" t="s">
        <v>3032</v>
      </c>
    </row>
    <row r="995" spans="1:8" ht="390" x14ac:dyDescent="0.25">
      <c r="A995" s="1" t="str">
        <f>HYPERLINK("https://www.albertahealthservices.ca/findhealth/Service.aspx?serviceAtFacilityId=1107759","Children's Mental Health Treatment Services")</f>
        <v>Children's Mental Health Treatment Services</v>
      </c>
      <c r="B995" s="1" t="s">
        <v>718</v>
      </c>
      <c r="C995" s="2" t="s">
        <v>84</v>
      </c>
      <c r="D995" s="2" t="s">
        <v>715</v>
      </c>
      <c r="E995" s="2" t="s">
        <v>82</v>
      </c>
      <c r="F995" s="2" t="s">
        <v>716</v>
      </c>
      <c r="G995" s="2" t="s">
        <v>79</v>
      </c>
      <c r="H995" s="2" t="s">
        <v>3034</v>
      </c>
    </row>
    <row r="996" spans="1:8" ht="345" x14ac:dyDescent="0.25">
      <c r="A996" s="1" t="str">
        <f>HYPERLINK("https://www.albertahealthservices.ca/findhealth/Service.aspx?serviceAtFacilityId=1087669","Assertive Outreach Services")</f>
        <v>Assertive Outreach Services</v>
      </c>
      <c r="B996" s="1" t="s">
        <v>188</v>
      </c>
      <c r="C996" s="2" t="s">
        <v>882</v>
      </c>
      <c r="D996" s="2" t="s">
        <v>3035</v>
      </c>
      <c r="E996" s="2" t="s">
        <v>880</v>
      </c>
      <c r="F996" s="2" t="s">
        <v>3036</v>
      </c>
      <c r="G996" s="2" t="s">
        <v>878</v>
      </c>
      <c r="H996" s="2" t="s">
        <v>3037</v>
      </c>
    </row>
    <row r="997" spans="1:8" ht="210" x14ac:dyDescent="0.25">
      <c r="A997" s="1" t="str">
        <f>HYPERLINK("https://www.albertahealthservices.ca/findhealth/Service.aspx?serviceAtFacilityId=1047417","Spiritual Care Services")</f>
        <v>Spiritual Care Services</v>
      </c>
      <c r="B997" s="1" t="s">
        <v>1724</v>
      </c>
      <c r="C997" s="2" t="s">
        <v>971</v>
      </c>
      <c r="D997" s="2" t="s">
        <v>3038</v>
      </c>
      <c r="E997" s="1"/>
      <c r="F997" s="2" t="s">
        <v>23</v>
      </c>
      <c r="G997" s="2" t="s">
        <v>968</v>
      </c>
      <c r="H997" s="2" t="s">
        <v>3039</v>
      </c>
    </row>
    <row r="998" spans="1:8" ht="90" x14ac:dyDescent="0.25">
      <c r="A998" s="1" t="str">
        <f>HYPERLINK("https://www.albertahealthservices.ca/findhealth/Service.aspx?serviceAtFacilityId=1033757","Short Stay Unit - Mental Health")</f>
        <v>Short Stay Unit - Mental Health</v>
      </c>
      <c r="B998" s="1" t="s">
        <v>378</v>
      </c>
      <c r="C998" s="2" t="s">
        <v>3041</v>
      </c>
      <c r="D998" s="2" t="s">
        <v>2289</v>
      </c>
      <c r="E998" s="1"/>
      <c r="F998" s="1" t="s">
        <v>34</v>
      </c>
      <c r="G998" s="2" t="s">
        <v>3040</v>
      </c>
      <c r="H998" s="1"/>
    </row>
    <row r="999" spans="1:8" ht="409.5" x14ac:dyDescent="0.25">
      <c r="A999" s="1" t="str">
        <f>HYPERLINK("https://www.albertahealthservices.ca/findhealth/Service.aspx?serviceAtFacilityId=1102297","Adult Mental Health Treatment Services")</f>
        <v>Adult Mental Health Treatment Services</v>
      </c>
      <c r="B999" s="1" t="s">
        <v>342</v>
      </c>
      <c r="C999" s="2" t="s">
        <v>125</v>
      </c>
      <c r="D999" s="2" t="s">
        <v>883</v>
      </c>
      <c r="E999" s="1"/>
      <c r="F999" s="2" t="s">
        <v>716</v>
      </c>
      <c r="G999" s="2" t="s">
        <v>121</v>
      </c>
      <c r="H999" s="2" t="s">
        <v>3042</v>
      </c>
    </row>
    <row r="1000" spans="1:8" ht="409.5" x14ac:dyDescent="0.25">
      <c r="A1000" s="1" t="str">
        <f>HYPERLINK("https://www.albertahealthservices.ca/findhealth/Service.aspx?serviceAtFacilityId=1115914","Provincial Family Violence Treatment Program")</f>
        <v>Provincial Family Violence Treatment Program</v>
      </c>
      <c r="B1000" s="1" t="s">
        <v>1265</v>
      </c>
      <c r="C1000" s="2" t="s">
        <v>232</v>
      </c>
      <c r="D1000" s="2" t="s">
        <v>3043</v>
      </c>
      <c r="E1000" s="1"/>
      <c r="F1000" s="2" t="s">
        <v>3044</v>
      </c>
      <c r="G1000" s="2" t="s">
        <v>227</v>
      </c>
      <c r="H1000" s="2" t="s">
        <v>3045</v>
      </c>
    </row>
    <row r="1001" spans="1:8" ht="345" x14ac:dyDescent="0.25">
      <c r="A1001" s="1" t="str">
        <f>HYPERLINK("https://www.albertahealthservices.ca/findhealth/Service.aspx?serviceAtFacilityId=1104489","Designated Supportive Living Level 4 Dementia")</f>
        <v>Designated Supportive Living Level 4 Dementia</v>
      </c>
      <c r="B1001" s="1" t="s">
        <v>3048</v>
      </c>
      <c r="C1001" s="2" t="s">
        <v>31</v>
      </c>
      <c r="D1001" s="2" t="s">
        <v>3046</v>
      </c>
      <c r="E1001" s="1"/>
      <c r="F1001" s="2" t="s">
        <v>23</v>
      </c>
      <c r="G1001" s="2" t="s">
        <v>182</v>
      </c>
      <c r="H1001" s="2" t="s">
        <v>3047</v>
      </c>
    </row>
    <row r="1002" spans="1:8" ht="390" x14ac:dyDescent="0.25">
      <c r="A1002" s="1" t="str">
        <f>HYPERLINK("https://www.albertahealthservices.ca/findhealth/Service.aspx?serviceAtFacilityId=1102364","Children's Mental Health Treatment Services")</f>
        <v>Children's Mental Health Treatment Services</v>
      </c>
      <c r="B1002" s="1" t="s">
        <v>394</v>
      </c>
      <c r="C1002" s="2" t="s">
        <v>84</v>
      </c>
      <c r="D1002" s="2" t="s">
        <v>2257</v>
      </c>
      <c r="E1002" s="2" t="s">
        <v>82</v>
      </c>
      <c r="F1002" s="1" t="s">
        <v>34</v>
      </c>
      <c r="G1002" s="2" t="s">
        <v>79</v>
      </c>
      <c r="H1002" s="2" t="s">
        <v>3049</v>
      </c>
    </row>
    <row r="1003" spans="1:8" ht="375" x14ac:dyDescent="0.25">
      <c r="A1003" s="1" t="str">
        <f>HYPERLINK("https://www.albertahealthservices.ca/findhealth/Service.aspx?serviceAtFacilityId=1102484","Regional Collaborative Service Delivery - School based and school linked mental health teams")</f>
        <v>Regional Collaborative Service Delivery - School based and school linked mental health teams</v>
      </c>
      <c r="B1003" s="1" t="s">
        <v>19</v>
      </c>
      <c r="C1003" s="2" t="s">
        <v>688</v>
      </c>
      <c r="D1003" s="2" t="s">
        <v>3050</v>
      </c>
      <c r="E1003" s="1"/>
      <c r="F1003" s="1" t="s">
        <v>34</v>
      </c>
      <c r="G1003" s="2" t="s">
        <v>685</v>
      </c>
      <c r="H1003" s="2" t="s">
        <v>3051</v>
      </c>
    </row>
    <row r="1004" spans="1:8" ht="180" x14ac:dyDescent="0.25">
      <c r="A1004" s="1" t="str">
        <f>HYPERLINK("https://www.albertahealthservices.ca/findhealth/Service.aspx?serviceAtFacilityId=1012928","Seniors Mental Health Program Community Services, Seniors Outreach Nurses")</f>
        <v>Seniors Mental Health Program Community Services, Seniors Outreach Nurses</v>
      </c>
      <c r="B1004" s="1" t="s">
        <v>1680</v>
      </c>
      <c r="C1004" s="2" t="s">
        <v>471</v>
      </c>
      <c r="D1004" s="2" t="s">
        <v>3052</v>
      </c>
      <c r="E1004" s="1"/>
      <c r="F1004" s="2" t="s">
        <v>3053</v>
      </c>
      <c r="G1004" s="2" t="s">
        <v>467</v>
      </c>
      <c r="H1004" s="2" t="s">
        <v>3054</v>
      </c>
    </row>
    <row r="1005" spans="1:8" ht="165" x14ac:dyDescent="0.25">
      <c r="A1005" s="1" t="str">
        <f>HYPERLINK("https://www.albertahealthservices.ca/findhealth/Service.aspx?serviceAtFacilityId=1112275","Addiction and Mental Health - Community Services, Child and Adolescent")</f>
        <v>Addiction and Mental Health - Community Services, Child and Adolescent</v>
      </c>
      <c r="B1005" s="1" t="s">
        <v>1854</v>
      </c>
      <c r="C1005" s="2" t="s">
        <v>292</v>
      </c>
      <c r="D1005" s="2" t="s">
        <v>3055</v>
      </c>
      <c r="E1005" s="2" t="s">
        <v>289</v>
      </c>
      <c r="F1005" s="2" t="s">
        <v>288</v>
      </c>
      <c r="G1005" s="2" t="s">
        <v>286</v>
      </c>
      <c r="H1005" s="2" t="s">
        <v>3056</v>
      </c>
    </row>
    <row r="1006" spans="1:8" ht="165" x14ac:dyDescent="0.25">
      <c r="A1006" s="1" t="str">
        <f>HYPERLINK("https://www.albertahealthservices.ca/findhealth/Service.aspx?serviceAtFacilityId=1024107","Carnat Centre Services")</f>
        <v>Carnat Centre Services</v>
      </c>
      <c r="B1006" s="1" t="s">
        <v>2024</v>
      </c>
      <c r="C1006" s="2" t="s">
        <v>3059</v>
      </c>
      <c r="D1006" s="2" t="s">
        <v>3058</v>
      </c>
      <c r="E1006" s="1"/>
      <c r="F1006" s="2" t="s">
        <v>117</v>
      </c>
      <c r="G1006" s="2" t="s">
        <v>3057</v>
      </c>
      <c r="H1006" s="1"/>
    </row>
    <row r="1007" spans="1:8" ht="105" x14ac:dyDescent="0.25">
      <c r="A1007" s="1" t="str">
        <f>HYPERLINK("https://www.albertahealthservices.ca/findhealth/Service.aspx?serviceAtFacilityId=1112715","Addiction and Mental Health - School-based Services, Child and Adolescent")</f>
        <v>Addiction and Mental Health - School-based Services, Child and Adolescent</v>
      </c>
      <c r="B1007" s="1" t="s">
        <v>441</v>
      </c>
      <c r="C1007" s="2" t="s">
        <v>3062</v>
      </c>
      <c r="D1007" s="2" t="s">
        <v>3061</v>
      </c>
      <c r="E1007" s="1"/>
      <c r="F1007" s="2" t="s">
        <v>220</v>
      </c>
      <c r="G1007" s="2" t="s">
        <v>3060</v>
      </c>
      <c r="H1007" s="1"/>
    </row>
    <row r="1008" spans="1:8" ht="195" x14ac:dyDescent="0.25">
      <c r="A1008" s="1" t="str">
        <f>HYPERLINK("https://www.albertahealthservices.ca/findhealth/Service.aspx?serviceAtFacilityId=1103582","Edmonton Hope and Wellness Centre")</f>
        <v>Edmonton Hope and Wellness Centre</v>
      </c>
      <c r="B1008" s="1" t="s">
        <v>57</v>
      </c>
      <c r="C1008" s="2" t="s">
        <v>3065</v>
      </c>
      <c r="D1008" s="2" t="s">
        <v>3064</v>
      </c>
      <c r="E1008" s="1"/>
      <c r="F1008" s="2" t="s">
        <v>117</v>
      </c>
      <c r="G1008" s="2" t="s">
        <v>3063</v>
      </c>
      <c r="H1008" s="1"/>
    </row>
    <row r="1009" spans="1:8" ht="105" x14ac:dyDescent="0.25">
      <c r="A1009" s="1" t="str">
        <f>HYPERLINK("https://www.albertahealthservices.ca/findhealth/Service.aspx?serviceAtFacilityId=1002190","Recreation Therapy Services Acute Care Inpatient")</f>
        <v>Recreation Therapy Services Acute Care Inpatient</v>
      </c>
      <c r="B1009" s="1" t="s">
        <v>301</v>
      </c>
      <c r="C1009" s="2" t="s">
        <v>3069</v>
      </c>
      <c r="D1009" s="2" t="s">
        <v>3067</v>
      </c>
      <c r="E1009" s="1"/>
      <c r="F1009" s="2" t="s">
        <v>3068</v>
      </c>
      <c r="G1009" s="2" t="s">
        <v>3066</v>
      </c>
      <c r="H1009" s="1"/>
    </row>
    <row r="1010" spans="1:8" ht="165" x14ac:dyDescent="0.25">
      <c r="A1010" s="1" t="str">
        <f>HYPERLINK("https://www.albertahealthservices.ca/findhealth/Service.aspx?serviceAtFacilityId=1111340","Addiction and Mental Health - Specialized Community Services, Adult")</f>
        <v>Addiction and Mental Health - Specialized Community Services, Adult</v>
      </c>
      <c r="B1010" s="1" t="s">
        <v>511</v>
      </c>
      <c r="C1010" s="2" t="s">
        <v>3072</v>
      </c>
      <c r="D1010" s="2" t="s">
        <v>3071</v>
      </c>
      <c r="E1010" s="1"/>
      <c r="F1010" s="2" t="s">
        <v>190</v>
      </c>
      <c r="G1010" s="2" t="s">
        <v>3070</v>
      </c>
      <c r="H1010" s="1"/>
    </row>
    <row r="1011" spans="1:8" ht="315" x14ac:dyDescent="0.25">
      <c r="A1011" s="1" t="str">
        <f>HYPERLINK("https://www.albertahealthservices.ca/findhealth/Service.aspx?serviceAtFacilityId=1094253","Postpartum Depression Support")</f>
        <v>Postpartum Depression Support</v>
      </c>
      <c r="B1011" s="1" t="s">
        <v>448</v>
      </c>
      <c r="C1011" s="2" t="s">
        <v>114</v>
      </c>
      <c r="D1011" s="2" t="s">
        <v>3073</v>
      </c>
      <c r="E1011" s="1"/>
      <c r="F1011" s="1" t="s">
        <v>34</v>
      </c>
      <c r="G1011" s="1"/>
      <c r="H1011" s="2" t="s">
        <v>3074</v>
      </c>
    </row>
    <row r="1012" spans="1:8" ht="210" x14ac:dyDescent="0.25">
      <c r="A1012" s="1" t="str">
        <f>HYPERLINK("https://www.albertahealthservices.ca/findhealth/Service.aspx?serviceAtFacilityId=1055851","Parent Consultation Clinic - Mental Health")</f>
        <v>Parent Consultation Clinic - Mental Health</v>
      </c>
      <c r="B1012" s="1" t="s">
        <v>276</v>
      </c>
      <c r="C1012" s="2" t="s">
        <v>3078</v>
      </c>
      <c r="D1012" s="2" t="s">
        <v>3076</v>
      </c>
      <c r="E1012" s="1"/>
      <c r="F1012" s="2" t="s">
        <v>3077</v>
      </c>
      <c r="G1012" s="2" t="s">
        <v>3075</v>
      </c>
      <c r="H1012" s="1"/>
    </row>
    <row r="1013" spans="1:8" ht="195" x14ac:dyDescent="0.25">
      <c r="A1013" s="1" t="str">
        <f>HYPERLINK("https://www.albertahealthservices.ca/findhealth/Service.aspx?serviceAtFacilityId=1099658","Mental Health Urgent Care")</f>
        <v>Mental Health Urgent Care</v>
      </c>
      <c r="B1013" s="1" t="s">
        <v>1020</v>
      </c>
      <c r="C1013" s="2" t="s">
        <v>360</v>
      </c>
      <c r="D1013" s="2" t="s">
        <v>3079</v>
      </c>
      <c r="E1013" s="1"/>
      <c r="F1013" s="2" t="s">
        <v>358</v>
      </c>
      <c r="G1013" s="2" t="s">
        <v>356</v>
      </c>
      <c r="H1013" s="2" t="s">
        <v>3080</v>
      </c>
    </row>
    <row r="1014" spans="1:8" ht="240" x14ac:dyDescent="0.25">
      <c r="A1014" s="1" t="str">
        <f>HYPERLINK("https://www.albertahealthservices.ca/findhealth/Service.aspx?serviceAtFacilityId=1052608","CHOICE")</f>
        <v>CHOICE</v>
      </c>
      <c r="B1014" s="1" t="s">
        <v>3083</v>
      </c>
      <c r="C1014" s="2" t="s">
        <v>701</v>
      </c>
      <c r="D1014" s="2" t="s">
        <v>3081</v>
      </c>
      <c r="E1014" s="1"/>
      <c r="F1014" s="1" t="s">
        <v>34</v>
      </c>
      <c r="G1014" s="2" t="s">
        <v>697</v>
      </c>
      <c r="H1014" s="2" t="s">
        <v>3082</v>
      </c>
    </row>
    <row r="1015" spans="1:8" ht="180" x14ac:dyDescent="0.25">
      <c r="A1015" s="1" t="str">
        <f>HYPERLINK("https://www.albertahealthservices.ca/findhealth/Service.aspx?serviceAtFacilityId=1032370","Vocational Rehabilitation Services - Mental Health")</f>
        <v>Vocational Rehabilitation Services - Mental Health</v>
      </c>
      <c r="B1015" s="1" t="s">
        <v>2092</v>
      </c>
      <c r="C1015" s="2" t="s">
        <v>3087</v>
      </c>
      <c r="D1015" s="2" t="s">
        <v>3085</v>
      </c>
      <c r="E1015" s="1"/>
      <c r="F1015" s="2" t="s">
        <v>3086</v>
      </c>
      <c r="G1015" s="2" t="s">
        <v>3084</v>
      </c>
      <c r="H1015" s="1"/>
    </row>
    <row r="1016" spans="1:8" ht="390" x14ac:dyDescent="0.25">
      <c r="A1016" s="1" t="str">
        <f>HYPERLINK("https://www.albertahealthservices.ca/findhealth/Service.aspx?serviceAtFacilityId=1102365","Children's Mental Health Treatment Services")</f>
        <v>Children's Mental Health Treatment Services</v>
      </c>
      <c r="B1016" s="1" t="s">
        <v>448</v>
      </c>
      <c r="C1016" s="2" t="s">
        <v>84</v>
      </c>
      <c r="D1016" s="2" t="s">
        <v>1869</v>
      </c>
      <c r="E1016" s="2" t="s">
        <v>82</v>
      </c>
      <c r="F1016" s="1" t="s">
        <v>34</v>
      </c>
      <c r="G1016" s="2" t="s">
        <v>79</v>
      </c>
      <c r="H1016" s="2" t="s">
        <v>3088</v>
      </c>
    </row>
    <row r="1017" spans="1:8" ht="405" x14ac:dyDescent="0.25">
      <c r="A1017" s="1" t="str">
        <f>HYPERLINK("https://www.albertahealthservices.ca/findhealth/Service.aspx?serviceAtFacilityId=1115403","Addiction and Mental Health - Recovery Supports Services, Adult")</f>
        <v>Addiction and Mental Health - Recovery Supports Services, Adult</v>
      </c>
      <c r="B1017" s="1" t="s">
        <v>3092</v>
      </c>
      <c r="C1017" s="2" t="s">
        <v>666</v>
      </c>
      <c r="D1017" s="2" t="s">
        <v>3089</v>
      </c>
      <c r="E1017" s="2" t="s">
        <v>663</v>
      </c>
      <c r="F1017" s="2" t="s">
        <v>3090</v>
      </c>
      <c r="G1017" s="1"/>
      <c r="H1017" s="2" t="s">
        <v>3091</v>
      </c>
    </row>
    <row r="1018" spans="1:8" ht="390" x14ac:dyDescent="0.25">
      <c r="A1018" s="1" t="str">
        <f>HYPERLINK("https://www.albertahealthservices.ca/findhealth/Service.aspx?serviceAtFacilityId=1104598","Designated Supportive Living Level 4 Dementia")</f>
        <v>Designated Supportive Living Level 4 Dementia</v>
      </c>
      <c r="B1018" s="1" t="s">
        <v>3095</v>
      </c>
      <c r="C1018" s="2" t="s">
        <v>31</v>
      </c>
      <c r="D1018" s="2" t="s">
        <v>3093</v>
      </c>
      <c r="E1018" s="1"/>
      <c r="F1018" s="2" t="s">
        <v>23</v>
      </c>
      <c r="G1018" s="2" t="s">
        <v>52</v>
      </c>
      <c r="H1018" s="2" t="s">
        <v>3094</v>
      </c>
    </row>
    <row r="1019" spans="1:8" ht="255" x14ac:dyDescent="0.25">
      <c r="A1019" s="1" t="str">
        <f>HYPERLINK("https://www.albertahealthservices.ca/findhealth/Service.aspx?serviceAtFacilityId=1112364","Designated Supportive Living Level 4 Dementia")</f>
        <v>Designated Supportive Living Level 4 Dementia</v>
      </c>
      <c r="B1019" s="1" t="s">
        <v>330</v>
      </c>
      <c r="C1019" s="2" t="s">
        <v>43</v>
      </c>
      <c r="D1019" s="2" t="s">
        <v>3096</v>
      </c>
      <c r="E1019" s="1"/>
      <c r="F1019" s="2" t="s">
        <v>40</v>
      </c>
      <c r="G1019" s="2" t="s">
        <v>38</v>
      </c>
      <c r="H1019" s="2" t="s">
        <v>3097</v>
      </c>
    </row>
    <row r="1020" spans="1:8" ht="225" x14ac:dyDescent="0.25">
      <c r="A1020" s="1" t="str">
        <f>HYPERLINK("https://www.albertahealthservices.ca/findhealth/Service.aspx?serviceAtFacilityId=1106413","Addiction Services - Adult Day Treatment")</f>
        <v>Addiction Services - Adult Day Treatment</v>
      </c>
      <c r="B1020" s="1" t="s">
        <v>2410</v>
      </c>
      <c r="C1020" s="2" t="s">
        <v>3101</v>
      </c>
      <c r="D1020" s="2" t="s">
        <v>3099</v>
      </c>
      <c r="E1020" s="1"/>
      <c r="F1020" s="2" t="s">
        <v>3100</v>
      </c>
      <c r="G1020" s="2" t="s">
        <v>3098</v>
      </c>
      <c r="H1020" s="1"/>
    </row>
    <row r="1021" spans="1:8" ht="150" x14ac:dyDescent="0.25">
      <c r="A1021" s="1" t="str">
        <f>HYPERLINK("https://www.albertahealthservices.ca/findhealth/Service.aspx?serviceAtFacilityId=1047554","Seniors Mental Health Program Community Services, Seniors Outreach Nurses")</f>
        <v>Seniors Mental Health Program Community Services, Seniors Outreach Nurses</v>
      </c>
      <c r="B1021" s="1" t="s">
        <v>87</v>
      </c>
      <c r="C1021" s="2" t="s">
        <v>471</v>
      </c>
      <c r="D1021" s="2" t="s">
        <v>85</v>
      </c>
      <c r="E1021" s="1"/>
      <c r="F1021" s="2" t="s">
        <v>311</v>
      </c>
      <c r="G1021" s="2" t="s">
        <v>467</v>
      </c>
      <c r="H1021" s="2" t="s">
        <v>3102</v>
      </c>
    </row>
    <row r="1022" spans="1:8" ht="409.5" x14ac:dyDescent="0.25">
      <c r="A1022" s="1" t="str">
        <f>HYPERLINK("https://www.albertahealthservices.ca/findhealth/Service.aspx?serviceAtFacilityId=1004628","Continuing Care Counselling")</f>
        <v>Continuing Care Counselling</v>
      </c>
      <c r="B1022" s="1" t="s">
        <v>3105</v>
      </c>
      <c r="C1022" s="2" t="s">
        <v>163</v>
      </c>
      <c r="D1022" s="2" t="s">
        <v>3103</v>
      </c>
      <c r="E1022" s="1"/>
      <c r="F1022" s="2" t="s">
        <v>160</v>
      </c>
      <c r="G1022" s="2" t="s">
        <v>158</v>
      </c>
      <c r="H1022" s="2" t="s">
        <v>3104</v>
      </c>
    </row>
    <row r="1023" spans="1:8" ht="390" x14ac:dyDescent="0.25">
      <c r="A1023" s="1" t="str">
        <f>HYPERLINK("https://www.albertahealthservices.ca/findhealth/Service.aspx?serviceAtFacilityId=1102355","Children's Mental Health Treatment Services")</f>
        <v>Children's Mental Health Treatment Services</v>
      </c>
      <c r="B1023" s="1" t="s">
        <v>840</v>
      </c>
      <c r="C1023" s="2" t="s">
        <v>84</v>
      </c>
      <c r="D1023" s="2" t="s">
        <v>3106</v>
      </c>
      <c r="E1023" s="2" t="s">
        <v>82</v>
      </c>
      <c r="F1023" s="2" t="s">
        <v>2471</v>
      </c>
      <c r="G1023" s="2" t="s">
        <v>79</v>
      </c>
      <c r="H1023" s="2" t="s">
        <v>3107</v>
      </c>
    </row>
    <row r="1024" spans="1:8" ht="240" x14ac:dyDescent="0.25">
      <c r="A1024" s="1" t="str">
        <f>HYPERLINK("https://www.albertahealthservices.ca/findhealth/Service.aspx?serviceAtFacilityId=1074213","Psychosocial Oncology")</f>
        <v>Psychosocial Oncology</v>
      </c>
      <c r="B1024" s="1" t="s">
        <v>2803</v>
      </c>
      <c r="C1024" s="2" t="s">
        <v>2805</v>
      </c>
      <c r="D1024" s="2" t="s">
        <v>3108</v>
      </c>
      <c r="E1024" s="1"/>
      <c r="F1024" s="1" t="s">
        <v>34</v>
      </c>
      <c r="G1024" s="2" t="s">
        <v>2801</v>
      </c>
      <c r="H1024" s="1" t="s">
        <v>2804</v>
      </c>
    </row>
    <row r="1025" spans="1:8" ht="405" x14ac:dyDescent="0.25">
      <c r="A1025" s="1" t="str">
        <f>HYPERLINK("https://www.albertahealthservices.ca/findhealth/Service.aspx?serviceAtFacilityId=1115420","Addiction and Mental Health - Recovery Supports Services, Adult")</f>
        <v>Addiction and Mental Health - Recovery Supports Services, Adult</v>
      </c>
      <c r="B1025" s="1" t="s">
        <v>3112</v>
      </c>
      <c r="C1025" s="2" t="s">
        <v>666</v>
      </c>
      <c r="D1025" s="2" t="s">
        <v>3109</v>
      </c>
      <c r="E1025" s="2" t="s">
        <v>663</v>
      </c>
      <c r="F1025" s="2" t="s">
        <v>3110</v>
      </c>
      <c r="G1025" s="1"/>
      <c r="H1025" s="2" t="s">
        <v>3111</v>
      </c>
    </row>
    <row r="1026" spans="1:8" ht="270" x14ac:dyDescent="0.25">
      <c r="A1026" s="1" t="str">
        <f>HYPERLINK("https://www.albertahealthservices.ca/findhealth/Service.aspx?serviceAtFacilityId=1115610","Designated Supportive Living Level 4 Dementia")</f>
        <v>Designated Supportive Living Level 4 Dementia</v>
      </c>
      <c r="B1026" s="1" t="s">
        <v>3115</v>
      </c>
      <c r="C1026" s="2" t="s">
        <v>31</v>
      </c>
      <c r="D1026" s="2" t="s">
        <v>3113</v>
      </c>
      <c r="E1026" s="1"/>
      <c r="F1026" s="2" t="s">
        <v>23</v>
      </c>
      <c r="G1026" s="2" t="s">
        <v>27</v>
      </c>
      <c r="H1026" s="2" t="s">
        <v>3114</v>
      </c>
    </row>
    <row r="1027" spans="1:8" ht="135" x14ac:dyDescent="0.25">
      <c r="A1027" s="1" t="str">
        <f>HYPERLINK("https://www.albertahealthservices.ca/findhealth/Service.aspx?serviceAtFacilityId=1055452","Sexual Assault Response Team")</f>
        <v>Sexual Assault Response Team</v>
      </c>
      <c r="B1027" s="1" t="s">
        <v>3118</v>
      </c>
      <c r="C1027" s="2" t="s">
        <v>512</v>
      </c>
      <c r="D1027" s="2" t="s">
        <v>3116</v>
      </c>
      <c r="E1027" s="1"/>
      <c r="F1027" s="2" t="s">
        <v>23</v>
      </c>
      <c r="G1027" s="2" t="s">
        <v>508</v>
      </c>
      <c r="H1027" s="2" t="s">
        <v>3117</v>
      </c>
    </row>
    <row r="1028" spans="1:8" ht="375" x14ac:dyDescent="0.25">
      <c r="A1028" s="1" t="str">
        <f>HYPERLINK("https://www.albertahealthservices.ca/findhealth/Service.aspx?serviceAtFacilityId=1102331","Mental Health Information, Promotion and Prevention")</f>
        <v>Mental Health Information, Promotion and Prevention</v>
      </c>
      <c r="B1028" s="1" t="s">
        <v>840</v>
      </c>
      <c r="C1028" s="2" t="s">
        <v>20</v>
      </c>
      <c r="D1028" s="2" t="s">
        <v>3119</v>
      </c>
      <c r="E1028" s="2" t="s">
        <v>17</v>
      </c>
      <c r="F1028" s="2" t="s">
        <v>2471</v>
      </c>
      <c r="G1028" s="2" t="s">
        <v>14</v>
      </c>
      <c r="H1028" s="2" t="s">
        <v>3120</v>
      </c>
    </row>
    <row r="1029" spans="1:8" ht="330" x14ac:dyDescent="0.25">
      <c r="A1029" s="1" t="str">
        <f>HYPERLINK("https://www.albertahealthservices.ca/findhealth/Service.aspx?serviceAtFacilityId=1009339","Spiritual Care Services")</f>
        <v>Spiritual Care Services</v>
      </c>
      <c r="B1029" s="1" t="s">
        <v>552</v>
      </c>
      <c r="C1029" s="2" t="s">
        <v>1165</v>
      </c>
      <c r="D1029" s="2" t="s">
        <v>3121</v>
      </c>
      <c r="E1029" s="1"/>
      <c r="F1029" s="2" t="s">
        <v>3122</v>
      </c>
      <c r="G1029" s="2" t="s">
        <v>1161</v>
      </c>
      <c r="H1029" s="2" t="s">
        <v>3123</v>
      </c>
    </row>
    <row r="1030" spans="1:8" ht="409.5" x14ac:dyDescent="0.25">
      <c r="A1030" s="1" t="str">
        <f>HYPERLINK("https://www.albertahealthservices.ca/findhealth/Service.aspx?serviceAtFacilityId=1006618","Therapeutic Recreation Services")</f>
        <v>Therapeutic Recreation Services</v>
      </c>
      <c r="B1030" s="1" t="s">
        <v>410</v>
      </c>
      <c r="C1030" s="2" t="s">
        <v>37</v>
      </c>
      <c r="D1030" s="2" t="s">
        <v>528</v>
      </c>
      <c r="E1030" s="1"/>
      <c r="F1030" s="1" t="s">
        <v>34</v>
      </c>
      <c r="G1030" s="2" t="s">
        <v>32</v>
      </c>
      <c r="H1030" s="2" t="s">
        <v>3124</v>
      </c>
    </row>
    <row r="1031" spans="1:8" ht="120" x14ac:dyDescent="0.25">
      <c r="A1031" s="1" t="str">
        <f>HYPERLINK("https://www.albertahealthservices.ca/findhealth/Service.aspx?serviceAtFacilityId=1000289","Spiritual Care Services")</f>
        <v>Spiritual Care Services</v>
      </c>
      <c r="B1031" s="1" t="s">
        <v>843</v>
      </c>
      <c r="C1031" s="2" t="s">
        <v>453</v>
      </c>
      <c r="D1031" s="2" t="s">
        <v>3125</v>
      </c>
      <c r="E1031" s="1"/>
      <c r="F1031" s="2" t="s">
        <v>311</v>
      </c>
      <c r="G1031" s="2" t="s">
        <v>449</v>
      </c>
      <c r="H1031" s="2" t="s">
        <v>3126</v>
      </c>
    </row>
    <row r="1032" spans="1:8" ht="375" x14ac:dyDescent="0.25">
      <c r="A1032" s="1" t="str">
        <f>HYPERLINK("https://www.albertahealthservices.ca/findhealth/Service.aspx?serviceAtFacilityId=1102342","Mental Health Information, Promotion and Prevention")</f>
        <v>Mental Health Information, Promotion and Prevention</v>
      </c>
      <c r="B1032" s="1" t="s">
        <v>113</v>
      </c>
      <c r="C1032" s="2" t="s">
        <v>20</v>
      </c>
      <c r="D1032" s="2" t="s">
        <v>3127</v>
      </c>
      <c r="E1032" s="2" t="s">
        <v>17</v>
      </c>
      <c r="F1032" s="2" t="s">
        <v>3128</v>
      </c>
      <c r="G1032" s="2" t="s">
        <v>14</v>
      </c>
      <c r="H1032" s="2" t="s">
        <v>3129</v>
      </c>
    </row>
    <row r="1033" spans="1:8" ht="180" x14ac:dyDescent="0.25">
      <c r="A1033" s="1" t="str">
        <f>HYPERLINK("https://www.albertahealthservices.ca/findhealth/Service.aspx?serviceAtFacilityId=1106316","Addiction Services - Prevention")</f>
        <v>Addiction Services - Prevention</v>
      </c>
      <c r="B1033" s="1" t="s">
        <v>1792</v>
      </c>
      <c r="C1033" s="2" t="s">
        <v>635</v>
      </c>
      <c r="D1033" s="2" t="s">
        <v>1789</v>
      </c>
      <c r="E1033" s="1"/>
      <c r="F1033" s="2" t="s">
        <v>3130</v>
      </c>
      <c r="G1033" s="2" t="s">
        <v>630</v>
      </c>
      <c r="H1033" s="2" t="s">
        <v>3131</v>
      </c>
    </row>
    <row r="1034" spans="1:8" ht="375" x14ac:dyDescent="0.25">
      <c r="A1034" s="1" t="str">
        <f>HYPERLINK("https://www.albertahealthservices.ca/findhealth/Service.aspx?serviceAtFacilityId=1111316","Mental Health Information, Promotion and Prevention")</f>
        <v>Mental Health Information, Promotion and Prevention</v>
      </c>
      <c r="B1034" s="1" t="s">
        <v>330</v>
      </c>
      <c r="C1034" s="2" t="s">
        <v>20</v>
      </c>
      <c r="D1034" s="2" t="s">
        <v>1592</v>
      </c>
      <c r="E1034" s="2" t="s">
        <v>17</v>
      </c>
      <c r="F1034" s="1" t="s">
        <v>34</v>
      </c>
      <c r="G1034" s="2" t="s">
        <v>14</v>
      </c>
      <c r="H1034" s="2" t="s">
        <v>3132</v>
      </c>
    </row>
    <row r="1035" spans="1:8" ht="270" x14ac:dyDescent="0.25">
      <c r="A1035" s="1" t="str">
        <f>HYPERLINK("https://www.albertahealthservices.ca/findhealth/Service.aspx?serviceAtFacilityId=1115787","Addiction Services - Prevention")</f>
        <v>Addiction Services - Prevention</v>
      </c>
      <c r="B1035" s="1" t="s">
        <v>909</v>
      </c>
      <c r="C1035" s="2" t="s">
        <v>493</v>
      </c>
      <c r="D1035" s="2" t="s">
        <v>906</v>
      </c>
      <c r="E1035" s="1"/>
      <c r="F1035" s="2" t="s">
        <v>907</v>
      </c>
      <c r="G1035" s="2" t="s">
        <v>489</v>
      </c>
      <c r="H1035" s="2" t="s">
        <v>3133</v>
      </c>
    </row>
    <row r="1036" spans="1:8" ht="210" x14ac:dyDescent="0.25">
      <c r="A1036" s="1" t="str">
        <f>HYPERLINK("https://www.albertahealthservices.ca/findhealth/Service.aspx?serviceAtFacilityId=1047267","Therapeutic Recreation - Community &amp; Outpatient")</f>
        <v>Therapeutic Recreation - Community &amp; Outpatient</v>
      </c>
      <c r="B1036" s="1" t="s">
        <v>2953</v>
      </c>
      <c r="C1036" s="2" t="s">
        <v>524</v>
      </c>
      <c r="D1036" s="2" t="s">
        <v>3134</v>
      </c>
      <c r="E1036" s="1"/>
      <c r="F1036" s="2" t="s">
        <v>201</v>
      </c>
      <c r="G1036" s="2" t="s">
        <v>520</v>
      </c>
      <c r="H1036" s="2" t="s">
        <v>3135</v>
      </c>
    </row>
    <row r="1037" spans="1:8" ht="180" x14ac:dyDescent="0.25">
      <c r="A1037" s="1" t="str">
        <f>HYPERLINK("https://www.albertahealthservices.ca/findhealth/Service.aspx?serviceAtFacilityId=1102576","Emergency Services - Child and Adolescent Mental Health")</f>
        <v>Emergency Services - Child and Adolescent Mental Health</v>
      </c>
      <c r="B1037" s="1" t="s">
        <v>103</v>
      </c>
      <c r="C1037" s="2" t="s">
        <v>198</v>
      </c>
      <c r="D1037" s="2" t="s">
        <v>320</v>
      </c>
      <c r="E1037" s="1"/>
      <c r="F1037" s="2" t="s">
        <v>195</v>
      </c>
      <c r="G1037" s="2" t="s">
        <v>193</v>
      </c>
      <c r="H1037" s="2" t="s">
        <v>622</v>
      </c>
    </row>
    <row r="1038" spans="1:8" ht="409.5" x14ac:dyDescent="0.25">
      <c r="A1038" s="1" t="str">
        <f>HYPERLINK("https://www.albertahealthservices.ca/findhealth/Service.aspx?serviceAtFacilityId=1082256","Therapeutic Recreation Services")</f>
        <v>Therapeutic Recreation Services</v>
      </c>
      <c r="B1038" s="1" t="s">
        <v>3138</v>
      </c>
      <c r="C1038" s="2" t="s">
        <v>37</v>
      </c>
      <c r="D1038" s="2" t="s">
        <v>3136</v>
      </c>
      <c r="E1038" s="1"/>
      <c r="F1038" s="2" t="s">
        <v>517</v>
      </c>
      <c r="G1038" s="2" t="s">
        <v>32</v>
      </c>
      <c r="H1038" s="2" t="s">
        <v>3137</v>
      </c>
    </row>
    <row r="1039" spans="1:8" ht="409.5" x14ac:dyDescent="0.25">
      <c r="A1039" s="1" t="str">
        <f>HYPERLINK("https://www.albertahealthservices.ca/findhealth/Service.aspx?serviceAtFacilityId=1102305","Adult Mental Health Treatment Services")</f>
        <v>Adult Mental Health Treatment Services</v>
      </c>
      <c r="B1039" s="1" t="s">
        <v>1206</v>
      </c>
      <c r="C1039" s="2" t="s">
        <v>125</v>
      </c>
      <c r="D1039" s="2" t="s">
        <v>2240</v>
      </c>
      <c r="E1039" s="1"/>
      <c r="F1039" s="2" t="s">
        <v>2241</v>
      </c>
      <c r="G1039" s="2" t="s">
        <v>121</v>
      </c>
      <c r="H1039" s="2" t="s">
        <v>3139</v>
      </c>
    </row>
    <row r="1040" spans="1:8" ht="225" x14ac:dyDescent="0.25">
      <c r="A1040" s="1" t="str">
        <f>HYPERLINK("https://www.albertahealthservices.ca/findhealth/Service.aspx?serviceAtFacilityId=1111328","Addiction and Mental Health - Suburban Community Assessment and Treatment Services, Adult")</f>
        <v>Addiction and Mental Health - Suburban Community Assessment and Treatment Services, Adult</v>
      </c>
      <c r="B1040" s="1" t="s">
        <v>291</v>
      </c>
      <c r="C1040" s="2" t="s">
        <v>145</v>
      </c>
      <c r="D1040" s="2" t="s">
        <v>3140</v>
      </c>
      <c r="E1040" s="1"/>
      <c r="F1040" s="2" t="s">
        <v>142</v>
      </c>
      <c r="G1040" s="2" t="s">
        <v>140</v>
      </c>
      <c r="H1040" s="2" t="s">
        <v>3141</v>
      </c>
    </row>
    <row r="1041" spans="1:8" ht="210" x14ac:dyDescent="0.25">
      <c r="A1041" s="1" t="str">
        <f>HYPERLINK("https://www.albertahealthservices.ca/findhealth/Service.aspx?serviceAtFacilityId=1100105","Spiritual Care Services")</f>
        <v>Spiritual Care Services</v>
      </c>
      <c r="B1041" s="1" t="s">
        <v>2803</v>
      </c>
      <c r="C1041" s="2" t="s">
        <v>971</v>
      </c>
      <c r="D1041" s="2" t="s">
        <v>3142</v>
      </c>
      <c r="E1041" s="1"/>
      <c r="F1041" s="2" t="s">
        <v>201</v>
      </c>
      <c r="G1041" s="2" t="s">
        <v>968</v>
      </c>
      <c r="H1041" s="2" t="s">
        <v>3143</v>
      </c>
    </row>
    <row r="1042" spans="1:8" ht="345" x14ac:dyDescent="0.25">
      <c r="A1042" s="1" t="str">
        <f>HYPERLINK("https://www.albertahealthservices.ca/findhealth/Service.aspx?serviceAtFacilityId=1102414","Assertive Outreach Services")</f>
        <v>Assertive Outreach Services</v>
      </c>
      <c r="B1042" s="1" t="s">
        <v>394</v>
      </c>
      <c r="C1042" s="2" t="s">
        <v>882</v>
      </c>
      <c r="D1042" s="2" t="s">
        <v>391</v>
      </c>
      <c r="E1042" s="2" t="s">
        <v>880</v>
      </c>
      <c r="F1042" s="1" t="s">
        <v>34</v>
      </c>
      <c r="G1042" s="2" t="s">
        <v>878</v>
      </c>
      <c r="H1042" s="2" t="s">
        <v>3144</v>
      </c>
    </row>
    <row r="1043" spans="1:8" ht="409.5" x14ac:dyDescent="0.25">
      <c r="A1043" s="1" t="str">
        <f>HYPERLINK("https://www.albertahealthservices.ca/findhealth/Service.aspx?serviceAtFacilityId=1102498","Eating Disorder Services")</f>
        <v>Eating Disorder Services</v>
      </c>
      <c r="B1043" s="1" t="s">
        <v>192</v>
      </c>
      <c r="C1043" s="2" t="s">
        <v>212</v>
      </c>
      <c r="D1043" s="2" t="s">
        <v>3145</v>
      </c>
      <c r="E1043" s="1"/>
      <c r="F1043" s="1" t="s">
        <v>34</v>
      </c>
      <c r="G1043" s="2" t="s">
        <v>209</v>
      </c>
      <c r="H1043" s="2" t="s">
        <v>3146</v>
      </c>
    </row>
    <row r="1044" spans="1:8" ht="409.5" x14ac:dyDescent="0.25">
      <c r="A1044" s="1" t="str">
        <f>HYPERLINK("https://www.albertahealthservices.ca/findhealth/Service.aspx?serviceAtFacilityId=1082250","Therapeutic Recreation Services")</f>
        <v>Therapeutic Recreation Services</v>
      </c>
      <c r="B1044" s="1" t="s">
        <v>2894</v>
      </c>
      <c r="C1044" s="2" t="s">
        <v>37</v>
      </c>
      <c r="D1044" s="2" t="s">
        <v>3147</v>
      </c>
      <c r="E1044" s="1"/>
      <c r="F1044" s="2" t="s">
        <v>517</v>
      </c>
      <c r="G1044" s="2" t="s">
        <v>32</v>
      </c>
      <c r="H1044" s="2" t="s">
        <v>3148</v>
      </c>
    </row>
    <row r="1045" spans="1:8" ht="330" x14ac:dyDescent="0.25">
      <c r="A1045" s="1" t="str">
        <f>HYPERLINK("https://www.albertahealthservices.ca/findhealth/Service.aspx?serviceAtFacilityId=1082202","Pastoral Care Services")</f>
        <v>Pastoral Care Services</v>
      </c>
      <c r="B1045" s="1" t="s">
        <v>157</v>
      </c>
      <c r="C1045" s="2" t="s">
        <v>423</v>
      </c>
      <c r="D1045" s="2" t="s">
        <v>3149</v>
      </c>
      <c r="E1045" s="1"/>
      <c r="F1045" s="1" t="s">
        <v>34</v>
      </c>
      <c r="G1045" s="2" t="s">
        <v>419</v>
      </c>
      <c r="H1045" s="2" t="s">
        <v>3150</v>
      </c>
    </row>
    <row r="1046" spans="1:8" ht="330" x14ac:dyDescent="0.25">
      <c r="A1046" s="1" t="str">
        <f>HYPERLINK("https://www.albertahealthservices.ca/findhealth/Service.aspx?serviceAtFacilityId=1008629","Spiritual Care Services")</f>
        <v>Spiritual Care Services</v>
      </c>
      <c r="B1046" s="1" t="s">
        <v>301</v>
      </c>
      <c r="C1046" s="2" t="s">
        <v>1165</v>
      </c>
      <c r="D1046" s="2" t="s">
        <v>3151</v>
      </c>
      <c r="E1046" s="1"/>
      <c r="F1046" s="2" t="s">
        <v>3152</v>
      </c>
      <c r="G1046" s="2" t="s">
        <v>1161</v>
      </c>
      <c r="H1046" s="2" t="s">
        <v>3153</v>
      </c>
    </row>
    <row r="1047" spans="1:8" ht="409.5" x14ac:dyDescent="0.25">
      <c r="A1047" s="1" t="str">
        <f>HYPERLINK("https://www.albertahealthservices.ca/findhealth/Service.aspx?serviceAtFacilityId=1049493","Adult Mental Health Treatment Services")</f>
        <v>Adult Mental Health Treatment Services</v>
      </c>
      <c r="B1047" s="1" t="s">
        <v>192</v>
      </c>
      <c r="C1047" s="2" t="s">
        <v>125</v>
      </c>
      <c r="D1047" s="2" t="s">
        <v>3154</v>
      </c>
      <c r="E1047" s="1"/>
      <c r="F1047" s="2" t="s">
        <v>3155</v>
      </c>
      <c r="G1047" s="2" t="s">
        <v>121</v>
      </c>
      <c r="H1047" s="2" t="s">
        <v>3156</v>
      </c>
    </row>
    <row r="1048" spans="1:8" ht="409.5" x14ac:dyDescent="0.25">
      <c r="A1048" s="1" t="str">
        <f>HYPERLINK("https://www.albertahealthservices.ca/findhealth/Service.aspx?serviceAtFacilityId=1094172","Mental Health Services")</f>
        <v>Mental Health Services</v>
      </c>
      <c r="B1048" s="1" t="s">
        <v>855</v>
      </c>
      <c r="C1048" s="2" t="s">
        <v>98</v>
      </c>
      <c r="D1048" s="2" t="s">
        <v>2207</v>
      </c>
      <c r="E1048" s="1"/>
      <c r="F1048" s="2" t="s">
        <v>3157</v>
      </c>
      <c r="G1048" s="2" t="s">
        <v>94</v>
      </c>
      <c r="H1048" s="2" t="s">
        <v>3158</v>
      </c>
    </row>
    <row r="1049" spans="1:8" ht="375" x14ac:dyDescent="0.25">
      <c r="A1049" s="1" t="str">
        <f>HYPERLINK("https://www.albertahealthservices.ca/findhealth/Service.aspx?serviceAtFacilityId=1102341","Mental Health Information, Promotion and Prevention")</f>
        <v>Mental Health Information, Promotion and Prevention</v>
      </c>
      <c r="B1049" s="1" t="s">
        <v>1179</v>
      </c>
      <c r="C1049" s="2" t="s">
        <v>20</v>
      </c>
      <c r="D1049" s="2" t="s">
        <v>3159</v>
      </c>
      <c r="E1049" s="2" t="s">
        <v>17</v>
      </c>
      <c r="F1049" s="1" t="s">
        <v>34</v>
      </c>
      <c r="G1049" s="2" t="s">
        <v>14</v>
      </c>
      <c r="H1049" s="2" t="s">
        <v>3160</v>
      </c>
    </row>
    <row r="1050" spans="1:8" ht="225" x14ac:dyDescent="0.25">
      <c r="A1050" s="1" t="str">
        <f>HYPERLINK("https://www.albertahealthservices.ca/findhealth/Service.aspx?serviceAtFacilityId=6335","Boyle McCauley Health Centre Services")</f>
        <v>Boyle McCauley Health Centre Services</v>
      </c>
      <c r="B1050" s="1" t="s">
        <v>3164</v>
      </c>
      <c r="C1050" s="2" t="s">
        <v>3165</v>
      </c>
      <c r="D1050" s="2" t="s">
        <v>3162</v>
      </c>
      <c r="E1050" s="1"/>
      <c r="F1050" s="2" t="s">
        <v>3163</v>
      </c>
      <c r="G1050" s="2" t="s">
        <v>3161</v>
      </c>
      <c r="H1050" s="1"/>
    </row>
    <row r="1051" spans="1:8" ht="270" x14ac:dyDescent="0.25">
      <c r="A1051" s="1" t="str">
        <f>HYPERLINK("https://www.albertahealthservices.ca/findhealth/Service.aspx?serviceAtFacilityId=1093995","Addiction Services - Prevention")</f>
        <v>Addiction Services - Prevention</v>
      </c>
      <c r="B1051" s="1" t="s">
        <v>797</v>
      </c>
      <c r="C1051" s="2" t="s">
        <v>782</v>
      </c>
      <c r="D1051" s="2" t="s">
        <v>3166</v>
      </c>
      <c r="E1051" s="1"/>
      <c r="F1051" s="2" t="s">
        <v>311</v>
      </c>
      <c r="G1051" s="2" t="s">
        <v>778</v>
      </c>
      <c r="H1051" s="2" t="s">
        <v>3167</v>
      </c>
    </row>
    <row r="1052" spans="1:8" ht="255" x14ac:dyDescent="0.25">
      <c r="A1052" s="1" t="str">
        <f>HYPERLINK("https://www.albertahealthservices.ca/findhealth/Service.aspx?serviceAtFacilityId=1046041","Indigenous Mental Health Program")</f>
        <v>Indigenous Mental Health Program</v>
      </c>
      <c r="B1052" s="1" t="s">
        <v>1020</v>
      </c>
      <c r="C1052" s="2" t="s">
        <v>3171</v>
      </c>
      <c r="D1052" s="2" t="s">
        <v>3169</v>
      </c>
      <c r="E1052" s="2" t="s">
        <v>3170</v>
      </c>
      <c r="F1052" s="2" t="s">
        <v>117</v>
      </c>
      <c r="G1052" s="2" t="s">
        <v>3168</v>
      </c>
      <c r="H1052" s="1"/>
    </row>
    <row r="1053" spans="1:8" ht="270" x14ac:dyDescent="0.25">
      <c r="A1053" s="1" t="str">
        <f>HYPERLINK("https://www.albertahealthservices.ca/findhealth/Service.aspx?serviceAtFacilityId=1104514","Designated Supportive Living Level 4 Dementia")</f>
        <v>Designated Supportive Living Level 4 Dementia</v>
      </c>
      <c r="B1053" s="1" t="s">
        <v>3174</v>
      </c>
      <c r="C1053" s="2" t="s">
        <v>31</v>
      </c>
      <c r="D1053" s="2" t="s">
        <v>3172</v>
      </c>
      <c r="E1053" s="1"/>
      <c r="F1053" s="2" t="s">
        <v>23</v>
      </c>
      <c r="G1053" s="2" t="s">
        <v>27</v>
      </c>
      <c r="H1053" s="2" t="s">
        <v>3173</v>
      </c>
    </row>
    <row r="1054" spans="1:8" ht="90" x14ac:dyDescent="0.25">
      <c r="A1054" s="1" t="str">
        <f>HYPERLINK("https://www.albertahealthservices.ca/findhealth/Service.aspx?serviceAtFacilityId=1111142","Addiction and Mental Health - Acute Inpatient Services, Adult")</f>
        <v>Addiction and Mental Health - Acute Inpatient Services, Adult</v>
      </c>
      <c r="B1054" s="1" t="s">
        <v>401</v>
      </c>
      <c r="C1054" s="2" t="s">
        <v>1311</v>
      </c>
      <c r="D1054" s="2" t="s">
        <v>3175</v>
      </c>
      <c r="E1054" s="1"/>
      <c r="F1054" s="2" t="s">
        <v>23</v>
      </c>
      <c r="G1054" s="2" t="s">
        <v>1307</v>
      </c>
      <c r="H1054" s="2" t="s">
        <v>3176</v>
      </c>
    </row>
    <row r="1055" spans="1:8" ht="210" x14ac:dyDescent="0.25">
      <c r="A1055" s="1" t="str">
        <f>HYPERLINK("https://www.albertahealthservices.ca/findhealth/Service.aspx?serviceAtFacilityId=1072806","Spiritual Care Services")</f>
        <v>Spiritual Care Services</v>
      </c>
      <c r="B1055" s="1" t="s">
        <v>197</v>
      </c>
      <c r="C1055" s="2" t="s">
        <v>971</v>
      </c>
      <c r="D1055" s="2" t="s">
        <v>3177</v>
      </c>
      <c r="E1055" s="1"/>
      <c r="F1055" s="2" t="s">
        <v>3178</v>
      </c>
      <c r="G1055" s="2" t="s">
        <v>968</v>
      </c>
      <c r="H1055" s="2" t="s">
        <v>3179</v>
      </c>
    </row>
    <row r="1056" spans="1:8" ht="270" x14ac:dyDescent="0.25">
      <c r="A1056" s="1" t="str">
        <f>HYPERLINK("https://www.albertahealthservices.ca/findhealth/Service.aspx?serviceAtFacilityId=1107570","School Health Services")</f>
        <v>School Health Services</v>
      </c>
      <c r="B1056" s="1" t="s">
        <v>2327</v>
      </c>
      <c r="C1056" s="2" t="s">
        <v>641</v>
      </c>
      <c r="D1056" s="2" t="s">
        <v>3180</v>
      </c>
      <c r="E1056" s="1"/>
      <c r="F1056" s="2" t="s">
        <v>3181</v>
      </c>
      <c r="G1056" s="2" t="s">
        <v>636</v>
      </c>
      <c r="H1056" s="2" t="s">
        <v>3182</v>
      </c>
    </row>
    <row r="1057" spans="1:8" ht="255" x14ac:dyDescent="0.25">
      <c r="A1057" s="1" t="str">
        <f>HYPERLINK("https://www.albertahealthservices.ca/findhealth/Service.aspx?serviceAtFacilityId=1104656","Designated Supportive Living Level 4 Dementia")</f>
        <v>Designated Supportive Living Level 4 Dementia</v>
      </c>
      <c r="B1057" s="1" t="s">
        <v>3185</v>
      </c>
      <c r="C1057" s="2" t="s">
        <v>43</v>
      </c>
      <c r="D1057" s="2" t="s">
        <v>3183</v>
      </c>
      <c r="E1057" s="1"/>
      <c r="F1057" s="2" t="s">
        <v>40</v>
      </c>
      <c r="G1057" s="2" t="s">
        <v>38</v>
      </c>
      <c r="H1057" s="2" t="s">
        <v>3184</v>
      </c>
    </row>
    <row r="1058" spans="1:8" ht="120" x14ac:dyDescent="0.25">
      <c r="A1058" s="1" t="str">
        <f>HYPERLINK("https://www.albertahealthservices.ca/findhealth/Service.aspx?serviceAtFacilityId=1116002","Spiritual Care Services")</f>
        <v>Spiritual Care Services</v>
      </c>
      <c r="B1058" s="1" t="s">
        <v>3188</v>
      </c>
      <c r="C1058" s="2" t="s">
        <v>453</v>
      </c>
      <c r="D1058" s="2" t="s">
        <v>3186</v>
      </c>
      <c r="E1058" s="1"/>
      <c r="F1058" s="1" t="s">
        <v>34</v>
      </c>
      <c r="G1058" s="2" t="s">
        <v>449</v>
      </c>
      <c r="H1058" s="2" t="s">
        <v>3187</v>
      </c>
    </row>
    <row r="1059" spans="1:8" ht="60" x14ac:dyDescent="0.25">
      <c r="A1059" s="1" t="str">
        <f>HYPERLINK("https://www.albertahealthservices.ca/findhealth/Service.aspx?serviceAtFacilityId=1111520","Addiction and Mental Health - Rural Police and Crisis Services, Adult")</f>
        <v>Addiction and Mental Health - Rural Police and Crisis Services, Adult</v>
      </c>
      <c r="B1059" s="1" t="s">
        <v>1364</v>
      </c>
      <c r="C1059" s="2" t="s">
        <v>3191</v>
      </c>
      <c r="D1059" s="2" t="s">
        <v>3190</v>
      </c>
      <c r="E1059" s="2" t="s">
        <v>1999</v>
      </c>
      <c r="F1059" s="2" t="s">
        <v>23</v>
      </c>
      <c r="G1059" s="2" t="s">
        <v>3189</v>
      </c>
      <c r="H1059" s="1"/>
    </row>
    <row r="1060" spans="1:8" ht="120" x14ac:dyDescent="0.25">
      <c r="A1060" s="1" t="str">
        <f>HYPERLINK("https://www.albertahealthservices.ca/findhealth/Service.aspx?serviceAtFacilityId=1112832","Addiction and Mental Health - Community Services, Child and Adolescent")</f>
        <v>Addiction and Mental Health - Community Services, Child and Adolescent</v>
      </c>
      <c r="B1060" s="1" t="s">
        <v>1795</v>
      </c>
      <c r="C1060" s="2" t="s">
        <v>292</v>
      </c>
      <c r="D1060" s="2" t="s">
        <v>3192</v>
      </c>
      <c r="E1060" s="2" t="s">
        <v>289</v>
      </c>
      <c r="F1060" s="1" t="s">
        <v>34</v>
      </c>
      <c r="G1060" s="2" t="s">
        <v>286</v>
      </c>
      <c r="H1060" s="2" t="s">
        <v>3193</v>
      </c>
    </row>
    <row r="1061" spans="1:8" ht="180" x14ac:dyDescent="0.25">
      <c r="A1061" s="1" t="str">
        <f>HYPERLINK("https://www.albertahealthservices.ca/findhealth/Service.aspx?serviceAtFacilityId=1104905","Mental Health Day Hospital")</f>
        <v>Mental Health Day Hospital</v>
      </c>
      <c r="B1061" s="1" t="s">
        <v>378</v>
      </c>
      <c r="C1061" s="2" t="s">
        <v>3196</v>
      </c>
      <c r="D1061" s="2" t="s">
        <v>3195</v>
      </c>
      <c r="E1061" s="1"/>
      <c r="F1061" s="2" t="s">
        <v>929</v>
      </c>
      <c r="G1061" s="2" t="s">
        <v>3194</v>
      </c>
      <c r="H1061" s="1"/>
    </row>
    <row r="1062" spans="1:8" ht="135" x14ac:dyDescent="0.25">
      <c r="A1062" s="1" t="str">
        <f>HYPERLINK("https://www.albertahealthservices.ca/findhealth/Service.aspx?serviceAtFacilityId=1087751","Lethbridge Youth Treatment Centre")</f>
        <v>Lethbridge Youth Treatment Centre</v>
      </c>
      <c r="B1062" s="1" t="s">
        <v>3199</v>
      </c>
      <c r="C1062" s="2" t="s">
        <v>3200</v>
      </c>
      <c r="D1062" s="2" t="s">
        <v>3198</v>
      </c>
      <c r="E1062" s="1"/>
      <c r="F1062" s="2" t="s">
        <v>311</v>
      </c>
      <c r="G1062" s="2" t="s">
        <v>3197</v>
      </c>
      <c r="H1062" s="1"/>
    </row>
    <row r="1063" spans="1:8" ht="180" x14ac:dyDescent="0.25">
      <c r="A1063" s="1" t="str">
        <f>HYPERLINK("https://www.albertahealthservices.ca/findhealth/Service.aspx?serviceAtFacilityId=1107489","Addiction Services - Prevention")</f>
        <v>Addiction Services - Prevention</v>
      </c>
      <c r="B1063" s="1" t="s">
        <v>629</v>
      </c>
      <c r="C1063" s="2" t="s">
        <v>635</v>
      </c>
      <c r="D1063" s="2" t="s">
        <v>2198</v>
      </c>
      <c r="E1063" s="1"/>
      <c r="F1063" s="2" t="s">
        <v>955</v>
      </c>
      <c r="G1063" s="2" t="s">
        <v>630</v>
      </c>
      <c r="H1063" s="2" t="s">
        <v>3201</v>
      </c>
    </row>
    <row r="1064" spans="1:8" ht="390" x14ac:dyDescent="0.25">
      <c r="A1064" s="1" t="str">
        <f>HYPERLINK("https://www.albertahealthservices.ca/findhealth/Service.aspx?serviceAtFacilityId=1115289","Community Helpers Program")</f>
        <v>Community Helpers Program</v>
      </c>
      <c r="B1064" s="1" t="s">
        <v>3204</v>
      </c>
      <c r="C1064" s="2" t="s">
        <v>120</v>
      </c>
      <c r="D1064" s="2" t="s">
        <v>3202</v>
      </c>
      <c r="E1064" s="1"/>
      <c r="F1064" s="2" t="s">
        <v>117</v>
      </c>
      <c r="G1064" s="2" t="s">
        <v>115</v>
      </c>
      <c r="H1064" s="2" t="s">
        <v>3203</v>
      </c>
    </row>
    <row r="1065" spans="1:8" ht="409.5" x14ac:dyDescent="0.25">
      <c r="A1065" s="1" t="str">
        <f>HYPERLINK("https://www.albertahealthservices.ca/findhealth/Service.aspx?serviceAtFacilityId=1004631","Continuing Care Counselling")</f>
        <v>Continuing Care Counselling</v>
      </c>
      <c r="B1065" s="1" t="s">
        <v>3207</v>
      </c>
      <c r="C1065" s="2" t="s">
        <v>163</v>
      </c>
      <c r="D1065" s="2" t="s">
        <v>3205</v>
      </c>
      <c r="E1065" s="1"/>
      <c r="F1065" s="2" t="s">
        <v>160</v>
      </c>
      <c r="G1065" s="2" t="s">
        <v>158</v>
      </c>
      <c r="H1065" s="2" t="s">
        <v>3206</v>
      </c>
    </row>
    <row r="1066" spans="1:8" ht="165" x14ac:dyDescent="0.25">
      <c r="A1066" s="1" t="str">
        <f>HYPERLINK("https://www.albertahealthservices.ca/findhealth/Service.aspx?serviceAtFacilityId=1102680","Exceptional Needs Program Service - Child and Adolescent Mental Health")</f>
        <v>Exceptional Needs Program Service - Child and Adolescent Mental Health</v>
      </c>
      <c r="B1066" s="1" t="s">
        <v>3209</v>
      </c>
      <c r="C1066" s="2" t="s">
        <v>1283</v>
      </c>
      <c r="D1066" s="2" t="s">
        <v>3208</v>
      </c>
      <c r="E1066" s="1"/>
      <c r="F1066" s="1" t="s">
        <v>34</v>
      </c>
      <c r="G1066" s="2" t="s">
        <v>1280</v>
      </c>
      <c r="H1066" s="1" t="s">
        <v>197</v>
      </c>
    </row>
    <row r="1067" spans="1:8" ht="135" x14ac:dyDescent="0.25">
      <c r="A1067" s="1" t="str">
        <f>HYPERLINK("https://www.albertahealthservices.ca/findhealth/Service.aspx?serviceAtFacilityId=1117405","Geriatrics - Inpatient Rehabilitation (Psychiatry)")</f>
        <v>Geriatrics - Inpatient Rehabilitation (Psychiatry)</v>
      </c>
      <c r="B1067" s="1" t="s">
        <v>216</v>
      </c>
      <c r="C1067" s="2" t="s">
        <v>3212</v>
      </c>
      <c r="D1067" s="2" t="s">
        <v>3211</v>
      </c>
      <c r="E1067" s="1"/>
      <c r="F1067" s="2" t="s">
        <v>23</v>
      </c>
      <c r="G1067" s="2" t="s">
        <v>3210</v>
      </c>
      <c r="H1067" s="1"/>
    </row>
    <row r="1068" spans="1:8" ht="225" x14ac:dyDescent="0.25">
      <c r="A1068" s="1" t="str">
        <f>HYPERLINK("https://www.albertahealthservices.ca/findhealth/Service.aspx?serviceAtFacilityId=4533","Occupational Therapy, Mental Health / Psychiatry Program")</f>
        <v>Occupational Therapy, Mental Health / Psychiatry Program</v>
      </c>
      <c r="B1068" s="1" t="s">
        <v>1141</v>
      </c>
      <c r="C1068" s="2" t="s">
        <v>3216</v>
      </c>
      <c r="D1068" s="2" t="s">
        <v>3214</v>
      </c>
      <c r="E1068" s="1"/>
      <c r="F1068" s="2" t="s">
        <v>3215</v>
      </c>
      <c r="G1068" s="2" t="s">
        <v>3213</v>
      </c>
      <c r="H1068" s="1"/>
    </row>
    <row r="1069" spans="1:8" ht="255" x14ac:dyDescent="0.25">
      <c r="A1069" s="1" t="str">
        <f>HYPERLINK("https://www.albertahealthservices.ca/findhealth/Service.aspx?serviceAtFacilityId=1102277","Walk In Counselling Services")</f>
        <v>Walk In Counselling Services</v>
      </c>
      <c r="B1069" s="1" t="s">
        <v>157</v>
      </c>
      <c r="C1069" s="2" t="s">
        <v>773</v>
      </c>
      <c r="D1069" s="2" t="s">
        <v>3217</v>
      </c>
      <c r="E1069" s="1"/>
      <c r="F1069" s="2" t="s">
        <v>3218</v>
      </c>
      <c r="G1069" s="2" t="s">
        <v>769</v>
      </c>
      <c r="H1069" s="2" t="s">
        <v>3219</v>
      </c>
    </row>
    <row r="1070" spans="1:8" ht="270" x14ac:dyDescent="0.25">
      <c r="A1070" s="1" t="str">
        <f>HYPERLINK("https://www.albertahealthservices.ca/findhealth/Service.aspx?serviceAtFacilityId=1104555","Designated Supportive Living Level 4 Dementia")</f>
        <v>Designated Supportive Living Level 4 Dementia</v>
      </c>
      <c r="B1070" s="1" t="s">
        <v>3222</v>
      </c>
      <c r="C1070" s="2" t="s">
        <v>31</v>
      </c>
      <c r="D1070" s="2" t="s">
        <v>3220</v>
      </c>
      <c r="E1070" s="1"/>
      <c r="F1070" s="2" t="s">
        <v>23</v>
      </c>
      <c r="G1070" s="2" t="s">
        <v>27</v>
      </c>
      <c r="H1070" s="2" t="s">
        <v>3221</v>
      </c>
    </row>
    <row r="1071" spans="1:8" ht="240" x14ac:dyDescent="0.25">
      <c r="A1071" s="1" t="str">
        <f>HYPERLINK("https://www.albertahealthservices.ca/findhealth/Service.aspx?serviceAtFacilityId=1116176","Spiritual Care")</f>
        <v>Spiritual Care</v>
      </c>
      <c r="B1071" s="1" t="s">
        <v>1602</v>
      </c>
      <c r="C1071" s="2" t="s">
        <v>613</v>
      </c>
      <c r="D1071" s="2" t="s">
        <v>3223</v>
      </c>
      <c r="E1071" s="1"/>
      <c r="F1071" s="2" t="s">
        <v>311</v>
      </c>
      <c r="G1071" s="2" t="s">
        <v>609</v>
      </c>
      <c r="H1071" s="2" t="s">
        <v>3224</v>
      </c>
    </row>
    <row r="1072" spans="1:8" ht="390" x14ac:dyDescent="0.25">
      <c r="A1072" s="1" t="str">
        <f>HYPERLINK("https://www.albertahealthservices.ca/findhealth/Service.aspx?serviceAtFacilityId=1104621","Designated Supportive Living Level 4 Dementia")</f>
        <v>Designated Supportive Living Level 4 Dementia</v>
      </c>
      <c r="B1072" s="1" t="s">
        <v>3227</v>
      </c>
      <c r="C1072" s="2" t="s">
        <v>31</v>
      </c>
      <c r="D1072" s="2" t="s">
        <v>3225</v>
      </c>
      <c r="E1072" s="1"/>
      <c r="F1072" s="2" t="s">
        <v>23</v>
      </c>
      <c r="G1072" s="2" t="s">
        <v>52</v>
      </c>
      <c r="H1072" s="2" t="s">
        <v>3226</v>
      </c>
    </row>
    <row r="1073" spans="1:8" ht="270" x14ac:dyDescent="0.25">
      <c r="A1073" s="1" t="str">
        <f>HYPERLINK("https://www.albertahealthservices.ca/findhealth/Service.aspx?serviceAtFacilityId=1115788","Addiction Services - Prevention")</f>
        <v>Addiction Services - Prevention</v>
      </c>
      <c r="B1073" s="1" t="s">
        <v>132</v>
      </c>
      <c r="C1073" s="2" t="s">
        <v>493</v>
      </c>
      <c r="D1073" s="2" t="s">
        <v>3228</v>
      </c>
      <c r="E1073" s="1"/>
      <c r="F1073" s="1" t="s">
        <v>34</v>
      </c>
      <c r="G1073" s="2" t="s">
        <v>489</v>
      </c>
      <c r="H1073" s="2" t="s">
        <v>3229</v>
      </c>
    </row>
    <row r="1074" spans="1:8" ht="150" x14ac:dyDescent="0.25">
      <c r="A1074" s="1" t="str">
        <f>HYPERLINK("https://www.albertahealthservices.ca/findhealth/Service.aspx?serviceAtFacilityId=1107510","Mental Health Capacity Building - Vermilion Is Being Empowered")</f>
        <v>Mental Health Capacity Building - Vermilion Is Being Empowered</v>
      </c>
      <c r="B1074" s="1" t="s">
        <v>3232</v>
      </c>
      <c r="C1074" s="2" t="s">
        <v>826</v>
      </c>
      <c r="D1074" s="2" t="s">
        <v>3230</v>
      </c>
      <c r="E1074" s="1"/>
      <c r="F1074" s="1" t="s">
        <v>34</v>
      </c>
      <c r="G1074" s="2" t="s">
        <v>821</v>
      </c>
      <c r="H1074" s="2" t="s">
        <v>3231</v>
      </c>
    </row>
    <row r="1075" spans="1:8" ht="345" x14ac:dyDescent="0.25">
      <c r="A1075" s="1" t="str">
        <f>HYPERLINK("https://www.albertahealthservices.ca/findhealth/Service.aspx?serviceAtFacilityId=1089284","Psychosocial Rehabilitation Services Adult Inpatient Program")</f>
        <v>Psychosocial Rehabilitation Services Adult Inpatient Program</v>
      </c>
      <c r="B1075" s="1" t="s">
        <v>552</v>
      </c>
      <c r="C1075" s="2" t="s">
        <v>3236</v>
      </c>
      <c r="D1075" s="2" t="s">
        <v>3234</v>
      </c>
      <c r="E1075" s="2" t="s">
        <v>3235</v>
      </c>
      <c r="F1075" s="2" t="s">
        <v>117</v>
      </c>
      <c r="G1075" s="2" t="s">
        <v>3233</v>
      </c>
      <c r="H1075" s="1"/>
    </row>
    <row r="1076" spans="1:8" ht="195" x14ac:dyDescent="0.25">
      <c r="A1076" s="1" t="str">
        <f>HYPERLINK("https://www.albertahealthservices.ca/findhealth/Service.aspx?serviceAtFacilityId=1107206","Building Blocks")</f>
        <v>Building Blocks</v>
      </c>
      <c r="B1076" s="1" t="s">
        <v>3188</v>
      </c>
      <c r="C1076" s="2" t="s">
        <v>991</v>
      </c>
      <c r="D1076" s="2" t="s">
        <v>3237</v>
      </c>
      <c r="E1076" s="2" t="s">
        <v>988</v>
      </c>
      <c r="F1076" s="2" t="s">
        <v>3238</v>
      </c>
      <c r="G1076" s="2" t="s">
        <v>985</v>
      </c>
      <c r="H1076" s="2" t="s">
        <v>3239</v>
      </c>
    </row>
    <row r="1077" spans="1:8" ht="270" x14ac:dyDescent="0.25">
      <c r="A1077" s="1" t="str">
        <f>HYPERLINK("https://www.albertahealthservices.ca/findhealth/Service.aspx?serviceAtFacilityId=1093997","Addiction Services - Prevention")</f>
        <v>Addiction Services - Prevention</v>
      </c>
      <c r="B1077" s="1" t="s">
        <v>1728</v>
      </c>
      <c r="C1077" s="2" t="s">
        <v>782</v>
      </c>
      <c r="D1077" s="2" t="s">
        <v>3240</v>
      </c>
      <c r="E1077" s="1"/>
      <c r="F1077" s="2" t="s">
        <v>220</v>
      </c>
      <c r="G1077" s="2" t="s">
        <v>778</v>
      </c>
      <c r="H1077" s="2" t="s">
        <v>3241</v>
      </c>
    </row>
    <row r="1078" spans="1:8" ht="390" x14ac:dyDescent="0.25">
      <c r="A1078" s="1" t="str">
        <f>HYPERLINK("https://www.albertahealthservices.ca/findhealth/Service.aspx?serviceAtFacilityId=1104580","Designated Supportive Living Level 4 Dementia")</f>
        <v>Designated Supportive Living Level 4 Dementia</v>
      </c>
      <c r="B1078" s="1" t="s">
        <v>3244</v>
      </c>
      <c r="C1078" s="2" t="s">
        <v>31</v>
      </c>
      <c r="D1078" s="2" t="s">
        <v>3242</v>
      </c>
      <c r="E1078" s="1"/>
      <c r="F1078" s="2" t="s">
        <v>23</v>
      </c>
      <c r="G1078" s="2" t="s">
        <v>52</v>
      </c>
      <c r="H1078" s="2" t="s">
        <v>3243</v>
      </c>
    </row>
    <row r="1079" spans="1:8" ht="409.5" x14ac:dyDescent="0.25">
      <c r="A1079" s="1" t="str">
        <f>HYPERLINK("https://www.albertahealthservices.ca/findhealth/Service.aspx?serviceAtFacilityId=1108524","Provincial Family Violence Treatment Program")</f>
        <v>Provincial Family Violence Treatment Program</v>
      </c>
      <c r="B1079" s="1" t="s">
        <v>3247</v>
      </c>
      <c r="C1079" s="2" t="s">
        <v>232</v>
      </c>
      <c r="D1079" s="2" t="s">
        <v>3245</v>
      </c>
      <c r="E1079" s="1"/>
      <c r="F1079" s="1" t="s">
        <v>34</v>
      </c>
      <c r="G1079" s="2" t="s">
        <v>227</v>
      </c>
      <c r="H1079" s="2" t="s">
        <v>3246</v>
      </c>
    </row>
    <row r="1080" spans="1:8" ht="409.5" x14ac:dyDescent="0.25">
      <c r="A1080" s="1" t="str">
        <f>HYPERLINK("https://www.albertahealthservices.ca/findhealth/Service.aspx?serviceAtFacilityId=1001826","Continuing Care Counselling")</f>
        <v>Continuing Care Counselling</v>
      </c>
      <c r="B1080" s="1" t="s">
        <v>3250</v>
      </c>
      <c r="C1080" s="2" t="s">
        <v>163</v>
      </c>
      <c r="D1080" s="2" t="s">
        <v>3248</v>
      </c>
      <c r="E1080" s="1"/>
      <c r="F1080" s="2" t="s">
        <v>486</v>
      </c>
      <c r="G1080" s="2" t="s">
        <v>158</v>
      </c>
      <c r="H1080" s="2" t="s">
        <v>3249</v>
      </c>
    </row>
    <row r="1081" spans="1:8" ht="409.5" x14ac:dyDescent="0.25">
      <c r="A1081" s="1" t="str">
        <f>HYPERLINK("https://www.albertahealthservices.ca/findhealth/Service.aspx?serviceAtFacilityId=1119055","School Health Program")</f>
        <v>School Health Program</v>
      </c>
      <c r="B1081" s="1" t="s">
        <v>188</v>
      </c>
      <c r="C1081" s="2" t="s">
        <v>204</v>
      </c>
      <c r="D1081" s="2" t="s">
        <v>3251</v>
      </c>
      <c r="E1081" s="1"/>
      <c r="F1081" s="2" t="s">
        <v>201</v>
      </c>
      <c r="G1081" s="2" t="s">
        <v>199</v>
      </c>
      <c r="H1081" s="2" t="s">
        <v>3252</v>
      </c>
    </row>
    <row r="1082" spans="1:8" ht="195" x14ac:dyDescent="0.25">
      <c r="A1082" s="1" t="str">
        <f>HYPERLINK("https://www.albertahealthservices.ca/findhealth/Service.aspx?serviceAtFacilityId=1111383","Addiction and Mental Health - Acute Inpatient Intensive Care Services, Adult")</f>
        <v>Addiction and Mental Health - Acute Inpatient Intensive Care Services, Adult</v>
      </c>
      <c r="B1082" s="1" t="s">
        <v>57</v>
      </c>
      <c r="C1082" s="2" t="s">
        <v>2777</v>
      </c>
      <c r="D1082" s="2" t="s">
        <v>3253</v>
      </c>
      <c r="E1082" s="1"/>
      <c r="F1082" s="2" t="s">
        <v>23</v>
      </c>
      <c r="G1082" s="2" t="s">
        <v>2775</v>
      </c>
      <c r="H1082" s="1" t="s">
        <v>1141</v>
      </c>
    </row>
    <row r="1083" spans="1:8" ht="409.5" x14ac:dyDescent="0.25">
      <c r="A1083" s="1" t="str">
        <f>HYPERLINK("https://www.albertahealthservices.ca/findhealth/Service.aspx?serviceAtFacilityId=1004622","Continuing Care Counselling")</f>
        <v>Continuing Care Counselling</v>
      </c>
      <c r="B1083" s="1" t="s">
        <v>1828</v>
      </c>
      <c r="C1083" s="2" t="s">
        <v>163</v>
      </c>
      <c r="D1083" s="2" t="s">
        <v>3254</v>
      </c>
      <c r="E1083" s="1"/>
      <c r="F1083" s="2" t="s">
        <v>160</v>
      </c>
      <c r="G1083" s="2" t="s">
        <v>158</v>
      </c>
      <c r="H1083" s="2" t="s">
        <v>3255</v>
      </c>
    </row>
    <row r="1084" spans="1:8" ht="135" x14ac:dyDescent="0.25">
      <c r="A1084" s="1" t="str">
        <f>HYPERLINK("https://www.albertahealthservices.ca/findhealth/Service.aspx?serviceAtFacilityId=1116870","Addiction and Mental Health - Diversion Services")</f>
        <v>Addiction and Mental Health - Diversion Services</v>
      </c>
      <c r="B1084" s="1" t="s">
        <v>242</v>
      </c>
      <c r="C1084" s="2" t="s">
        <v>154</v>
      </c>
      <c r="D1084" s="2" t="s">
        <v>3256</v>
      </c>
      <c r="E1084" s="2" t="s">
        <v>152</v>
      </c>
      <c r="F1084" s="2" t="s">
        <v>311</v>
      </c>
      <c r="G1084" s="2" t="s">
        <v>149</v>
      </c>
      <c r="H1084" s="2" t="s">
        <v>3257</v>
      </c>
    </row>
    <row r="1085" spans="1:8" ht="105" x14ac:dyDescent="0.25">
      <c r="A1085" s="1" t="str">
        <f>HYPERLINK("https://www.albertahealthservices.ca/findhealth/Service.aspx?serviceAtFacilityId=1111366","Addiction and Mental Health - Outpatient Psychiatry Rehabilitation Services, Adult")</f>
        <v>Addiction and Mental Health - Outpatient Psychiatry Rehabilitation Services, Adult</v>
      </c>
      <c r="B1085" s="1" t="s">
        <v>401</v>
      </c>
      <c r="C1085" s="2" t="s">
        <v>3260</v>
      </c>
      <c r="D1085" s="2" t="s">
        <v>3259</v>
      </c>
      <c r="E1085" s="1"/>
      <c r="F1085" s="1" t="s">
        <v>34</v>
      </c>
      <c r="G1085" s="2" t="s">
        <v>3258</v>
      </c>
      <c r="H1085" s="1"/>
    </row>
    <row r="1086" spans="1:8" ht="345" x14ac:dyDescent="0.25">
      <c r="A1086" s="1" t="str">
        <f>HYPERLINK("https://www.albertahealthservices.ca/findhealth/Service.aspx?serviceAtFacilityId=1040105","Sexual and Reproductive Health - Clinical Services")</f>
        <v>Sexual and Reproductive Health - Clinical Services</v>
      </c>
      <c r="B1086" s="1" t="s">
        <v>1020</v>
      </c>
      <c r="C1086" s="2" t="s">
        <v>905</v>
      </c>
      <c r="D1086" s="2" t="s">
        <v>3261</v>
      </c>
      <c r="E1086" s="2" t="s">
        <v>903</v>
      </c>
      <c r="F1086" s="2" t="s">
        <v>3262</v>
      </c>
      <c r="G1086" s="2" t="s">
        <v>900</v>
      </c>
      <c r="H1086" s="2" t="s">
        <v>3263</v>
      </c>
    </row>
    <row r="1087" spans="1:8" ht="270" x14ac:dyDescent="0.25">
      <c r="A1087" s="1" t="str">
        <f>HYPERLINK("https://www.albertahealthservices.ca/findhealth/Service.aspx?serviceAtFacilityId=1107556","School Health Services")</f>
        <v>School Health Services</v>
      </c>
      <c r="B1087" s="1" t="s">
        <v>3266</v>
      </c>
      <c r="C1087" s="2" t="s">
        <v>641</v>
      </c>
      <c r="D1087" s="2" t="s">
        <v>3264</v>
      </c>
      <c r="E1087" s="1"/>
      <c r="F1087" s="2" t="s">
        <v>818</v>
      </c>
      <c r="G1087" s="2" t="s">
        <v>636</v>
      </c>
      <c r="H1087" s="2" t="s">
        <v>3265</v>
      </c>
    </row>
    <row r="1088" spans="1:8" ht="270" x14ac:dyDescent="0.25">
      <c r="A1088" s="1" t="str">
        <f>HYPERLINK("https://www.albertahealthservices.ca/findhealth/Service.aspx?serviceAtFacilityId=1115701","Addiction Services - Prevention")</f>
        <v>Addiction Services - Prevention</v>
      </c>
      <c r="B1088" s="1" t="s">
        <v>470</v>
      </c>
      <c r="C1088" s="2" t="s">
        <v>493</v>
      </c>
      <c r="D1088" s="2" t="s">
        <v>3267</v>
      </c>
      <c r="E1088" s="1"/>
      <c r="F1088" s="2" t="s">
        <v>311</v>
      </c>
      <c r="G1088" s="2" t="s">
        <v>489</v>
      </c>
      <c r="H1088" s="2" t="s">
        <v>3268</v>
      </c>
    </row>
    <row r="1089" spans="1:8" ht="390" x14ac:dyDescent="0.25">
      <c r="A1089" s="1" t="str">
        <f>HYPERLINK("https://www.albertahealthservices.ca/findhealth/Service.aspx?serviceAtFacilityId=1104596","Designated Supportive Living Level 4 Dementia")</f>
        <v>Designated Supportive Living Level 4 Dementia</v>
      </c>
      <c r="B1089" s="1" t="s">
        <v>3271</v>
      </c>
      <c r="C1089" s="2" t="s">
        <v>31</v>
      </c>
      <c r="D1089" s="2" t="s">
        <v>3269</v>
      </c>
      <c r="E1089" s="1"/>
      <c r="F1089" s="2" t="s">
        <v>23</v>
      </c>
      <c r="G1089" s="2" t="s">
        <v>52</v>
      </c>
      <c r="H1089" s="2" t="s">
        <v>3270</v>
      </c>
    </row>
    <row r="1090" spans="1:8" ht="195" x14ac:dyDescent="0.25">
      <c r="A1090" s="1" t="str">
        <f>HYPERLINK("https://www.albertahealthservices.ca/findhealth/Service.aspx?serviceAtFacilityId=1104301","Mental Health Diversion Program")</f>
        <v>Mental Health Diversion Program</v>
      </c>
      <c r="B1090" s="1" t="s">
        <v>394</v>
      </c>
      <c r="C1090" s="2" t="s">
        <v>1130</v>
      </c>
      <c r="D1090" s="2" t="s">
        <v>3272</v>
      </c>
      <c r="E1090" s="1"/>
      <c r="F1090" s="2" t="s">
        <v>392</v>
      </c>
      <c r="G1090" s="2" t="s">
        <v>1128</v>
      </c>
      <c r="H1090" s="2" t="s">
        <v>3273</v>
      </c>
    </row>
    <row r="1091" spans="1:8" ht="135" x14ac:dyDescent="0.25">
      <c r="A1091" s="1" t="str">
        <f>HYPERLINK("https://www.albertahealthservices.ca/findhealth/Service.aspx?serviceAtFacilityId=1109724","Addiction Services - Adult Day Treatment")</f>
        <v>Addiction Services - Adult Day Treatment</v>
      </c>
      <c r="B1091" s="1" t="s">
        <v>87</v>
      </c>
      <c r="C1091" s="2" t="s">
        <v>3275</v>
      </c>
      <c r="D1091" s="2" t="s">
        <v>85</v>
      </c>
      <c r="E1091" s="1"/>
      <c r="F1091" s="2" t="s">
        <v>311</v>
      </c>
      <c r="G1091" s="2" t="s">
        <v>3274</v>
      </c>
      <c r="H1091" s="1"/>
    </row>
    <row r="1092" spans="1:8" ht="240" x14ac:dyDescent="0.25">
      <c r="A1092" s="1" t="str">
        <f>HYPERLINK("https://www.albertahealthservices.ca/findhealth/Service.aspx?serviceAtFacilityId=1048711","Spiritual Care")</f>
        <v>Spiritual Care</v>
      </c>
      <c r="B1092" s="1" t="s">
        <v>3279</v>
      </c>
      <c r="C1092" s="2" t="s">
        <v>613</v>
      </c>
      <c r="D1092" s="2" t="s">
        <v>3276</v>
      </c>
      <c r="E1092" s="1"/>
      <c r="F1092" s="2" t="s">
        <v>3277</v>
      </c>
      <c r="G1092" s="2" t="s">
        <v>609</v>
      </c>
      <c r="H1092" s="2" t="s">
        <v>3278</v>
      </c>
    </row>
    <row r="1093" spans="1:8" ht="345" x14ac:dyDescent="0.25">
      <c r="A1093" s="1" t="str">
        <f>HYPERLINK("https://www.albertahealthservices.ca/findhealth/Service.aspx?serviceAtFacilityId=1104480","Designated Supportive Living Level 4 Dementia")</f>
        <v>Designated Supportive Living Level 4 Dementia</v>
      </c>
      <c r="B1093" s="1" t="s">
        <v>3282</v>
      </c>
      <c r="C1093" s="2" t="s">
        <v>31</v>
      </c>
      <c r="D1093" s="2" t="s">
        <v>3280</v>
      </c>
      <c r="E1093" s="1"/>
      <c r="F1093" s="2" t="s">
        <v>23</v>
      </c>
      <c r="G1093" s="2" t="s">
        <v>182</v>
      </c>
      <c r="H1093" s="2" t="s">
        <v>3281</v>
      </c>
    </row>
    <row r="1094" spans="1:8" ht="270" x14ac:dyDescent="0.25">
      <c r="A1094" s="1" t="str">
        <f>HYPERLINK("https://www.albertahealthservices.ca/findhealth/Service.aspx?serviceAtFacilityId=1115786","Addiction Services - Prevention")</f>
        <v>Addiction Services - Prevention</v>
      </c>
      <c r="B1094" s="1" t="s">
        <v>1083</v>
      </c>
      <c r="C1094" s="2" t="s">
        <v>493</v>
      </c>
      <c r="D1094" s="2" t="s">
        <v>3283</v>
      </c>
      <c r="E1094" s="1"/>
      <c r="F1094" s="2" t="s">
        <v>311</v>
      </c>
      <c r="G1094" s="2" t="s">
        <v>489</v>
      </c>
      <c r="H1094" s="2" t="s">
        <v>3284</v>
      </c>
    </row>
    <row r="1095" spans="1:8" ht="409.5" x14ac:dyDescent="0.25">
      <c r="A1095" s="1" t="str">
        <f>HYPERLINK("https://www.albertahealthservices.ca/findhealth/Service.aspx?serviceAtFacilityId=1102304","Adult Mental Health Treatment Services")</f>
        <v>Adult Mental Health Treatment Services</v>
      </c>
      <c r="B1095" s="1" t="s">
        <v>1001</v>
      </c>
      <c r="C1095" s="2" t="s">
        <v>125</v>
      </c>
      <c r="D1095" s="2" t="s">
        <v>999</v>
      </c>
      <c r="E1095" s="1"/>
      <c r="F1095" s="1" t="s">
        <v>34</v>
      </c>
      <c r="G1095" s="2" t="s">
        <v>121</v>
      </c>
      <c r="H1095" s="2" t="s">
        <v>3285</v>
      </c>
    </row>
    <row r="1096" spans="1:8" ht="409.5" x14ac:dyDescent="0.25">
      <c r="A1096" s="1" t="str">
        <f>HYPERLINK("https://www.albertahealthservices.ca/findhealth/Service.aspx?serviceAtFacilityId=1039023","Mental Health Services")</f>
        <v>Mental Health Services</v>
      </c>
      <c r="B1096" s="1" t="s">
        <v>342</v>
      </c>
      <c r="C1096" s="2" t="s">
        <v>98</v>
      </c>
      <c r="D1096" s="2" t="s">
        <v>3286</v>
      </c>
      <c r="E1096" s="1"/>
      <c r="F1096" s="2" t="s">
        <v>716</v>
      </c>
      <c r="G1096" s="2" t="s">
        <v>94</v>
      </c>
      <c r="H1096" s="2" t="s">
        <v>3287</v>
      </c>
    </row>
    <row r="1097" spans="1:8" ht="409.5" x14ac:dyDescent="0.25">
      <c r="A1097" s="1" t="str">
        <f>HYPERLINK("https://www.albertahealthservices.ca/findhealth/Service.aspx?serviceAtFacilityId=1118998","School Health Program")</f>
        <v>School Health Program</v>
      </c>
      <c r="B1097" s="1" t="s">
        <v>1320</v>
      </c>
      <c r="C1097" s="2" t="s">
        <v>204</v>
      </c>
      <c r="D1097" s="2" t="s">
        <v>3288</v>
      </c>
      <c r="E1097" s="1"/>
      <c r="F1097" s="2" t="s">
        <v>201</v>
      </c>
      <c r="G1097" s="2" t="s">
        <v>199</v>
      </c>
      <c r="H1097" s="2" t="s">
        <v>3289</v>
      </c>
    </row>
    <row r="1098" spans="1:8" ht="75" x14ac:dyDescent="0.25">
      <c r="A1098" s="1" t="str">
        <f>HYPERLINK("https://www.albertahealthservices.ca/findhealth/Service.aspx?serviceAtFacilityId=1111935","Addiction and Mental Health - Inpatient Intensive Care Services, Adult")</f>
        <v>Addiction and Mental Health - Inpatient Intensive Care Services, Adult</v>
      </c>
      <c r="B1098" s="1" t="s">
        <v>57</v>
      </c>
      <c r="C1098" s="2" t="s">
        <v>3290</v>
      </c>
      <c r="D1098" s="2" t="s">
        <v>2333</v>
      </c>
      <c r="E1098" s="1"/>
      <c r="F1098" s="1" t="s">
        <v>34</v>
      </c>
      <c r="G1098" s="1"/>
      <c r="H1098" s="1"/>
    </row>
    <row r="1099" spans="1:8" ht="210" x14ac:dyDescent="0.25">
      <c r="A1099" s="1" t="str">
        <f>HYPERLINK("https://www.albertahealthservices.ca/findhealth/Service.aspx?serviceAtFacilityId=1069915","Community Care Access")</f>
        <v>Community Care Access</v>
      </c>
      <c r="B1099" s="1" t="s">
        <v>1265</v>
      </c>
      <c r="C1099" s="2" t="s">
        <v>3294</v>
      </c>
      <c r="D1099" s="2" t="s">
        <v>3292</v>
      </c>
      <c r="E1099" s="1"/>
      <c r="F1099" s="2" t="s">
        <v>3293</v>
      </c>
      <c r="G1099" s="2" t="s">
        <v>3291</v>
      </c>
      <c r="H1099" s="1"/>
    </row>
    <row r="1100" spans="1:8" ht="409.5" x14ac:dyDescent="0.25">
      <c r="A1100" s="1" t="str">
        <f>HYPERLINK("https://www.albertahealthservices.ca/findhealth/Service.aspx?serviceAtFacilityId=1102306","Adult Mental Health Treatment Services")</f>
        <v>Adult Mental Health Treatment Services</v>
      </c>
      <c r="B1100" s="1" t="s">
        <v>840</v>
      </c>
      <c r="C1100" s="2" t="s">
        <v>125</v>
      </c>
      <c r="D1100" s="2" t="s">
        <v>3295</v>
      </c>
      <c r="E1100" s="1"/>
      <c r="F1100" s="2" t="s">
        <v>3296</v>
      </c>
      <c r="G1100" s="2" t="s">
        <v>121</v>
      </c>
      <c r="H1100" s="2" t="s">
        <v>3297</v>
      </c>
    </row>
    <row r="1101" spans="1:8" ht="409.5" x14ac:dyDescent="0.25">
      <c r="A1101" s="1" t="str">
        <f>HYPERLINK("https://www.albertahealthservices.ca/findhealth/Service.aspx?serviceAtFacilityId=1046806","Therapeutic Recreation Services")</f>
        <v>Therapeutic Recreation Services</v>
      </c>
      <c r="B1101" s="1" t="s">
        <v>42</v>
      </c>
      <c r="C1101" s="2" t="s">
        <v>37</v>
      </c>
      <c r="D1101" s="2" t="s">
        <v>3298</v>
      </c>
      <c r="E1101" s="1"/>
      <c r="F1101" s="1" t="s">
        <v>34</v>
      </c>
      <c r="G1101" s="2" t="s">
        <v>32</v>
      </c>
      <c r="H1101" s="2" t="s">
        <v>3299</v>
      </c>
    </row>
    <row r="1102" spans="1:8" ht="409.5" x14ac:dyDescent="0.25">
      <c r="A1102" s="1" t="str">
        <f>HYPERLINK("https://www.albertahealthservices.ca/findhealth/Service.aspx?serviceAtFacilityId=1094127","Mental Health Services")</f>
        <v>Mental Health Services</v>
      </c>
      <c r="B1102" s="1" t="s">
        <v>585</v>
      </c>
      <c r="C1102" s="2" t="s">
        <v>98</v>
      </c>
      <c r="D1102" s="2" t="s">
        <v>3300</v>
      </c>
      <c r="E1102" s="1"/>
      <c r="F1102" s="2" t="s">
        <v>201</v>
      </c>
      <c r="G1102" s="2" t="s">
        <v>94</v>
      </c>
      <c r="H1102" s="2" t="s">
        <v>3301</v>
      </c>
    </row>
    <row r="1103" spans="1:8" ht="409.5" x14ac:dyDescent="0.25">
      <c r="A1103" s="1" t="str">
        <f>HYPERLINK("https://www.albertahealthservices.ca/findhealth/Service.aspx?serviceAtFacilityId=1109722","Provincial Family Violence Treatment Program")</f>
        <v>Provincial Family Violence Treatment Program</v>
      </c>
      <c r="B1103" s="1" t="s">
        <v>3305</v>
      </c>
      <c r="C1103" s="2" t="s">
        <v>232</v>
      </c>
      <c r="D1103" s="2" t="s">
        <v>3302</v>
      </c>
      <c r="E1103" s="1"/>
      <c r="F1103" s="2" t="s">
        <v>3303</v>
      </c>
      <c r="G1103" s="2" t="s">
        <v>227</v>
      </c>
      <c r="H1103" s="2" t="s">
        <v>3304</v>
      </c>
    </row>
    <row r="1104" spans="1:8" ht="405" x14ac:dyDescent="0.25">
      <c r="A1104" s="1" t="str">
        <f>HYPERLINK("https://www.albertahealthservices.ca/findhealth/Service.aspx?serviceAtFacilityId=1115918","Community Addiction &amp; Mental Health - Adult &amp; Youth Services")</f>
        <v>Community Addiction &amp; Mental Health - Adult &amp; Youth Services</v>
      </c>
      <c r="B1104" s="1" t="s">
        <v>762</v>
      </c>
      <c r="C1104" s="2" t="s">
        <v>133</v>
      </c>
      <c r="D1104" s="2" t="s">
        <v>3306</v>
      </c>
      <c r="E1104" s="1"/>
      <c r="F1104" s="2" t="s">
        <v>311</v>
      </c>
      <c r="G1104" s="2" t="s">
        <v>129</v>
      </c>
      <c r="H1104" s="2" t="s">
        <v>3307</v>
      </c>
    </row>
    <row r="1105" spans="1:8" ht="409.5" x14ac:dyDescent="0.25">
      <c r="A1105" s="1" t="str">
        <f>HYPERLINK("https://www.albertahealthservices.ca/findhealth/Service.aspx?serviceAtFacilityId=1108530","Provincial Family Violence Treatment Program")</f>
        <v>Provincial Family Violence Treatment Program</v>
      </c>
      <c r="B1105" s="1" t="s">
        <v>431</v>
      </c>
      <c r="C1105" s="2" t="s">
        <v>232</v>
      </c>
      <c r="D1105" s="2" t="s">
        <v>3308</v>
      </c>
      <c r="E1105" s="1"/>
      <c r="F1105" s="1" t="s">
        <v>34</v>
      </c>
      <c r="G1105" s="2" t="s">
        <v>227</v>
      </c>
      <c r="H1105" s="2" t="s">
        <v>3309</v>
      </c>
    </row>
    <row r="1106" spans="1:8" ht="180" x14ac:dyDescent="0.25">
      <c r="A1106" s="1" t="str">
        <f>HYPERLINK("https://www.albertahealthservices.ca/findhealth/Service.aspx?serviceAtFacilityId=1116326","Oncology And Sexuality, Intimacy and Survivorship Program")</f>
        <v>Oncology And Sexuality, Intimacy and Survivorship Program</v>
      </c>
      <c r="B1106" s="1" t="s">
        <v>2803</v>
      </c>
      <c r="C1106" s="2" t="s">
        <v>596</v>
      </c>
      <c r="D1106" s="2" t="s">
        <v>3310</v>
      </c>
      <c r="E1106" s="1"/>
      <c r="F1106" s="1" t="s">
        <v>34</v>
      </c>
      <c r="G1106" s="2" t="s">
        <v>592</v>
      </c>
      <c r="H1106" s="2" t="s">
        <v>3311</v>
      </c>
    </row>
    <row r="1107" spans="1:8" ht="225" x14ac:dyDescent="0.25">
      <c r="A1107" s="1" t="str">
        <f>HYPERLINK("https://www.albertahealthservices.ca/findhealth/Service.aspx?serviceAtFacilityId=1111337","Addiction and Mental Health - Suburban Community Assessment and Treatment Services, Adult")</f>
        <v>Addiction and Mental Health - Suburban Community Assessment and Treatment Services, Adult</v>
      </c>
      <c r="B1107" s="1" t="s">
        <v>2195</v>
      </c>
      <c r="C1107" s="2" t="s">
        <v>145</v>
      </c>
      <c r="D1107" s="2" t="s">
        <v>2192</v>
      </c>
      <c r="E1107" s="1"/>
      <c r="F1107" s="2" t="s">
        <v>142</v>
      </c>
      <c r="G1107" s="2" t="s">
        <v>140</v>
      </c>
      <c r="H1107" s="2" t="s">
        <v>3312</v>
      </c>
    </row>
    <row r="1108" spans="1:8" ht="375" x14ac:dyDescent="0.25">
      <c r="A1108" s="1" t="str">
        <f>HYPERLINK("https://www.albertahealthservices.ca/findhealth/Service.aspx?serviceAtFacilityId=1102324","Mental Health Information, Promotion and Prevention")</f>
        <v>Mental Health Information, Promotion and Prevention</v>
      </c>
      <c r="B1108" s="1" t="s">
        <v>203</v>
      </c>
      <c r="C1108" s="2" t="s">
        <v>20</v>
      </c>
      <c r="D1108" s="2" t="s">
        <v>3313</v>
      </c>
      <c r="E1108" s="2" t="s">
        <v>17</v>
      </c>
      <c r="F1108" s="1" t="s">
        <v>34</v>
      </c>
      <c r="G1108" s="2" t="s">
        <v>14</v>
      </c>
      <c r="H1108" s="2" t="s">
        <v>3314</v>
      </c>
    </row>
    <row r="1109" spans="1:8" ht="375" x14ac:dyDescent="0.25">
      <c r="A1109" s="1" t="str">
        <f>HYPERLINK("https://www.albertahealthservices.ca/findhealth/Service.aspx?serviceAtFacilityId=1102338","Mental Health Information, Promotion and Prevention")</f>
        <v>Mental Health Information, Promotion and Prevention</v>
      </c>
      <c r="B1109" s="1" t="s">
        <v>97</v>
      </c>
      <c r="C1109" s="2" t="s">
        <v>20</v>
      </c>
      <c r="D1109" s="2" t="s">
        <v>95</v>
      </c>
      <c r="E1109" s="2" t="s">
        <v>17</v>
      </c>
      <c r="F1109" s="1" t="s">
        <v>34</v>
      </c>
      <c r="G1109" s="2" t="s">
        <v>14</v>
      </c>
      <c r="H1109" s="2" t="s">
        <v>3315</v>
      </c>
    </row>
    <row r="1110" spans="1:8" ht="409.5" x14ac:dyDescent="0.25">
      <c r="A1110" s="1" t="str">
        <f>HYPERLINK("https://www.albertahealthservices.ca/findhealth/Service.aspx?serviceAtFacilityId=1050412","Therapeutic Recreation Services")</f>
        <v>Therapeutic Recreation Services</v>
      </c>
      <c r="B1110" s="1" t="s">
        <v>3318</v>
      </c>
      <c r="C1110" s="2" t="s">
        <v>37</v>
      </c>
      <c r="D1110" s="2" t="s">
        <v>3316</v>
      </c>
      <c r="E1110" s="1"/>
      <c r="F1110" s="1" t="s">
        <v>34</v>
      </c>
      <c r="G1110" s="2" t="s">
        <v>32</v>
      </c>
      <c r="H1110" s="2" t="s">
        <v>3317</v>
      </c>
    </row>
    <row r="1111" spans="1:8" ht="409.5" x14ac:dyDescent="0.25">
      <c r="A1111" s="1" t="str">
        <f>HYPERLINK("https://www.albertahealthservices.ca/findhealth/Service.aspx?serviceAtFacilityId=1046259","Mental Health Services")</f>
        <v>Mental Health Services</v>
      </c>
      <c r="B1111" s="1" t="s">
        <v>1768</v>
      </c>
      <c r="C1111" s="2" t="s">
        <v>98</v>
      </c>
      <c r="D1111" s="2" t="s">
        <v>3319</v>
      </c>
      <c r="E1111" s="1"/>
      <c r="F1111" s="2" t="s">
        <v>3320</v>
      </c>
      <c r="G1111" s="2" t="s">
        <v>94</v>
      </c>
      <c r="H1111" s="2" t="s">
        <v>3321</v>
      </c>
    </row>
    <row r="1112" spans="1:8" ht="409.5" x14ac:dyDescent="0.25">
      <c r="A1112" s="1" t="str">
        <f>HYPERLINK("https://www.albertahealthservices.ca/findhealth/Service.aspx?serviceAtFacilityId=1102501","Eating Disorder Services")</f>
        <v>Eating Disorder Services</v>
      </c>
      <c r="B1112" s="1" t="s">
        <v>1206</v>
      </c>
      <c r="C1112" s="2" t="s">
        <v>212</v>
      </c>
      <c r="D1112" s="2" t="s">
        <v>3322</v>
      </c>
      <c r="E1112" s="1"/>
      <c r="F1112" s="1" t="s">
        <v>34</v>
      </c>
      <c r="G1112" s="2" t="s">
        <v>209</v>
      </c>
      <c r="H1112" s="2" t="s">
        <v>3323</v>
      </c>
    </row>
    <row r="1113" spans="1:8" ht="375" x14ac:dyDescent="0.25">
      <c r="A1113" s="1" t="str">
        <f>HYPERLINK("https://www.albertahealthservices.ca/findhealth/Service.aspx?serviceAtFacilityId=1102343","Mental Health Information, Promotion and Prevention")</f>
        <v>Mental Health Information, Promotion and Prevention</v>
      </c>
      <c r="B1113" s="1" t="s">
        <v>1101</v>
      </c>
      <c r="C1113" s="2" t="s">
        <v>20</v>
      </c>
      <c r="D1113" s="2" t="s">
        <v>1706</v>
      </c>
      <c r="E1113" s="2" t="s">
        <v>17</v>
      </c>
      <c r="F1113" s="1" t="s">
        <v>34</v>
      </c>
      <c r="G1113" s="2" t="s">
        <v>14</v>
      </c>
      <c r="H1113" s="2" t="s">
        <v>3324</v>
      </c>
    </row>
    <row r="1114" spans="1:8" ht="105" x14ac:dyDescent="0.25">
      <c r="A1114" s="1" t="str">
        <f>HYPERLINK("https://www.albertahealthservices.ca/findhealth/Service.aspx?serviceAtFacilityId=1111136","Addiction and Mental Health - Inner City Services, Adult")</f>
        <v>Addiction and Mental Health - Inner City Services, Adult</v>
      </c>
      <c r="B1114" s="1" t="s">
        <v>221</v>
      </c>
      <c r="C1114" s="2" t="s">
        <v>1579</v>
      </c>
      <c r="D1114" s="2" t="s">
        <v>3325</v>
      </c>
      <c r="E1114" s="2" t="s">
        <v>1576</v>
      </c>
      <c r="F1114" s="2" t="s">
        <v>220</v>
      </c>
      <c r="G1114" s="2" t="s">
        <v>1574</v>
      </c>
      <c r="H1114" s="2" t="s">
        <v>3326</v>
      </c>
    </row>
    <row r="1115" spans="1:8" ht="105" x14ac:dyDescent="0.25">
      <c r="A1115" s="1" t="str">
        <f>HYPERLINK("https://www.albertahealthservices.ca/findhealth/Service.aspx?serviceAtFacilityId=1119393","Mental Health Capacity Building - Aim For Success")</f>
        <v>Mental Health Capacity Building - Aim For Success</v>
      </c>
      <c r="B1115" s="1" t="s">
        <v>3329</v>
      </c>
      <c r="C1115" s="2" t="s">
        <v>477</v>
      </c>
      <c r="D1115" s="2" t="s">
        <v>3327</v>
      </c>
      <c r="E1115" s="2" t="s">
        <v>474</v>
      </c>
      <c r="F1115" s="1" t="s">
        <v>34</v>
      </c>
      <c r="G1115" s="2" t="s">
        <v>472</v>
      </c>
      <c r="H1115" s="2" t="s">
        <v>3328</v>
      </c>
    </row>
    <row r="1116" spans="1:8" ht="345" x14ac:dyDescent="0.25">
      <c r="A1116" s="1" t="str">
        <f>HYPERLINK("https://www.albertahealthservices.ca/findhealth/Service.aspx?serviceAtFacilityId=1102410","Assertive Outreach Services")</f>
        <v>Assertive Outreach Services</v>
      </c>
      <c r="B1116" s="1" t="s">
        <v>157</v>
      </c>
      <c r="C1116" s="2" t="s">
        <v>882</v>
      </c>
      <c r="D1116" s="2" t="s">
        <v>1192</v>
      </c>
      <c r="E1116" s="2" t="s">
        <v>880</v>
      </c>
      <c r="F1116" s="1" t="s">
        <v>34</v>
      </c>
      <c r="G1116" s="2" t="s">
        <v>878</v>
      </c>
      <c r="H1116" s="2" t="s">
        <v>3330</v>
      </c>
    </row>
    <row r="1117" spans="1:8" ht="409.5" x14ac:dyDescent="0.25">
      <c r="A1117" s="1" t="str">
        <f>HYPERLINK("https://www.albertahealthservices.ca/findhealth/Service.aspx?serviceAtFacilityId=1046147","Adult Mental Health Treatment Services")</f>
        <v>Adult Mental Health Treatment Services</v>
      </c>
      <c r="B1117" s="1" t="s">
        <v>148</v>
      </c>
      <c r="C1117" s="2" t="s">
        <v>125</v>
      </c>
      <c r="D1117" s="2" t="s">
        <v>3331</v>
      </c>
      <c r="E1117" s="1"/>
      <c r="F1117" s="2" t="s">
        <v>311</v>
      </c>
      <c r="G1117" s="2" t="s">
        <v>121</v>
      </c>
      <c r="H1117" s="2" t="s">
        <v>3332</v>
      </c>
    </row>
    <row r="1118" spans="1:8" ht="300" x14ac:dyDescent="0.25">
      <c r="A1118" s="1" t="str">
        <f>HYPERLINK("https://www.albertahealthservices.ca/findhealth/Service.aspx?serviceAtFacilityId=1092927","Early Childhood and Perinatal Mental Health")</f>
        <v>Early Childhood and Perinatal Mental Health</v>
      </c>
      <c r="B1118" s="1" t="s">
        <v>847</v>
      </c>
      <c r="C1118" s="2" t="s">
        <v>3335</v>
      </c>
      <c r="D1118" s="2" t="s">
        <v>3334</v>
      </c>
      <c r="E1118" s="1"/>
      <c r="F1118" s="2" t="s">
        <v>311</v>
      </c>
      <c r="G1118" s="2" t="s">
        <v>3333</v>
      </c>
      <c r="H1118" s="1"/>
    </row>
    <row r="1119" spans="1:8" ht="210" x14ac:dyDescent="0.25">
      <c r="A1119" s="1" t="str">
        <f>HYPERLINK("https://www.albertahealthservices.ca/findhealth/Service.aspx?serviceAtFacilityId=1032853","Active Rehabilitation Program - Mental Health")</f>
        <v>Active Rehabilitation Program - Mental Health</v>
      </c>
      <c r="B1119" s="1" t="s">
        <v>2092</v>
      </c>
      <c r="C1119" s="2" t="s">
        <v>3338</v>
      </c>
      <c r="D1119" s="2" t="s">
        <v>3337</v>
      </c>
      <c r="E1119" s="1"/>
      <c r="F1119" s="1" t="s">
        <v>34</v>
      </c>
      <c r="G1119" s="2" t="s">
        <v>3336</v>
      </c>
      <c r="H1119" s="1"/>
    </row>
    <row r="1120" spans="1:8" ht="270" x14ac:dyDescent="0.25">
      <c r="A1120" s="1" t="str">
        <f>HYPERLINK("https://www.albertahealthservices.ca/findhealth/Service.aspx?serviceAtFacilityId=1107573","School Health Services")</f>
        <v>School Health Services</v>
      </c>
      <c r="B1120" s="1" t="s">
        <v>1049</v>
      </c>
      <c r="C1120" s="2" t="s">
        <v>641</v>
      </c>
      <c r="D1120" s="2" t="s">
        <v>3339</v>
      </c>
      <c r="E1120" s="1"/>
      <c r="F1120" s="2" t="s">
        <v>638</v>
      </c>
      <c r="G1120" s="2" t="s">
        <v>636</v>
      </c>
      <c r="H1120" s="2" t="s">
        <v>3340</v>
      </c>
    </row>
    <row r="1121" spans="1:8" ht="409.5" x14ac:dyDescent="0.25">
      <c r="A1121" s="1" t="str">
        <f>HYPERLINK("https://www.albertahealthservices.ca/findhealth/Service.aspx?serviceAtFacilityId=1111315","Eating Disorder Services")</f>
        <v>Eating Disorder Services</v>
      </c>
      <c r="B1121" s="1" t="s">
        <v>330</v>
      </c>
      <c r="C1121" s="2" t="s">
        <v>212</v>
      </c>
      <c r="D1121" s="2" t="s">
        <v>1592</v>
      </c>
      <c r="E1121" s="1"/>
      <c r="F1121" s="2" t="s">
        <v>3341</v>
      </c>
      <c r="G1121" s="2" t="s">
        <v>209</v>
      </c>
      <c r="H1121" s="2" t="s">
        <v>3342</v>
      </c>
    </row>
    <row r="1122" spans="1:8" ht="255" x14ac:dyDescent="0.25">
      <c r="A1122" s="1" t="str">
        <f>HYPERLINK("https://www.albertahealthservices.ca/findhealth/Service.aspx?serviceAtFacilityId=1046535","Addiction and Mental Health - Adult and Youth Intake")</f>
        <v>Addiction and Mental Health - Adult and Youth Intake</v>
      </c>
      <c r="B1122" s="1" t="s">
        <v>1765</v>
      </c>
      <c r="C1122" s="2" t="s">
        <v>78</v>
      </c>
      <c r="D1122" s="2" t="s">
        <v>3343</v>
      </c>
      <c r="E1122" s="1"/>
      <c r="F1122" s="2" t="s">
        <v>3344</v>
      </c>
      <c r="G1122" s="2" t="s">
        <v>73</v>
      </c>
      <c r="H1122" s="2" t="s">
        <v>3345</v>
      </c>
    </row>
    <row r="1123" spans="1:8" ht="150" x14ac:dyDescent="0.25">
      <c r="A1123" s="1" t="str">
        <f>HYPERLINK("https://www.albertahealthservices.ca/findhealth/Service.aspx?serviceAtFacilityId=1108254","Mental Health Capacity Building - High Level Student Wellness Project")</f>
        <v>Mental Health Capacity Building - High Level Student Wellness Project</v>
      </c>
      <c r="B1123" s="1" t="s">
        <v>3348</v>
      </c>
      <c r="C1123" s="2" t="s">
        <v>892</v>
      </c>
      <c r="D1123" s="2" t="s">
        <v>3346</v>
      </c>
      <c r="E1123" s="1"/>
      <c r="F1123" s="2" t="s">
        <v>10</v>
      </c>
      <c r="G1123" s="2" t="s">
        <v>458</v>
      </c>
      <c r="H1123" s="2" t="s">
        <v>3347</v>
      </c>
    </row>
    <row r="1124" spans="1:8" ht="135" x14ac:dyDescent="0.25">
      <c r="A1124" s="1" t="str">
        <f>HYPERLINK("https://www.albertahealthservices.ca/findhealth/Service.aspx?serviceAtFacilityId=1021286","Geriatric Psychiatry - Outreach Assessment")</f>
        <v>Geriatric Psychiatry - Outreach Assessment</v>
      </c>
      <c r="B1124" s="1" t="s">
        <v>216</v>
      </c>
      <c r="C1124" s="2" t="s">
        <v>3350</v>
      </c>
      <c r="D1124" s="2" t="s">
        <v>2135</v>
      </c>
      <c r="E1124" s="1"/>
      <c r="F1124" s="2" t="s">
        <v>23</v>
      </c>
      <c r="G1124" s="2" t="s">
        <v>3349</v>
      </c>
      <c r="H1124" s="1"/>
    </row>
    <row r="1125" spans="1:8" ht="210" x14ac:dyDescent="0.25">
      <c r="A1125" s="1" t="str">
        <f>HYPERLINK("https://www.albertahealthservices.ca/findhealth/Service.aspx?serviceAtFacilityId=1094024","Addiction Services - Youth Counselling")</f>
        <v>Addiction Services - Youth Counselling</v>
      </c>
      <c r="B1125" s="1" t="s">
        <v>1422</v>
      </c>
      <c r="C1125" s="2" t="s">
        <v>875</v>
      </c>
      <c r="D1125" s="2" t="s">
        <v>3351</v>
      </c>
      <c r="E1125" s="1"/>
      <c r="F1125" s="2" t="s">
        <v>2590</v>
      </c>
      <c r="G1125" s="2" t="s">
        <v>870</v>
      </c>
      <c r="H1125" s="2" t="s">
        <v>3352</v>
      </c>
    </row>
    <row r="1126" spans="1:8" ht="255" x14ac:dyDescent="0.25">
      <c r="A1126" s="1" t="str">
        <f>HYPERLINK("https://www.albertahealthservices.ca/findhealth/Service.aspx?serviceAtFacilityId=1104647","Designated Supportive Living Level 4 Dementia")</f>
        <v>Designated Supportive Living Level 4 Dementia</v>
      </c>
      <c r="B1126" s="1" t="s">
        <v>3355</v>
      </c>
      <c r="C1126" s="2" t="s">
        <v>43</v>
      </c>
      <c r="D1126" s="2" t="s">
        <v>3353</v>
      </c>
      <c r="E1126" s="1"/>
      <c r="F1126" s="2" t="s">
        <v>40</v>
      </c>
      <c r="G1126" s="2" t="s">
        <v>38</v>
      </c>
      <c r="H1126" s="2" t="s">
        <v>3354</v>
      </c>
    </row>
    <row r="1127" spans="1:8" ht="330" x14ac:dyDescent="0.25">
      <c r="A1127" s="1" t="str">
        <f>HYPERLINK("https://www.albertahealthservices.ca/findhealth/Service.aspx?serviceAtFacilityId=1048512","Pastoral Care Services")</f>
        <v>Pastoral Care Services</v>
      </c>
      <c r="B1127" s="1" t="s">
        <v>46</v>
      </c>
      <c r="C1127" s="2" t="s">
        <v>423</v>
      </c>
      <c r="D1127" s="2" t="s">
        <v>44</v>
      </c>
      <c r="E1127" s="1"/>
      <c r="F1127" s="1" t="s">
        <v>34</v>
      </c>
      <c r="G1127" s="2" t="s">
        <v>419</v>
      </c>
      <c r="H1127" s="2" t="s">
        <v>3356</v>
      </c>
    </row>
    <row r="1128" spans="1:8" ht="150" x14ac:dyDescent="0.25">
      <c r="A1128" s="1" t="str">
        <f>HYPERLINK("https://www.albertahealthservices.ca/findhealth/Service.aspx?serviceAtFacilityId=1102578","Child and Adolescent Mental Health Inpatient Services")</f>
        <v>Child and Adolescent Mental Health Inpatient Services</v>
      </c>
      <c r="B1128" s="1" t="s">
        <v>197</v>
      </c>
      <c r="C1128" s="2" t="s">
        <v>2668</v>
      </c>
      <c r="D1128" s="2" t="s">
        <v>3357</v>
      </c>
      <c r="E1128" s="1"/>
      <c r="F1128" s="1" t="s">
        <v>34</v>
      </c>
      <c r="G1128" s="2" t="s">
        <v>2666</v>
      </c>
      <c r="H1128" s="2" t="s">
        <v>3004</v>
      </c>
    </row>
    <row r="1129" spans="1:8" ht="150" x14ac:dyDescent="0.25">
      <c r="A1129" s="1" t="str">
        <f>HYPERLINK("https://www.albertahealthservices.ca/findhealth/Service.aspx?serviceAtFacilityId=1108252","Mental Health Capacity Building - High Level Student Wellness Project")</f>
        <v>Mental Health Capacity Building - High Level Student Wellness Project</v>
      </c>
      <c r="B1129" s="1" t="s">
        <v>3360</v>
      </c>
      <c r="C1129" s="2" t="s">
        <v>892</v>
      </c>
      <c r="D1129" s="2" t="s">
        <v>3358</v>
      </c>
      <c r="E1129" s="1"/>
      <c r="F1129" s="2" t="s">
        <v>10</v>
      </c>
      <c r="G1129" s="2" t="s">
        <v>458</v>
      </c>
      <c r="H1129" s="2" t="s">
        <v>3359</v>
      </c>
    </row>
    <row r="1130" spans="1:8" ht="285" x14ac:dyDescent="0.25">
      <c r="A1130" s="1" t="str">
        <f>HYPERLINK("https://www.albertahealthservices.ca/findhealth/Service.aspx?serviceAtFacilityId=1051990","School Health Program")</f>
        <v>School Health Program</v>
      </c>
      <c r="B1130" s="1" t="s">
        <v>537</v>
      </c>
      <c r="C1130" s="2" t="s">
        <v>93</v>
      </c>
      <c r="D1130" s="2" t="s">
        <v>2063</v>
      </c>
      <c r="E1130" s="1"/>
      <c r="F1130" s="1" t="s">
        <v>34</v>
      </c>
      <c r="G1130" s="1" t="s">
        <v>89</v>
      </c>
      <c r="H1130" s="2" t="s">
        <v>3361</v>
      </c>
    </row>
    <row r="1131" spans="1:8" ht="210" x14ac:dyDescent="0.25">
      <c r="A1131" s="1" t="str">
        <f>HYPERLINK("https://www.albertahealthservices.ca/findhealth/Service.aspx?serviceAtFacilityId=1047432","Spiritual Care Services")</f>
        <v>Spiritual Care Services</v>
      </c>
      <c r="B1131" s="1" t="s">
        <v>2089</v>
      </c>
      <c r="C1131" s="2" t="s">
        <v>971</v>
      </c>
      <c r="D1131" s="2" t="s">
        <v>3362</v>
      </c>
      <c r="E1131" s="1"/>
      <c r="F1131" s="2" t="s">
        <v>3363</v>
      </c>
      <c r="G1131" s="2" t="s">
        <v>968</v>
      </c>
      <c r="H1131" s="2" t="s">
        <v>3364</v>
      </c>
    </row>
    <row r="1132" spans="1:8" ht="409.5" x14ac:dyDescent="0.25">
      <c r="A1132" s="1" t="str">
        <f>HYPERLINK("https://www.albertahealthservices.ca/findhealth/Service.aspx?serviceAtFacilityId=1090366","Eating Disorder Services")</f>
        <v>Eating Disorder Services</v>
      </c>
      <c r="B1132" s="1" t="s">
        <v>188</v>
      </c>
      <c r="C1132" s="2" t="s">
        <v>212</v>
      </c>
      <c r="D1132" s="2" t="s">
        <v>3365</v>
      </c>
      <c r="E1132" s="1"/>
      <c r="F1132" s="2" t="s">
        <v>201</v>
      </c>
      <c r="G1132" s="2" t="s">
        <v>209</v>
      </c>
      <c r="H1132" s="2" t="s">
        <v>3366</v>
      </c>
    </row>
    <row r="1133" spans="1:8" ht="270" x14ac:dyDescent="0.25">
      <c r="A1133" s="1" t="str">
        <f>HYPERLINK("https://www.albertahealthservices.ca/findhealth/Service.aspx?serviceAtFacilityId=1104446","Designated Supportive Living Level 4 Dementia")</f>
        <v>Designated Supportive Living Level 4 Dementia</v>
      </c>
      <c r="B1133" s="1" t="s">
        <v>3369</v>
      </c>
      <c r="C1133" s="2" t="s">
        <v>26</v>
      </c>
      <c r="D1133" s="2" t="s">
        <v>3367</v>
      </c>
      <c r="E1133" s="1"/>
      <c r="F1133" s="2" t="s">
        <v>23</v>
      </c>
      <c r="G1133" s="2" t="s">
        <v>21</v>
      </c>
      <c r="H1133" s="2" t="s">
        <v>3368</v>
      </c>
    </row>
    <row r="1134" spans="1:8" ht="180" x14ac:dyDescent="0.25">
      <c r="A1134" s="1" t="str">
        <f>HYPERLINK("https://www.albertahealthservices.ca/findhealth/Service.aspx?serviceAtFacilityId=1101636","Emergency Services - Child and Adolescent Mental Health")</f>
        <v>Emergency Services - Child and Adolescent Mental Health</v>
      </c>
      <c r="B1134" s="1" t="s">
        <v>108</v>
      </c>
      <c r="C1134" s="2" t="s">
        <v>198</v>
      </c>
      <c r="D1134" s="2" t="s">
        <v>816</v>
      </c>
      <c r="E1134" s="1"/>
      <c r="F1134" s="2" t="s">
        <v>23</v>
      </c>
      <c r="G1134" s="2" t="s">
        <v>193</v>
      </c>
      <c r="H1134" s="2" t="s">
        <v>1797</v>
      </c>
    </row>
    <row r="1135" spans="1:8" ht="330" x14ac:dyDescent="0.25">
      <c r="A1135" s="1" t="str">
        <f>HYPERLINK("https://www.albertahealthservices.ca/findhealth/Service.aspx?serviceAtFacilityId=1048109","Pastoral Care Services")</f>
        <v>Pastoral Care Services</v>
      </c>
      <c r="B1135" s="1" t="s">
        <v>65</v>
      </c>
      <c r="C1135" s="2" t="s">
        <v>423</v>
      </c>
      <c r="D1135" s="2" t="s">
        <v>3370</v>
      </c>
      <c r="E1135" s="1"/>
      <c r="F1135" s="1" t="s">
        <v>34</v>
      </c>
      <c r="G1135" s="2" t="s">
        <v>419</v>
      </c>
      <c r="H1135" s="2" t="s">
        <v>3371</v>
      </c>
    </row>
    <row r="1136" spans="1:8" ht="165" x14ac:dyDescent="0.25">
      <c r="A1136" s="1" t="str">
        <f>HYPERLINK("https://www.albertahealthservices.ca/findhealth/Service.aspx?serviceAtFacilityId=1030808","Community Addiction and Mental Health Services - Rural")</f>
        <v>Community Addiction and Mental Health Services - Rural</v>
      </c>
      <c r="B1136" s="1" t="s">
        <v>1070</v>
      </c>
      <c r="C1136" s="2" t="s">
        <v>72</v>
      </c>
      <c r="D1136" s="2" t="s">
        <v>3372</v>
      </c>
      <c r="E1136" s="1"/>
      <c r="F1136" s="2" t="s">
        <v>311</v>
      </c>
      <c r="G1136" s="2" t="s">
        <v>67</v>
      </c>
      <c r="H1136" s="2" t="s">
        <v>3373</v>
      </c>
    </row>
    <row r="1137" spans="1:8" ht="255" x14ac:dyDescent="0.25">
      <c r="A1137" s="1" t="str">
        <f>HYPERLINK("https://www.albertahealthservices.ca/findhealth/Service.aspx?serviceAtFacilityId=1110403","Addiction and Mental Health - Adult and Youth Intake")</f>
        <v>Addiction and Mental Health - Adult and Youth Intake</v>
      </c>
      <c r="B1137" s="1" t="s">
        <v>1156</v>
      </c>
      <c r="C1137" s="2" t="s">
        <v>78</v>
      </c>
      <c r="D1137" s="2" t="s">
        <v>1978</v>
      </c>
      <c r="E1137" s="1"/>
      <c r="F1137" s="2" t="s">
        <v>716</v>
      </c>
      <c r="G1137" s="2" t="s">
        <v>73</v>
      </c>
      <c r="H1137" s="2" t="s">
        <v>3374</v>
      </c>
    </row>
    <row r="1138" spans="1:8" ht="240" x14ac:dyDescent="0.25">
      <c r="A1138" s="1" t="str">
        <f>HYPERLINK("https://www.albertahealthservices.ca/findhealth/Service.aspx?serviceAtFacilityId=1111319","Psychogeriatric Consultation")</f>
        <v>Psychogeriatric Consultation</v>
      </c>
      <c r="B1138" s="1" t="s">
        <v>330</v>
      </c>
      <c r="C1138" s="2" t="s">
        <v>66</v>
      </c>
      <c r="D1138" s="2" t="s">
        <v>1592</v>
      </c>
      <c r="E1138" s="1"/>
      <c r="F1138" s="2" t="s">
        <v>3341</v>
      </c>
      <c r="G1138" s="2" t="s">
        <v>62</v>
      </c>
      <c r="H1138" s="2" t="s">
        <v>3375</v>
      </c>
    </row>
    <row r="1139" spans="1:8" ht="210" x14ac:dyDescent="0.25">
      <c r="A1139" s="1" t="str">
        <f>HYPERLINK("https://www.albertahealthservices.ca/findhealth/Service.aspx?serviceAtFacilityId=1047419","Spiritual Care Services")</f>
        <v>Spiritual Care Services</v>
      </c>
      <c r="B1139" s="1" t="s">
        <v>741</v>
      </c>
      <c r="C1139" s="2" t="s">
        <v>971</v>
      </c>
      <c r="D1139" s="2" t="s">
        <v>3376</v>
      </c>
      <c r="E1139" s="1"/>
      <c r="F1139" s="2" t="s">
        <v>3377</v>
      </c>
      <c r="G1139" s="2" t="s">
        <v>968</v>
      </c>
      <c r="H1139" s="2" t="s">
        <v>3378</v>
      </c>
    </row>
    <row r="1140" spans="1:8" ht="210" x14ac:dyDescent="0.25">
      <c r="A1140" s="1" t="str">
        <f>HYPERLINK("https://www.albertahealthservices.ca/findhealth/Service.aspx?serviceAtFacilityId=1047352","Therapeutic Recreation - Community &amp; Outpatient")</f>
        <v>Therapeutic Recreation - Community &amp; Outpatient</v>
      </c>
      <c r="B1140" s="1" t="s">
        <v>843</v>
      </c>
      <c r="C1140" s="2" t="s">
        <v>524</v>
      </c>
      <c r="D1140" s="2" t="s">
        <v>3379</v>
      </c>
      <c r="E1140" s="1"/>
      <c r="F1140" s="2" t="s">
        <v>201</v>
      </c>
      <c r="G1140" s="2" t="s">
        <v>520</v>
      </c>
      <c r="H1140" s="2" t="s">
        <v>3380</v>
      </c>
    </row>
    <row r="1141" spans="1:8" ht="285" x14ac:dyDescent="0.25">
      <c r="A1141" s="1" t="str">
        <f>HYPERLINK("https://www.albertahealthservices.ca/findhealth/Service.aspx?serviceAtFacilityId=1112177","School Health Program")</f>
        <v>School Health Program</v>
      </c>
      <c r="B1141" s="1" t="s">
        <v>3383</v>
      </c>
      <c r="C1141" s="2" t="s">
        <v>93</v>
      </c>
      <c r="D1141" s="2" t="s">
        <v>3381</v>
      </c>
      <c r="E1141" s="1"/>
      <c r="F1141" s="2" t="s">
        <v>311</v>
      </c>
      <c r="G1141" s="1" t="s">
        <v>89</v>
      </c>
      <c r="H1141" s="2" t="s">
        <v>3382</v>
      </c>
    </row>
    <row r="1142" spans="1:8" ht="409.5" x14ac:dyDescent="0.25">
      <c r="A1142" s="1" t="str">
        <f>HYPERLINK("https://www.albertahealthservices.ca/findhealth/Service.aspx?serviceAtFacilityId=1082248","Therapeutic Recreation Services")</f>
        <v>Therapeutic Recreation Services</v>
      </c>
      <c r="B1142" s="1" t="s">
        <v>157</v>
      </c>
      <c r="C1142" s="2" t="s">
        <v>37</v>
      </c>
      <c r="D1142" s="2" t="s">
        <v>3384</v>
      </c>
      <c r="E1142" s="1"/>
      <c r="F1142" s="1" t="s">
        <v>34</v>
      </c>
      <c r="G1142" s="2" t="s">
        <v>32</v>
      </c>
      <c r="H1142" s="2" t="s">
        <v>3385</v>
      </c>
    </row>
    <row r="1143" spans="1:8" ht="409.5" x14ac:dyDescent="0.25">
      <c r="A1143" s="1" t="str">
        <f>HYPERLINK("https://www.albertahealthservices.ca/findhealth/Service.aspx?serviceAtFacilityId=1108532","Provincial Family Violence Treatment Program")</f>
        <v>Provincial Family Violence Treatment Program</v>
      </c>
      <c r="B1143" s="1" t="s">
        <v>3388</v>
      </c>
      <c r="C1143" s="2" t="s">
        <v>232</v>
      </c>
      <c r="D1143" s="2" t="s">
        <v>3386</v>
      </c>
      <c r="E1143" s="1"/>
      <c r="F1143" s="1" t="s">
        <v>34</v>
      </c>
      <c r="G1143" s="2" t="s">
        <v>227</v>
      </c>
      <c r="H1143" s="2" t="s">
        <v>3387</v>
      </c>
    </row>
    <row r="1144" spans="1:8" ht="409.5" x14ac:dyDescent="0.25">
      <c r="A1144" s="1" t="str">
        <f>HYPERLINK("https://www.albertahealthservices.ca/findhealth/Service.aspx?serviceAtFacilityId=1001488","Therapeutic Recreation Services")</f>
        <v>Therapeutic Recreation Services</v>
      </c>
      <c r="B1144" s="1" t="s">
        <v>3391</v>
      </c>
      <c r="C1144" s="2" t="s">
        <v>37</v>
      </c>
      <c r="D1144" s="2" t="s">
        <v>3389</v>
      </c>
      <c r="E1144" s="1"/>
      <c r="F1144" s="2" t="s">
        <v>340</v>
      </c>
      <c r="G1144" s="2" t="s">
        <v>32</v>
      </c>
      <c r="H1144" s="2" t="s">
        <v>3390</v>
      </c>
    </row>
    <row r="1145" spans="1:8" ht="270" x14ac:dyDescent="0.25">
      <c r="A1145" s="1" t="str">
        <f>HYPERLINK("https://www.albertahealthservices.ca/findhealth/Service.aspx?serviceAtFacilityId=1102436","Addiction Services - Prevention")</f>
        <v>Addiction Services - Prevention</v>
      </c>
      <c r="B1145" s="1" t="s">
        <v>1206</v>
      </c>
      <c r="C1145" s="2" t="s">
        <v>782</v>
      </c>
      <c r="D1145" s="2" t="s">
        <v>3392</v>
      </c>
      <c r="E1145" s="1"/>
      <c r="F1145" s="2" t="s">
        <v>3393</v>
      </c>
      <c r="G1145" s="2" t="s">
        <v>778</v>
      </c>
      <c r="H1145" s="2" t="s">
        <v>3394</v>
      </c>
    </row>
    <row r="1146" spans="1:8" ht="409.5" x14ac:dyDescent="0.25">
      <c r="A1146" s="1" t="str">
        <f>HYPERLINK("https://www.albertahealthservices.ca/findhealth/Service.aspx?serviceAtFacilityId=1118992","School Health Program")</f>
        <v>School Health Program</v>
      </c>
      <c r="B1146" s="1" t="s">
        <v>1368</v>
      </c>
      <c r="C1146" s="2" t="s">
        <v>204</v>
      </c>
      <c r="D1146" s="2" t="s">
        <v>3395</v>
      </c>
      <c r="E1146" s="1"/>
      <c r="F1146" s="2" t="s">
        <v>201</v>
      </c>
      <c r="G1146" s="2" t="s">
        <v>199</v>
      </c>
      <c r="H1146" s="2" t="s">
        <v>3396</v>
      </c>
    </row>
    <row r="1147" spans="1:8" ht="409.5" x14ac:dyDescent="0.25">
      <c r="A1147" s="1" t="str">
        <f>HYPERLINK("https://www.albertahealthservices.ca/findhealth/Service.aspx?serviceAtFacilityId=1039713","Eating Disorder Services")</f>
        <v>Eating Disorder Services</v>
      </c>
      <c r="B1147" s="1" t="s">
        <v>768</v>
      </c>
      <c r="C1147" s="2" t="s">
        <v>212</v>
      </c>
      <c r="D1147" s="2" t="s">
        <v>3397</v>
      </c>
      <c r="E1147" s="1"/>
      <c r="F1147" s="2" t="s">
        <v>3398</v>
      </c>
      <c r="G1147" s="2" t="s">
        <v>209</v>
      </c>
      <c r="H1147" s="2" t="s">
        <v>3399</v>
      </c>
    </row>
    <row r="1148" spans="1:8" ht="120" x14ac:dyDescent="0.25">
      <c r="A1148" s="1" t="str">
        <f>HYPERLINK("https://www.albertahealthservices.ca/findhealth/Service.aspx?serviceAtFacilityId=1114244","Intimacy after Prostate Cancer")</f>
        <v>Intimacy after Prostate Cancer</v>
      </c>
      <c r="B1148" s="1" t="s">
        <v>103</v>
      </c>
      <c r="C1148" s="2" t="s">
        <v>3402</v>
      </c>
      <c r="D1148" s="2" t="s">
        <v>3401</v>
      </c>
      <c r="E1148" s="1"/>
      <c r="F1148" s="1" t="s">
        <v>34</v>
      </c>
      <c r="G1148" s="2" t="s">
        <v>3400</v>
      </c>
      <c r="H1148" s="1"/>
    </row>
    <row r="1149" spans="1:8" ht="150" x14ac:dyDescent="0.25">
      <c r="A1149" s="1" t="str">
        <f>HYPERLINK("https://www.albertahealthservices.ca/findhealth/Service.aspx?serviceAtFacilityId=1097881","Reproductive Mental Health Program")</f>
        <v>Reproductive Mental Health Program</v>
      </c>
      <c r="B1149" s="1" t="s">
        <v>2555</v>
      </c>
      <c r="C1149" s="2" t="s">
        <v>3405</v>
      </c>
      <c r="D1149" s="2" t="s">
        <v>3404</v>
      </c>
      <c r="E1149" s="1"/>
      <c r="F1149" s="2" t="s">
        <v>117</v>
      </c>
      <c r="G1149" s="2" t="s">
        <v>3403</v>
      </c>
      <c r="H1149" s="1"/>
    </row>
    <row r="1150" spans="1:8" ht="270" x14ac:dyDescent="0.25">
      <c r="A1150" s="1" t="str">
        <f>HYPERLINK("https://www.albertahealthservices.ca/findhealth/Service.aspx?serviceAtFacilityId=1093983","Addiction Services - Prevention")</f>
        <v>Addiction Services - Prevention</v>
      </c>
      <c r="B1150" s="1" t="s">
        <v>3409</v>
      </c>
      <c r="C1150" s="2" t="s">
        <v>493</v>
      </c>
      <c r="D1150" s="2" t="s">
        <v>3406</v>
      </c>
      <c r="E1150" s="1"/>
      <c r="F1150" s="2" t="s">
        <v>3407</v>
      </c>
      <c r="G1150" s="2" t="s">
        <v>489</v>
      </c>
      <c r="H1150" s="2" t="s">
        <v>3408</v>
      </c>
    </row>
    <row r="1151" spans="1:8" ht="120" x14ac:dyDescent="0.25">
      <c r="A1151" s="1" t="str">
        <f>HYPERLINK("https://www.albertahealthservices.ca/findhealth/Service.aspx?serviceAtFacilityId=1115306","Addiction and Mental Health - Inner City Services, Adult")</f>
        <v>Addiction and Mental Health - Inner City Services, Adult</v>
      </c>
      <c r="B1151" s="1" t="s">
        <v>3412</v>
      </c>
      <c r="C1151" s="2" t="s">
        <v>1579</v>
      </c>
      <c r="D1151" s="2" t="s">
        <v>3410</v>
      </c>
      <c r="E1151" s="2" t="s">
        <v>1576</v>
      </c>
      <c r="F1151" s="2" t="s">
        <v>201</v>
      </c>
      <c r="G1151" s="2" t="s">
        <v>1574</v>
      </c>
      <c r="H1151" s="2" t="s">
        <v>3411</v>
      </c>
    </row>
    <row r="1152" spans="1:8" ht="270" x14ac:dyDescent="0.25">
      <c r="A1152" s="1" t="str">
        <f>HYPERLINK("https://www.albertahealthservices.ca/findhealth/Service.aspx?serviceAtFacilityId=1023384","Pediatric Psychology")</f>
        <v>Pediatric Psychology</v>
      </c>
      <c r="B1152" s="1" t="s">
        <v>456</v>
      </c>
      <c r="C1152" s="2" t="s">
        <v>3415</v>
      </c>
      <c r="D1152" s="2" t="s">
        <v>1434</v>
      </c>
      <c r="E1152" s="1"/>
      <c r="F1152" s="2" t="s">
        <v>3414</v>
      </c>
      <c r="G1152" s="2" t="s">
        <v>3413</v>
      </c>
      <c r="H1152" s="1"/>
    </row>
    <row r="1153" spans="1:8" ht="195" x14ac:dyDescent="0.25">
      <c r="A1153" s="1" t="str">
        <f>HYPERLINK("https://www.albertahealthservices.ca/findhealth/Service.aspx?serviceAtFacilityId=1033731","Addiction Centre - Adolescent Program")</f>
        <v>Addiction Centre - Adolescent Program</v>
      </c>
      <c r="B1153" s="1" t="s">
        <v>197</v>
      </c>
      <c r="C1153" s="2" t="s">
        <v>3420</v>
      </c>
      <c r="D1153" s="2" t="s">
        <v>3417</v>
      </c>
      <c r="E1153" s="2" t="s">
        <v>3419</v>
      </c>
      <c r="F1153" s="2" t="s">
        <v>3418</v>
      </c>
      <c r="G1153" s="2" t="s">
        <v>3416</v>
      </c>
      <c r="H1153" s="1"/>
    </row>
    <row r="1154" spans="1:8" ht="180" x14ac:dyDescent="0.25">
      <c r="A1154" s="1" t="str">
        <f>HYPERLINK("https://www.albertahealthservices.ca/findhealth/Service.aspx?serviceAtFacilityId=1002982","Seniors Mental Health Program Mental Health Inpatient Services")</f>
        <v>Seniors Mental Health Program Mental Health Inpatient Services</v>
      </c>
      <c r="B1154" s="1" t="s">
        <v>552</v>
      </c>
      <c r="C1154" s="2" t="s">
        <v>3424</v>
      </c>
      <c r="D1154" s="2" t="s">
        <v>3422</v>
      </c>
      <c r="E1154" s="1"/>
      <c r="F1154" s="2" t="s">
        <v>3423</v>
      </c>
      <c r="G1154" s="2" t="s">
        <v>3421</v>
      </c>
      <c r="H1154" s="1"/>
    </row>
    <row r="1155" spans="1:8" ht="240" x14ac:dyDescent="0.25">
      <c r="A1155" s="1" t="str">
        <f>HYPERLINK("https://www.albertahealthservices.ca/findhealth/Service.aspx?serviceAtFacilityId=1005901","Spiritual Care")</f>
        <v>Spiritual Care</v>
      </c>
      <c r="B1155" s="1" t="s">
        <v>2522</v>
      </c>
      <c r="C1155" s="2" t="s">
        <v>613</v>
      </c>
      <c r="D1155" s="2" t="s">
        <v>3425</v>
      </c>
      <c r="E1155" s="1"/>
      <c r="F1155" s="1" t="s">
        <v>34</v>
      </c>
      <c r="G1155" s="2" t="s">
        <v>609</v>
      </c>
      <c r="H1155" s="2" t="s">
        <v>3426</v>
      </c>
    </row>
    <row r="1156" spans="1:8" ht="315" x14ac:dyDescent="0.25">
      <c r="A1156" s="1" t="str">
        <f>HYPERLINK("https://www.albertahealthservices.ca/findhealth/Service.aspx?serviceAtFacilityId=1006535","Postpartum Depression Support")</f>
        <v>Postpartum Depression Support</v>
      </c>
      <c r="B1156" s="1" t="s">
        <v>1320</v>
      </c>
      <c r="C1156" s="2" t="s">
        <v>114</v>
      </c>
      <c r="D1156" s="2" t="s">
        <v>3427</v>
      </c>
      <c r="E1156" s="1"/>
      <c r="F1156" s="1" t="s">
        <v>34</v>
      </c>
      <c r="G1156" s="1"/>
      <c r="H1156" s="2" t="s">
        <v>3428</v>
      </c>
    </row>
    <row r="1157" spans="1:8" ht="225" x14ac:dyDescent="0.25">
      <c r="A1157" s="1" t="str">
        <f>HYPERLINK("https://www.albertahealthservices.ca/findhealth/Service.aspx?serviceAtFacilityId=1111325","Addiction and Mental Health - Suburban Community Assessment and Treatment Services, Adult")</f>
        <v>Addiction and Mental Health - Suburban Community Assessment and Treatment Services, Adult</v>
      </c>
      <c r="B1157" s="1" t="s">
        <v>575</v>
      </c>
      <c r="C1157" s="2" t="s">
        <v>145</v>
      </c>
      <c r="D1157" s="2" t="s">
        <v>3429</v>
      </c>
      <c r="E1157" s="1"/>
      <c r="F1157" s="2" t="s">
        <v>142</v>
      </c>
      <c r="G1157" s="2" t="s">
        <v>140</v>
      </c>
      <c r="H1157" s="2" t="s">
        <v>3430</v>
      </c>
    </row>
    <row r="1158" spans="1:8" ht="240" x14ac:dyDescent="0.25">
      <c r="A1158" s="1" t="str">
        <f>HYPERLINK("https://www.albertahealthservices.ca/findhealth/Service.aspx?serviceAtFacilityId=1118864","CHOICE")</f>
        <v>CHOICE</v>
      </c>
      <c r="B1158" s="1" t="s">
        <v>3433</v>
      </c>
      <c r="C1158" s="2" t="s">
        <v>701</v>
      </c>
      <c r="D1158" s="2" t="s">
        <v>3431</v>
      </c>
      <c r="E1158" s="1"/>
      <c r="F1158" s="2" t="s">
        <v>23</v>
      </c>
      <c r="G1158" s="2" t="s">
        <v>697</v>
      </c>
      <c r="H1158" s="2" t="s">
        <v>3432</v>
      </c>
    </row>
    <row r="1159" spans="1:8" ht="409.5" x14ac:dyDescent="0.25">
      <c r="A1159" s="1" t="str">
        <f>HYPERLINK("https://www.albertahealthservices.ca/findhealth/Service.aspx?serviceAtFacilityId=1044065","Continuing Care Counselling")</f>
        <v>Continuing Care Counselling</v>
      </c>
      <c r="B1159" s="1" t="s">
        <v>909</v>
      </c>
      <c r="C1159" s="2" t="s">
        <v>163</v>
      </c>
      <c r="D1159" s="2" t="s">
        <v>3434</v>
      </c>
      <c r="E1159" s="1"/>
      <c r="F1159" s="2" t="s">
        <v>261</v>
      </c>
      <c r="G1159" s="2" t="s">
        <v>158</v>
      </c>
      <c r="H1159" s="2" t="s">
        <v>3435</v>
      </c>
    </row>
    <row r="1160" spans="1:8" ht="375" x14ac:dyDescent="0.25">
      <c r="A1160" s="1" t="str">
        <f>HYPERLINK("https://www.albertahealthservices.ca/findhealth/Service.aspx?serviceAtFacilityId=1102322","Mental Health Information, Promotion and Prevention")</f>
        <v>Mental Health Information, Promotion and Prevention</v>
      </c>
      <c r="B1160" s="1" t="s">
        <v>342</v>
      </c>
      <c r="C1160" s="2" t="s">
        <v>20</v>
      </c>
      <c r="D1160" s="2" t="s">
        <v>3436</v>
      </c>
      <c r="E1160" s="2" t="s">
        <v>17</v>
      </c>
      <c r="F1160" s="2" t="s">
        <v>3437</v>
      </c>
      <c r="G1160" s="2" t="s">
        <v>14</v>
      </c>
      <c r="H1160" s="2" t="s">
        <v>3438</v>
      </c>
    </row>
    <row r="1161" spans="1:8" ht="270" x14ac:dyDescent="0.25">
      <c r="A1161" s="1" t="str">
        <f>HYPERLINK("https://www.albertahealthservices.ca/findhealth/Service.aspx?serviceAtFacilityId=1093982","Addiction Services - Prevention")</f>
        <v>Addiction Services - Prevention</v>
      </c>
      <c r="B1161" s="1" t="s">
        <v>2305</v>
      </c>
      <c r="C1161" s="2" t="s">
        <v>493</v>
      </c>
      <c r="D1161" s="2" t="s">
        <v>3439</v>
      </c>
      <c r="E1161" s="1"/>
      <c r="F1161" s="2" t="s">
        <v>311</v>
      </c>
      <c r="G1161" s="2" t="s">
        <v>489</v>
      </c>
      <c r="H1161" s="2" t="s">
        <v>3440</v>
      </c>
    </row>
    <row r="1162" spans="1:8" ht="270" x14ac:dyDescent="0.25">
      <c r="A1162" s="1" t="str">
        <f>HYPERLINK("https://www.albertahealthservices.ca/findhealth/Service.aspx?serviceAtFacilityId=1033001","Addiction Centre - Adult Program")</f>
        <v>Addiction Centre - Adult Program</v>
      </c>
      <c r="B1162" s="1" t="s">
        <v>197</v>
      </c>
      <c r="C1162" s="2" t="s">
        <v>3444</v>
      </c>
      <c r="D1162" s="2" t="s">
        <v>3442</v>
      </c>
      <c r="E1162" s="2" t="s">
        <v>3419</v>
      </c>
      <c r="F1162" s="2" t="s">
        <v>3443</v>
      </c>
      <c r="G1162" s="2" t="s">
        <v>3441</v>
      </c>
      <c r="H1162" s="1"/>
    </row>
    <row r="1163" spans="1:8" ht="105" x14ac:dyDescent="0.25">
      <c r="A1163" s="1" t="str">
        <f>HYPERLINK("https://www.albertahealthservices.ca/findhealth/Service.aspx?serviceAtFacilityId=1119394","Mental Health Capacity Building - Aim For Success")</f>
        <v>Mental Health Capacity Building - Aim For Success</v>
      </c>
      <c r="B1163" s="1" t="s">
        <v>3447</v>
      </c>
      <c r="C1163" s="2" t="s">
        <v>477</v>
      </c>
      <c r="D1163" s="2" t="s">
        <v>3445</v>
      </c>
      <c r="E1163" s="2" t="s">
        <v>474</v>
      </c>
      <c r="F1163" s="1" t="s">
        <v>34</v>
      </c>
      <c r="G1163" s="2" t="s">
        <v>472</v>
      </c>
      <c r="H1163" s="2" t="s">
        <v>3446</v>
      </c>
    </row>
    <row r="1164" spans="1:8" ht="409.5" x14ac:dyDescent="0.25">
      <c r="A1164" s="1" t="str">
        <f>HYPERLINK("https://www.albertahealthservices.ca/findhealth/Service.aspx?serviceAtFacilityId=1102307","Adult Mental Health Treatment Services")</f>
        <v>Adult Mental Health Treatment Services</v>
      </c>
      <c r="B1164" s="1" t="s">
        <v>188</v>
      </c>
      <c r="C1164" s="2" t="s">
        <v>125</v>
      </c>
      <c r="D1164" s="2" t="s">
        <v>1598</v>
      </c>
      <c r="E1164" s="1"/>
      <c r="F1164" s="1" t="s">
        <v>34</v>
      </c>
      <c r="G1164" s="2" t="s">
        <v>121</v>
      </c>
      <c r="H1164" s="2" t="s">
        <v>3448</v>
      </c>
    </row>
    <row r="1165" spans="1:8" ht="405" x14ac:dyDescent="0.25">
      <c r="A1165" s="1" t="str">
        <f>HYPERLINK("https://www.albertahealthservices.ca/findhealth/Service.aspx?serviceAtFacilityId=1111377","Addiction and Mental Health - Recovery Supports Services, Adult")</f>
        <v>Addiction and Mental Health - Recovery Supports Services, Adult</v>
      </c>
      <c r="B1165" s="1" t="s">
        <v>646</v>
      </c>
      <c r="C1165" s="2" t="s">
        <v>666</v>
      </c>
      <c r="D1165" s="2" t="s">
        <v>3449</v>
      </c>
      <c r="E1165" s="2" t="s">
        <v>663</v>
      </c>
      <c r="F1165" s="1" t="s">
        <v>34</v>
      </c>
      <c r="G1165" s="1"/>
      <c r="H1165" s="2" t="s">
        <v>3450</v>
      </c>
    </row>
    <row r="1166" spans="1:8" ht="409.5" x14ac:dyDescent="0.25">
      <c r="A1166" s="1" t="str">
        <f>HYPERLINK("https://www.albertahealthservices.ca/findhealth/Service.aspx?serviceAtFacilityId=1090110","Continuing Care Counselling")</f>
        <v>Continuing Care Counselling</v>
      </c>
      <c r="B1166" s="1" t="s">
        <v>3453</v>
      </c>
      <c r="C1166" s="2" t="s">
        <v>163</v>
      </c>
      <c r="D1166" s="2" t="s">
        <v>3451</v>
      </c>
      <c r="E1166" s="1"/>
      <c r="F1166" s="2" t="s">
        <v>261</v>
      </c>
      <c r="G1166" s="2" t="s">
        <v>158</v>
      </c>
      <c r="H1166" s="2" t="s">
        <v>3452</v>
      </c>
    </row>
    <row r="1167" spans="1:8" ht="270" x14ac:dyDescent="0.25">
      <c r="A1167" s="1" t="str">
        <f>HYPERLINK("https://www.albertahealthservices.ca/findhealth/Service.aspx?serviceAtFacilityId=1094006","Addiction Services - Prevention")</f>
        <v>Addiction Services - Prevention</v>
      </c>
      <c r="B1167" s="1" t="s">
        <v>148</v>
      </c>
      <c r="C1167" s="2" t="s">
        <v>782</v>
      </c>
      <c r="D1167" s="2" t="s">
        <v>2259</v>
      </c>
      <c r="E1167" s="1"/>
      <c r="F1167" s="2" t="s">
        <v>3454</v>
      </c>
      <c r="G1167" s="2" t="s">
        <v>778</v>
      </c>
      <c r="H1167" s="2" t="s">
        <v>3455</v>
      </c>
    </row>
    <row r="1168" spans="1:8" ht="165" x14ac:dyDescent="0.25">
      <c r="A1168" s="1" t="str">
        <f>HYPERLINK("https://www.albertahealthservices.ca/findhealth/Service.aspx?serviceAtFacilityId=1074584","Palliser Adolescent Services")</f>
        <v>Palliser Adolescent Services</v>
      </c>
      <c r="B1168" s="1" t="s">
        <v>242</v>
      </c>
      <c r="C1168" s="2" t="s">
        <v>3459</v>
      </c>
      <c r="D1168" s="2" t="s">
        <v>3457</v>
      </c>
      <c r="E1168" s="2" t="s">
        <v>3458</v>
      </c>
      <c r="F1168" s="2" t="s">
        <v>190</v>
      </c>
      <c r="G1168" s="2" t="s">
        <v>3456</v>
      </c>
      <c r="H1168" s="1"/>
    </row>
    <row r="1169" spans="1:8" ht="210" x14ac:dyDescent="0.25">
      <c r="A1169" s="1" t="str">
        <f>HYPERLINK("https://www.albertahealthservices.ca/findhealth/Service.aspx?serviceAtFacilityId=1085876","Therapeutic Recreation - Community &amp; Outpatient")</f>
        <v>Therapeutic Recreation - Community &amp; Outpatient</v>
      </c>
      <c r="B1169" s="1" t="s">
        <v>3188</v>
      </c>
      <c r="C1169" s="2" t="s">
        <v>524</v>
      </c>
      <c r="D1169" s="2" t="s">
        <v>3460</v>
      </c>
      <c r="E1169" s="1"/>
      <c r="F1169" s="2" t="s">
        <v>111</v>
      </c>
      <c r="G1169" s="2" t="s">
        <v>520</v>
      </c>
      <c r="H1169" s="2" t="s">
        <v>3461</v>
      </c>
    </row>
    <row r="1170" spans="1:8" ht="390" x14ac:dyDescent="0.25">
      <c r="A1170" s="1" t="str">
        <f>HYPERLINK("https://www.albertahealthservices.ca/findhealth/Service.aspx?serviceAtFacilityId=1047466","Community Addiction &amp; Mental Health - Adult &amp; Youth Services")</f>
        <v>Community Addiction &amp; Mental Health - Adult &amp; Youth Services</v>
      </c>
      <c r="B1170" s="1" t="s">
        <v>87</v>
      </c>
      <c r="C1170" s="2" t="s">
        <v>133</v>
      </c>
      <c r="D1170" s="2" t="s">
        <v>85</v>
      </c>
      <c r="E1170" s="1"/>
      <c r="F1170" s="2" t="s">
        <v>3462</v>
      </c>
      <c r="G1170" s="2" t="s">
        <v>129</v>
      </c>
      <c r="H1170" s="2" t="s">
        <v>3463</v>
      </c>
    </row>
    <row r="1171" spans="1:8" ht="180" x14ac:dyDescent="0.25">
      <c r="A1171" s="1" t="str">
        <f>HYPERLINK("https://www.albertahealthservices.ca/findhealth/Service.aspx?serviceAtFacilityId=1064002","Mindful Connections Postpartum Support - Enhanced support for Women")</f>
        <v>Mindful Connections Postpartum Support - Enhanced support for Women</v>
      </c>
      <c r="B1171" s="1" t="s">
        <v>3468</v>
      </c>
      <c r="C1171" s="2" t="s">
        <v>3469</v>
      </c>
      <c r="D1171" s="2" t="s">
        <v>3465</v>
      </c>
      <c r="E1171" s="2" t="s">
        <v>3467</v>
      </c>
      <c r="F1171" s="2" t="s">
        <v>3466</v>
      </c>
      <c r="G1171" s="2" t="s">
        <v>3464</v>
      </c>
      <c r="H1171" s="1"/>
    </row>
    <row r="1172" spans="1:8" ht="105" x14ac:dyDescent="0.25">
      <c r="A1172" s="1" t="str">
        <f>HYPERLINK("https://www.albertahealthservices.ca/findhealth/Service.aspx?serviceAtFacilityId=1111385","Addiction and Mental Health - Day, Outpatient, and Counseling Services, Adolescent")</f>
        <v>Addiction and Mental Health - Day, Outpatient, and Counseling Services, Adolescent</v>
      </c>
      <c r="B1172" s="1" t="s">
        <v>1496</v>
      </c>
      <c r="C1172" s="2" t="s">
        <v>3472</v>
      </c>
      <c r="D1172" s="2" t="s">
        <v>3471</v>
      </c>
      <c r="E1172" s="1"/>
      <c r="F1172" s="2" t="s">
        <v>220</v>
      </c>
      <c r="G1172" s="2" t="s">
        <v>3470</v>
      </c>
      <c r="H1172" s="1"/>
    </row>
    <row r="1173" spans="1:8" ht="150" x14ac:dyDescent="0.25">
      <c r="A1173" s="1" t="str">
        <f>HYPERLINK("https://www.albertahealthservices.ca/findhealth/Service.aspx?serviceAtFacilityId=1107505","Mental Health Capacity Building - Vermilion Is Being Empowered")</f>
        <v>Mental Health Capacity Building - Vermilion Is Being Empowered</v>
      </c>
      <c r="B1173" s="1" t="s">
        <v>3475</v>
      </c>
      <c r="C1173" s="2" t="s">
        <v>826</v>
      </c>
      <c r="D1173" s="2" t="s">
        <v>3473</v>
      </c>
      <c r="E1173" s="1"/>
      <c r="F1173" s="1" t="s">
        <v>34</v>
      </c>
      <c r="G1173" s="2" t="s">
        <v>821</v>
      </c>
      <c r="H1173" s="2" t="s">
        <v>3474</v>
      </c>
    </row>
    <row r="1174" spans="1:8" ht="90" x14ac:dyDescent="0.25">
      <c r="A1174" s="1" t="str">
        <f>HYPERLINK("https://www.albertahealthservices.ca/findhealth/Service.aspx?serviceAtFacilityId=1032008","Geriatric Mental Health Rehabilitation and Recovery Unit")</f>
        <v>Geriatric Mental Health Rehabilitation and Recovery Unit</v>
      </c>
      <c r="B1174" s="1" t="s">
        <v>3478</v>
      </c>
      <c r="C1174" s="2" t="s">
        <v>3479</v>
      </c>
      <c r="D1174" s="2" t="s">
        <v>3477</v>
      </c>
      <c r="E1174" s="1"/>
      <c r="F1174" s="1" t="s">
        <v>34</v>
      </c>
      <c r="G1174" s="2" t="s">
        <v>3476</v>
      </c>
      <c r="H1174" s="1"/>
    </row>
    <row r="1175" spans="1:8" ht="409.5" x14ac:dyDescent="0.25">
      <c r="A1175" s="1" t="str">
        <f>HYPERLINK("https://www.albertahealthservices.ca/findhealth/Service.aspx?serviceAtFacilityId=1119066","School Health Program")</f>
        <v>School Health Program</v>
      </c>
      <c r="B1175" s="1" t="s">
        <v>1179</v>
      </c>
      <c r="C1175" s="2" t="s">
        <v>204</v>
      </c>
      <c r="D1175" s="2" t="s">
        <v>3480</v>
      </c>
      <c r="E1175" s="1"/>
      <c r="F1175" s="2" t="s">
        <v>201</v>
      </c>
      <c r="G1175" s="2" t="s">
        <v>199</v>
      </c>
      <c r="H1175" s="2" t="s">
        <v>3481</v>
      </c>
    </row>
    <row r="1176" spans="1:8" ht="345" x14ac:dyDescent="0.25">
      <c r="A1176" s="1" t="str">
        <f>HYPERLINK("https://www.albertahealthservices.ca/findhealth/Service.aspx?serviceAtFacilityId=1102413","Assertive Outreach Services")</f>
        <v>Assertive Outreach Services</v>
      </c>
      <c r="B1176" s="1" t="s">
        <v>1206</v>
      </c>
      <c r="C1176" s="2" t="s">
        <v>882</v>
      </c>
      <c r="D1176" s="2" t="s">
        <v>3482</v>
      </c>
      <c r="E1176" s="2" t="s">
        <v>880</v>
      </c>
      <c r="F1176" s="2" t="s">
        <v>3393</v>
      </c>
      <c r="G1176" s="2" t="s">
        <v>878</v>
      </c>
      <c r="H1176" s="2" t="s">
        <v>3483</v>
      </c>
    </row>
    <row r="1177" spans="1:8" ht="409.5" x14ac:dyDescent="0.25">
      <c r="A1177" s="1" t="str">
        <f>HYPERLINK("https://www.albertahealthservices.ca/findhealth/Service.aspx?serviceAtFacilityId=1090105","Continuing Care Counselling")</f>
        <v>Continuing Care Counselling</v>
      </c>
      <c r="B1177" s="1" t="s">
        <v>3486</v>
      </c>
      <c r="C1177" s="2" t="s">
        <v>163</v>
      </c>
      <c r="D1177" s="2" t="s">
        <v>3484</v>
      </c>
      <c r="E1177" s="1"/>
      <c r="F1177" s="2" t="s">
        <v>261</v>
      </c>
      <c r="G1177" s="2" t="s">
        <v>158</v>
      </c>
      <c r="H1177" s="2" t="s">
        <v>3485</v>
      </c>
    </row>
    <row r="1178" spans="1:8" ht="150" x14ac:dyDescent="0.25">
      <c r="A1178" s="1" t="str">
        <f>HYPERLINK("https://www.albertahealthservices.ca/findhealth/Service.aspx?serviceAtFacilityId=1106521","Post Partum Mental Health Services")</f>
        <v>Post Partum Mental Health Services</v>
      </c>
      <c r="B1178" s="1" t="s">
        <v>1422</v>
      </c>
      <c r="C1178" s="2" t="s">
        <v>2595</v>
      </c>
      <c r="D1178" s="2" t="s">
        <v>1420</v>
      </c>
      <c r="E1178" s="1"/>
      <c r="F1178" s="2" t="s">
        <v>311</v>
      </c>
      <c r="G1178" s="2" t="s">
        <v>2594</v>
      </c>
      <c r="H1178" s="2" t="s">
        <v>3487</v>
      </c>
    </row>
    <row r="1179" spans="1:8" ht="135" x14ac:dyDescent="0.25">
      <c r="A1179" s="1" t="str">
        <f>HYPERLINK("https://www.albertahealthservices.ca/findhealth/Service.aspx?serviceAtFacilityId=1003029","Acute Inpatient Psychiatry")</f>
        <v>Acute Inpatient Psychiatry</v>
      </c>
      <c r="B1179" s="1" t="s">
        <v>657</v>
      </c>
      <c r="C1179" s="2" t="s">
        <v>1667</v>
      </c>
      <c r="D1179" s="2" t="s">
        <v>3488</v>
      </c>
      <c r="E1179" s="1"/>
      <c r="F1179" s="2" t="s">
        <v>23</v>
      </c>
      <c r="G1179" s="2" t="s">
        <v>1664</v>
      </c>
      <c r="H1179" s="2" t="s">
        <v>3489</v>
      </c>
    </row>
    <row r="1180" spans="1:8" ht="255" x14ac:dyDescent="0.25">
      <c r="A1180" s="1" t="str">
        <f>HYPERLINK("https://www.albertahealthservices.ca/findhealth/Service.aspx?serviceAtFacilityId=1104654","Designated Supportive Living Level 4 Dementia")</f>
        <v>Designated Supportive Living Level 4 Dementia</v>
      </c>
      <c r="B1180" s="1" t="s">
        <v>3492</v>
      </c>
      <c r="C1180" s="2" t="s">
        <v>43</v>
      </c>
      <c r="D1180" s="2" t="s">
        <v>3490</v>
      </c>
      <c r="E1180" s="1"/>
      <c r="F1180" s="2" t="s">
        <v>40</v>
      </c>
      <c r="G1180" s="2" t="s">
        <v>38</v>
      </c>
      <c r="H1180" s="2" t="s">
        <v>3491</v>
      </c>
    </row>
    <row r="1181" spans="1:8" ht="330" x14ac:dyDescent="0.25">
      <c r="A1181" s="1" t="str">
        <f>HYPERLINK("https://www.albertahealthservices.ca/findhealth/Service.aspx?serviceAtFacilityId=1088467","Pastoral Care Services")</f>
        <v>Pastoral Care Services</v>
      </c>
      <c r="B1181" s="1" t="s">
        <v>3495</v>
      </c>
      <c r="C1181" s="2" t="s">
        <v>423</v>
      </c>
      <c r="D1181" s="2" t="s">
        <v>3493</v>
      </c>
      <c r="E1181" s="1"/>
      <c r="F1181" s="1" t="s">
        <v>34</v>
      </c>
      <c r="G1181" s="2" t="s">
        <v>419</v>
      </c>
      <c r="H1181" s="2" t="s">
        <v>3494</v>
      </c>
    </row>
    <row r="1182" spans="1:8" ht="409.5" x14ac:dyDescent="0.25">
      <c r="A1182" s="1" t="str">
        <f>HYPERLINK("https://www.albertahealthservices.ca/findhealth/Service.aspx?serviceAtFacilityId=1119000","School Health Program")</f>
        <v>School Health Program</v>
      </c>
      <c r="B1182" s="1" t="s">
        <v>963</v>
      </c>
      <c r="C1182" s="2" t="s">
        <v>204</v>
      </c>
      <c r="D1182" s="2" t="s">
        <v>3496</v>
      </c>
      <c r="E1182" s="1"/>
      <c r="F1182" s="2" t="s">
        <v>201</v>
      </c>
      <c r="G1182" s="2" t="s">
        <v>199</v>
      </c>
      <c r="H1182" s="2" t="s">
        <v>3497</v>
      </c>
    </row>
    <row r="1183" spans="1:8" ht="195" x14ac:dyDescent="0.25">
      <c r="A1183" s="1" t="str">
        <f>HYPERLINK("https://www.albertahealthservices.ca/findhealth/Service.aspx?serviceAtFacilityId=1094169","Calgary Eating Disorder Program")</f>
        <v>Calgary Eating Disorder Program</v>
      </c>
      <c r="B1183" s="1" t="s">
        <v>197</v>
      </c>
      <c r="C1183" s="2" t="s">
        <v>1006</v>
      </c>
      <c r="D1183" s="2" t="s">
        <v>3498</v>
      </c>
      <c r="E1183" s="2" t="s">
        <v>1005</v>
      </c>
      <c r="F1183" s="1" t="s">
        <v>34</v>
      </c>
      <c r="G1183" s="2" t="s">
        <v>1002</v>
      </c>
      <c r="H1183" s="2" t="s">
        <v>3499</v>
      </c>
    </row>
    <row r="1184" spans="1:8" ht="285" x14ac:dyDescent="0.25">
      <c r="A1184" s="1" t="str">
        <f>HYPERLINK("https://www.albertahealthservices.ca/findhealth/Service.aspx?serviceAtFacilityId=1051999","School Health Program")</f>
        <v>School Health Program</v>
      </c>
      <c r="B1184" s="1" t="s">
        <v>2089</v>
      </c>
      <c r="C1184" s="2" t="s">
        <v>93</v>
      </c>
      <c r="D1184" s="2" t="s">
        <v>3500</v>
      </c>
      <c r="E1184" s="1"/>
      <c r="F1184" s="1" t="s">
        <v>34</v>
      </c>
      <c r="G1184" s="1" t="s">
        <v>89</v>
      </c>
      <c r="H1184" s="2" t="s">
        <v>3501</v>
      </c>
    </row>
    <row r="1185" spans="1:8" ht="375" x14ac:dyDescent="0.25">
      <c r="A1185" s="1" t="str">
        <f>HYPERLINK("https://www.albertahealthservices.ca/findhealth/Service.aspx?serviceAtFacilityId=1102478","Regional Collaborative Service Delivery - School based and school linked mental health teams")</f>
        <v>Regional Collaborative Service Delivery - School based and school linked mental health teams</v>
      </c>
      <c r="B1185" s="1" t="s">
        <v>148</v>
      </c>
      <c r="C1185" s="2" t="s">
        <v>688</v>
      </c>
      <c r="D1185" s="2" t="s">
        <v>146</v>
      </c>
      <c r="E1185" s="1"/>
      <c r="F1185" s="1" t="s">
        <v>34</v>
      </c>
      <c r="G1185" s="2" t="s">
        <v>685</v>
      </c>
      <c r="H1185" s="2" t="s">
        <v>3502</v>
      </c>
    </row>
    <row r="1186" spans="1:8" ht="135" x14ac:dyDescent="0.25">
      <c r="A1186" s="1" t="str">
        <f>HYPERLINK("https://www.albertahealthservices.ca/findhealth/Service.aspx?serviceAtFacilityId=1081973","Psychosocial and Spiritual Resources")</f>
        <v>Psychosocial and Spiritual Resources</v>
      </c>
      <c r="B1186" s="1" t="s">
        <v>595</v>
      </c>
      <c r="C1186" s="2" t="s">
        <v>1603</v>
      </c>
      <c r="D1186" s="2" t="s">
        <v>3503</v>
      </c>
      <c r="E1186" s="1"/>
      <c r="F1186" s="2" t="s">
        <v>3504</v>
      </c>
      <c r="G1186" s="2" t="s">
        <v>1600</v>
      </c>
      <c r="H1186" s="1" t="s">
        <v>1602</v>
      </c>
    </row>
    <row r="1187" spans="1:8" ht="195" x14ac:dyDescent="0.25">
      <c r="A1187" s="1" t="str">
        <f>HYPERLINK("https://www.albertahealthservices.ca/findhealth/Service.aspx?serviceAtFacilityId=1046100","Child and Adolescent Protection Centre")</f>
        <v>Child and Adolescent Protection Centre</v>
      </c>
      <c r="B1187" s="1" t="s">
        <v>723</v>
      </c>
      <c r="C1187" s="2" t="s">
        <v>3508</v>
      </c>
      <c r="D1187" s="2" t="s">
        <v>3506</v>
      </c>
      <c r="E1187" s="2" t="s">
        <v>3507</v>
      </c>
      <c r="F1187" s="2" t="s">
        <v>190</v>
      </c>
      <c r="G1187" s="2" t="s">
        <v>3505</v>
      </c>
      <c r="H1187" s="1"/>
    </row>
    <row r="1188" spans="1:8" ht="150" x14ac:dyDescent="0.25">
      <c r="A1188" s="1" t="str">
        <f>HYPERLINK("https://www.albertahealthservices.ca/findhealth/Service.aspx?serviceAtFacilityId=1107506","Mental Health Capacity Building - Vermilion Is Being Empowered")</f>
        <v>Mental Health Capacity Building - Vermilion Is Being Empowered</v>
      </c>
      <c r="B1188" s="1" t="s">
        <v>3511</v>
      </c>
      <c r="C1188" s="2" t="s">
        <v>826</v>
      </c>
      <c r="D1188" s="2" t="s">
        <v>3509</v>
      </c>
      <c r="E1188" s="1"/>
      <c r="F1188" s="1" t="s">
        <v>34</v>
      </c>
      <c r="G1188" s="2" t="s">
        <v>821</v>
      </c>
      <c r="H1188" s="2" t="s">
        <v>3510</v>
      </c>
    </row>
    <row r="1189" spans="1:8" ht="210" x14ac:dyDescent="0.25">
      <c r="A1189" s="1" t="str">
        <f>HYPERLINK("https://www.albertahealthservices.ca/findhealth/Service.aspx?serviceAtFacilityId=1047435","Spiritual Care Services")</f>
        <v>Spiritual Care Services</v>
      </c>
      <c r="B1189" s="1" t="s">
        <v>3515</v>
      </c>
      <c r="C1189" s="2" t="s">
        <v>971</v>
      </c>
      <c r="D1189" s="2" t="s">
        <v>3512</v>
      </c>
      <c r="E1189" s="1"/>
      <c r="F1189" s="2" t="s">
        <v>3513</v>
      </c>
      <c r="G1189" s="2" t="s">
        <v>968</v>
      </c>
      <c r="H1189" s="2" t="s">
        <v>3514</v>
      </c>
    </row>
    <row r="1190" spans="1:8" ht="180" x14ac:dyDescent="0.25">
      <c r="A1190" s="1" t="str">
        <f>HYPERLINK("https://www.albertahealthservices.ca/findhealth/Service.aspx?serviceAtFacilityId=1031766","Extended Treatment Program - Mental Health")</f>
        <v>Extended Treatment Program - Mental Health</v>
      </c>
      <c r="B1190" s="1" t="s">
        <v>2092</v>
      </c>
      <c r="C1190" s="2" t="s">
        <v>3518</v>
      </c>
      <c r="D1190" s="2" t="s">
        <v>3517</v>
      </c>
      <c r="E1190" s="1"/>
      <c r="F1190" s="1" t="s">
        <v>34</v>
      </c>
      <c r="G1190" s="2" t="s">
        <v>3516</v>
      </c>
      <c r="H1190" s="1"/>
    </row>
    <row r="1191" spans="1:8" ht="409.5" x14ac:dyDescent="0.25">
      <c r="A1191" s="1" t="str">
        <f>HYPERLINK("https://www.albertahealthservices.ca/findhealth/Service.aspx?serviceAtFacilityId=1116603","Adult Mental Health Treatment Services")</f>
        <v>Adult Mental Health Treatment Services</v>
      </c>
      <c r="B1191" s="1" t="s">
        <v>691</v>
      </c>
      <c r="C1191" s="2" t="s">
        <v>125</v>
      </c>
      <c r="D1191" s="2" t="s">
        <v>3519</v>
      </c>
      <c r="E1191" s="1"/>
      <c r="F1191" s="2" t="s">
        <v>3520</v>
      </c>
      <c r="G1191" s="2" t="s">
        <v>121</v>
      </c>
      <c r="H1191" s="2" t="s">
        <v>3521</v>
      </c>
    </row>
    <row r="1192" spans="1:8" ht="409.5" x14ac:dyDescent="0.25">
      <c r="A1192" s="1" t="str">
        <f>HYPERLINK("https://www.albertahealthservices.ca/findhealth/Service.aspx?serviceAtFacilityId=1004621","Continuing Care Counselling")</f>
        <v>Continuing Care Counselling</v>
      </c>
      <c r="B1192" s="1" t="s">
        <v>3524</v>
      </c>
      <c r="C1192" s="2" t="s">
        <v>163</v>
      </c>
      <c r="D1192" s="2" t="s">
        <v>3522</v>
      </c>
      <c r="E1192" s="1"/>
      <c r="F1192" s="2" t="s">
        <v>160</v>
      </c>
      <c r="G1192" s="2" t="s">
        <v>158</v>
      </c>
      <c r="H1192" s="2" t="s">
        <v>3523</v>
      </c>
    </row>
    <row r="1193" spans="1:8" ht="375" x14ac:dyDescent="0.25">
      <c r="A1193" s="1" t="str">
        <f>HYPERLINK("https://www.albertahealthservices.ca/findhealth/Service.aspx?serviceAtFacilityId=1115276","Community Helpers Program")</f>
        <v>Community Helpers Program</v>
      </c>
      <c r="B1193" s="1" t="s">
        <v>3527</v>
      </c>
      <c r="C1193" s="2" t="s">
        <v>120</v>
      </c>
      <c r="D1193" s="2" t="s">
        <v>3525</v>
      </c>
      <c r="E1193" s="1"/>
      <c r="F1193" s="2" t="s">
        <v>117</v>
      </c>
      <c r="G1193" s="2" t="s">
        <v>115</v>
      </c>
      <c r="H1193" s="2" t="s">
        <v>3526</v>
      </c>
    </row>
    <row r="1194" spans="1:8" ht="409.5" x14ac:dyDescent="0.25">
      <c r="A1194" s="1" t="str">
        <f>HYPERLINK("https://www.albertahealthservices.ca/findhealth/Service.aspx?serviceAtFacilityId=1108516","Provincial Family Violence Treatment Program")</f>
        <v>Provincial Family Violence Treatment Program</v>
      </c>
      <c r="B1194" s="1" t="s">
        <v>1692</v>
      </c>
      <c r="C1194" s="2" t="s">
        <v>232</v>
      </c>
      <c r="D1194" s="2" t="s">
        <v>3528</v>
      </c>
      <c r="E1194" s="1"/>
      <c r="F1194" s="1" t="s">
        <v>34</v>
      </c>
      <c r="G1194" s="2" t="s">
        <v>227</v>
      </c>
      <c r="H1194" s="2" t="s">
        <v>3529</v>
      </c>
    </row>
    <row r="1195" spans="1:8" ht="375" x14ac:dyDescent="0.25">
      <c r="A1195" s="1" t="str">
        <f>HYPERLINK("https://www.albertahealthservices.ca/findhealth/Service.aspx?serviceAtFacilityId=1102326","Mental Health Information, Promotion and Prevention")</f>
        <v>Mental Health Information, Promotion and Prevention</v>
      </c>
      <c r="B1195" s="1" t="s">
        <v>768</v>
      </c>
      <c r="C1195" s="2" t="s">
        <v>20</v>
      </c>
      <c r="D1195" s="2" t="s">
        <v>2809</v>
      </c>
      <c r="E1195" s="2" t="s">
        <v>17</v>
      </c>
      <c r="F1195" s="1" t="s">
        <v>34</v>
      </c>
      <c r="G1195" s="2" t="s">
        <v>14</v>
      </c>
      <c r="H1195" s="2" t="s">
        <v>3530</v>
      </c>
    </row>
    <row r="1196" spans="1:8" ht="270" x14ac:dyDescent="0.25">
      <c r="A1196" s="1" t="str">
        <f>HYPERLINK("https://www.albertahealthservices.ca/findhealth/Service.aspx?serviceAtFacilityId=1104442","Designated Supportive Living Level 4 Dementia")</f>
        <v>Designated Supportive Living Level 4 Dementia</v>
      </c>
      <c r="B1196" s="1" t="s">
        <v>3533</v>
      </c>
      <c r="C1196" s="2" t="s">
        <v>26</v>
      </c>
      <c r="D1196" s="2" t="s">
        <v>3531</v>
      </c>
      <c r="E1196" s="1"/>
      <c r="F1196" s="2" t="s">
        <v>23</v>
      </c>
      <c r="G1196" s="2" t="s">
        <v>21</v>
      </c>
      <c r="H1196" s="2" t="s">
        <v>3532</v>
      </c>
    </row>
    <row r="1197" spans="1:8" ht="409.5" x14ac:dyDescent="0.25">
      <c r="A1197" s="1" t="str">
        <f>HYPERLINK("https://www.albertahealthservices.ca/findhealth/Service.aspx?serviceAtFacilityId=1050506","Therapeutic Recreation Services")</f>
        <v>Therapeutic Recreation Services</v>
      </c>
      <c r="B1197" s="1" t="s">
        <v>1009</v>
      </c>
      <c r="C1197" s="2" t="s">
        <v>37</v>
      </c>
      <c r="D1197" s="2" t="s">
        <v>1007</v>
      </c>
      <c r="E1197" s="1"/>
      <c r="F1197" s="1" t="s">
        <v>34</v>
      </c>
      <c r="G1197" s="2" t="s">
        <v>32</v>
      </c>
      <c r="H1197" s="2" t="s">
        <v>3534</v>
      </c>
    </row>
    <row r="1198" spans="1:8" ht="409.5" x14ac:dyDescent="0.25">
      <c r="A1198" s="1" t="str">
        <f>HYPERLINK("https://www.albertahealthservices.ca/findhealth/Service.aspx?serviceAtFacilityId=1082319","Mental Health Services")</f>
        <v>Mental Health Services</v>
      </c>
      <c r="B1198" s="1" t="s">
        <v>1206</v>
      </c>
      <c r="C1198" s="2" t="s">
        <v>98</v>
      </c>
      <c r="D1198" s="2" t="s">
        <v>3535</v>
      </c>
      <c r="E1198" s="1"/>
      <c r="F1198" s="2" t="s">
        <v>220</v>
      </c>
      <c r="G1198" s="2" t="s">
        <v>94</v>
      </c>
      <c r="H1198" s="2" t="s">
        <v>3536</v>
      </c>
    </row>
    <row r="1199" spans="1:8" ht="409.5" x14ac:dyDescent="0.25">
      <c r="A1199" s="1" t="str">
        <f>HYPERLINK("https://www.albertahealthservices.ca/findhealth/Service.aspx?serviceAtFacilityId=1039715","Mental Health Services")</f>
        <v>Mental Health Services</v>
      </c>
      <c r="B1199" s="1" t="s">
        <v>768</v>
      </c>
      <c r="C1199" s="2" t="s">
        <v>98</v>
      </c>
      <c r="D1199" s="2" t="s">
        <v>766</v>
      </c>
      <c r="E1199" s="1"/>
      <c r="F1199" s="2" t="s">
        <v>716</v>
      </c>
      <c r="G1199" s="2" t="s">
        <v>94</v>
      </c>
      <c r="H1199" s="2" t="s">
        <v>3537</v>
      </c>
    </row>
    <row r="1200" spans="1:8" ht="120" x14ac:dyDescent="0.25">
      <c r="A1200" s="1" t="str">
        <f>HYPERLINK("https://www.albertahealthservices.ca/findhealth/Service.aspx?serviceAtFacilityId=1034009","Psychiatry - Inpatient")</f>
        <v>Psychiatry - Inpatient</v>
      </c>
      <c r="B1200" s="1" t="s">
        <v>103</v>
      </c>
      <c r="C1200" s="2" t="s">
        <v>369</v>
      </c>
      <c r="D1200" s="2" t="s">
        <v>3538</v>
      </c>
      <c r="E1200" s="1"/>
      <c r="F1200" s="1" t="s">
        <v>34</v>
      </c>
      <c r="G1200" s="2" t="s">
        <v>366</v>
      </c>
      <c r="H1200" s="2" t="s">
        <v>102</v>
      </c>
    </row>
    <row r="1201" spans="1:8" ht="210" x14ac:dyDescent="0.25">
      <c r="A1201" s="1" t="str">
        <f>HYPERLINK("https://www.albertahealthservices.ca/findhealth/Service.aspx?serviceAtFacilityId=1093743","Addiction and Mental Health - Outpatient Counseling Services, Adult")</f>
        <v>Addiction and Mental Health - Outpatient Counseling Services, Adult</v>
      </c>
      <c r="B1201" s="1" t="s">
        <v>1074</v>
      </c>
      <c r="C1201" s="2" t="s">
        <v>576</v>
      </c>
      <c r="D1201" s="2" t="s">
        <v>3539</v>
      </c>
      <c r="E1201" s="1"/>
      <c r="F1201" s="2" t="s">
        <v>3540</v>
      </c>
      <c r="G1201" s="2" t="s">
        <v>571</v>
      </c>
      <c r="H1201" s="2" t="s">
        <v>3541</v>
      </c>
    </row>
    <row r="1202" spans="1:8" ht="105" x14ac:dyDescent="0.25">
      <c r="A1202" s="1" t="str">
        <f>HYPERLINK("https://www.albertahealthservices.ca/findhealth/Service.aspx?serviceAtFacilityId=1111143","Addiction and Mental Health - Acute Inpatient Services, Adult")</f>
        <v>Addiction and Mental Health - Acute Inpatient Services, Adult</v>
      </c>
      <c r="B1202" s="1" t="s">
        <v>177</v>
      </c>
      <c r="C1202" s="2" t="s">
        <v>1311</v>
      </c>
      <c r="D1202" s="2" t="s">
        <v>3542</v>
      </c>
      <c r="E1202" s="1"/>
      <c r="F1202" s="2" t="s">
        <v>23</v>
      </c>
      <c r="G1202" s="2" t="s">
        <v>1307</v>
      </c>
      <c r="H1202" s="2" t="s">
        <v>3543</v>
      </c>
    </row>
    <row r="1203" spans="1:8" ht="270" x14ac:dyDescent="0.25">
      <c r="A1203" s="1" t="str">
        <f>HYPERLINK("https://www.albertahealthservices.ca/findhealth/Service.aspx?serviceAtFacilityId=1117901","Addiction Services - Prevention")</f>
        <v>Addiction Services - Prevention</v>
      </c>
      <c r="B1203" s="1" t="s">
        <v>77</v>
      </c>
      <c r="C1203" s="2" t="s">
        <v>782</v>
      </c>
      <c r="D1203" s="2" t="s">
        <v>74</v>
      </c>
      <c r="E1203" s="1"/>
      <c r="F1203" s="2" t="s">
        <v>3544</v>
      </c>
      <c r="G1203" s="2" t="s">
        <v>778</v>
      </c>
      <c r="H1203" s="2" t="s">
        <v>3545</v>
      </c>
    </row>
    <row r="1204" spans="1:8" ht="390" x14ac:dyDescent="0.25">
      <c r="A1204" s="1" t="str">
        <f>HYPERLINK("https://www.albertahealthservices.ca/findhealth/Service.aspx?serviceAtFacilityId=1106047","Designated Supportive Living Level 4 Dementia")</f>
        <v>Designated Supportive Living Level 4 Dementia</v>
      </c>
      <c r="B1204" s="1" t="s">
        <v>3548</v>
      </c>
      <c r="C1204" s="2" t="s">
        <v>31</v>
      </c>
      <c r="D1204" s="2" t="s">
        <v>3546</v>
      </c>
      <c r="E1204" s="1"/>
      <c r="F1204" s="1" t="s">
        <v>34</v>
      </c>
      <c r="G1204" s="2" t="s">
        <v>52</v>
      </c>
      <c r="H1204" s="2" t="s">
        <v>3547</v>
      </c>
    </row>
    <row r="1205" spans="1:8" ht="255" x14ac:dyDescent="0.25">
      <c r="A1205" s="1" t="str">
        <f>HYPERLINK("https://www.albertahealthservices.ca/findhealth/Service.aspx?serviceAtFacilityId=1112306","Walk In Counselling Services")</f>
        <v>Walk In Counselling Services</v>
      </c>
      <c r="B1205" s="1" t="s">
        <v>1654</v>
      </c>
      <c r="C1205" s="2" t="s">
        <v>773</v>
      </c>
      <c r="D1205" s="2" t="s">
        <v>3549</v>
      </c>
      <c r="E1205" s="1"/>
      <c r="F1205" s="2" t="s">
        <v>3550</v>
      </c>
      <c r="G1205" s="2" t="s">
        <v>769</v>
      </c>
      <c r="H1205" s="2" t="s">
        <v>3551</v>
      </c>
    </row>
    <row r="1206" spans="1:8" ht="285" x14ac:dyDescent="0.25">
      <c r="A1206" s="1" t="str">
        <f>HYPERLINK("https://www.albertahealthservices.ca/findhealth/Service.aspx?serviceAtFacilityId=1093780","Addiction Services - Youth Outpatient Counselling")</f>
        <v>Addiction Services - Youth Outpatient Counselling</v>
      </c>
      <c r="B1206" s="1" t="s">
        <v>307</v>
      </c>
      <c r="C1206" s="2" t="s">
        <v>499</v>
      </c>
      <c r="D1206" s="2" t="s">
        <v>3552</v>
      </c>
      <c r="E1206" s="1"/>
      <c r="F1206" s="2" t="s">
        <v>3553</v>
      </c>
      <c r="G1206" s="2" t="s">
        <v>494</v>
      </c>
      <c r="H1206" s="2" t="s">
        <v>3554</v>
      </c>
    </row>
    <row r="1207" spans="1:8" ht="409.5" x14ac:dyDescent="0.25">
      <c r="A1207" s="1" t="str">
        <f>HYPERLINK("https://www.albertahealthservices.ca/findhealth/Service.aspx?serviceAtFacilityId=1111607","Addiction and Mental Health - Psychiatric Outpatient Services, Adult")</f>
        <v>Addiction and Mental Health - Psychiatric Outpatient Services, Adult</v>
      </c>
      <c r="B1207" s="1" t="s">
        <v>401</v>
      </c>
      <c r="C1207" s="2" t="s">
        <v>3557</v>
      </c>
      <c r="D1207" s="2" t="s">
        <v>3556</v>
      </c>
      <c r="E1207" s="1"/>
      <c r="F1207" s="2" t="s">
        <v>10</v>
      </c>
      <c r="G1207" s="2" t="s">
        <v>3555</v>
      </c>
      <c r="H1207" s="1"/>
    </row>
    <row r="1208" spans="1:8" ht="270" x14ac:dyDescent="0.25">
      <c r="A1208" s="1" t="str">
        <f>HYPERLINK("https://www.albertahealthservices.ca/findhealth/Service.aspx?serviceAtFacilityId=1115069","Designated Supportive Living Level 4 Dementia")</f>
        <v>Designated Supportive Living Level 4 Dementia</v>
      </c>
      <c r="B1208" s="1" t="s">
        <v>3560</v>
      </c>
      <c r="C1208" s="2" t="s">
        <v>26</v>
      </c>
      <c r="D1208" s="2" t="s">
        <v>3558</v>
      </c>
      <c r="E1208" s="1"/>
      <c r="F1208" s="2" t="s">
        <v>23</v>
      </c>
      <c r="G1208" s="2" t="s">
        <v>21</v>
      </c>
      <c r="H1208" s="2" t="s">
        <v>3559</v>
      </c>
    </row>
    <row r="1209" spans="1:8" ht="255" x14ac:dyDescent="0.25">
      <c r="A1209" s="1" t="str">
        <f>HYPERLINK("https://www.albertahealthservices.ca/findhealth/Service.aspx?serviceAtFacilityId=1072111","Labour and Delivery Services, Postpartum and Newborn Care")</f>
        <v>Labour and Delivery Services, Postpartum and Newborn Care</v>
      </c>
      <c r="B1209" s="1" t="s">
        <v>741</v>
      </c>
      <c r="C1209" s="2" t="s">
        <v>109</v>
      </c>
      <c r="D1209" s="2" t="s">
        <v>3561</v>
      </c>
      <c r="E1209" s="1"/>
      <c r="F1209" s="2" t="s">
        <v>23</v>
      </c>
      <c r="G1209" s="2" t="s">
        <v>105</v>
      </c>
      <c r="H1209" s="2" t="s">
        <v>3562</v>
      </c>
    </row>
    <row r="1210" spans="1:8" ht="255" x14ac:dyDescent="0.25">
      <c r="A1210" s="1" t="str">
        <f>HYPERLINK("https://www.albertahealthservices.ca/findhealth/Service.aspx?serviceAtFacilityId=1104652","Designated Supportive Living Level 4 Dementia")</f>
        <v>Designated Supportive Living Level 4 Dementia</v>
      </c>
      <c r="B1210" s="1" t="s">
        <v>3565</v>
      </c>
      <c r="C1210" s="2" t="s">
        <v>43</v>
      </c>
      <c r="D1210" s="2" t="s">
        <v>3563</v>
      </c>
      <c r="E1210" s="1"/>
      <c r="F1210" s="2" t="s">
        <v>40</v>
      </c>
      <c r="G1210" s="2" t="s">
        <v>38</v>
      </c>
      <c r="H1210" s="2" t="s">
        <v>3564</v>
      </c>
    </row>
    <row r="1211" spans="1:8" ht="210" x14ac:dyDescent="0.25">
      <c r="A1211" s="1" t="str">
        <f>HYPERLINK("https://www.albertahealthservices.ca/findhealth/Service.aspx?serviceAtFacilityId=1119441","Designated Supportive Living Level 4 Dementia")</f>
        <v>Designated Supportive Living Level 4 Dementia</v>
      </c>
      <c r="B1211" s="1" t="s">
        <v>3568</v>
      </c>
      <c r="C1211" s="2" t="s">
        <v>43</v>
      </c>
      <c r="D1211" s="2" t="s">
        <v>3566</v>
      </c>
      <c r="E1211" s="1"/>
      <c r="F1211" s="2" t="s">
        <v>23</v>
      </c>
      <c r="G1211" s="2" t="s">
        <v>38</v>
      </c>
      <c r="H1211" s="2" t="s">
        <v>3567</v>
      </c>
    </row>
    <row r="1212" spans="1:8" ht="390" x14ac:dyDescent="0.25">
      <c r="A1212" s="1" t="str">
        <f>HYPERLINK("https://www.albertahealthservices.ca/findhealth/Service.aspx?serviceAtFacilityId=1102359","Children's Mental Health Treatment Services")</f>
        <v>Children's Mental Health Treatment Services</v>
      </c>
      <c r="B1212" s="1" t="s">
        <v>77</v>
      </c>
      <c r="C1212" s="2" t="s">
        <v>84</v>
      </c>
      <c r="D1212" s="2" t="s">
        <v>1962</v>
      </c>
      <c r="E1212" s="2" t="s">
        <v>82</v>
      </c>
      <c r="F1212" s="2" t="s">
        <v>234</v>
      </c>
      <c r="G1212" s="2" t="s">
        <v>79</v>
      </c>
      <c r="H1212" s="2" t="s">
        <v>3569</v>
      </c>
    </row>
    <row r="1213" spans="1:8" ht="120" x14ac:dyDescent="0.25">
      <c r="A1213" s="1" t="str">
        <f>HYPERLINK("https://www.albertahealthservices.ca/findhealth/Service.aspx?serviceAtFacilityId=1052413","Mental Health Services")</f>
        <v>Mental Health Services</v>
      </c>
      <c r="B1213" s="1" t="s">
        <v>2021</v>
      </c>
      <c r="C1213" s="2" t="s">
        <v>249</v>
      </c>
      <c r="D1213" s="2" t="s">
        <v>3570</v>
      </c>
      <c r="E1213" s="1"/>
      <c r="F1213" s="1" t="s">
        <v>34</v>
      </c>
      <c r="G1213" s="2" t="s">
        <v>245</v>
      </c>
      <c r="H1213" s="2" t="s">
        <v>3571</v>
      </c>
    </row>
    <row r="1214" spans="1:8" ht="90" x14ac:dyDescent="0.25">
      <c r="A1214" s="1" t="str">
        <f>HYPERLINK("https://www.albertahealthservices.ca/findhealth/Service.aspx?serviceAtFacilityId=1113003","Mental Health Capacity Building - Aim For Success")</f>
        <v>Mental Health Capacity Building - Aim For Success</v>
      </c>
      <c r="B1214" s="1" t="s">
        <v>3574</v>
      </c>
      <c r="C1214" s="2" t="s">
        <v>477</v>
      </c>
      <c r="D1214" s="2" t="s">
        <v>3572</v>
      </c>
      <c r="E1214" s="2" t="s">
        <v>474</v>
      </c>
      <c r="F1214" s="1" t="s">
        <v>34</v>
      </c>
      <c r="G1214" s="2" t="s">
        <v>472</v>
      </c>
      <c r="H1214" s="2" t="s">
        <v>3573</v>
      </c>
    </row>
    <row r="1215" spans="1:8" ht="105" x14ac:dyDescent="0.25">
      <c r="A1215" s="1" t="str">
        <f>HYPERLINK("https://www.albertahealthservices.ca/findhealth/Service.aspx?serviceAtFacilityId=1042902","Recreation Therapy")</f>
        <v>Recreation Therapy</v>
      </c>
      <c r="B1215" s="1" t="s">
        <v>561</v>
      </c>
      <c r="C1215" s="2" t="s">
        <v>3578</v>
      </c>
      <c r="D1215" s="2" t="s">
        <v>3576</v>
      </c>
      <c r="E1215" s="1"/>
      <c r="F1215" s="2" t="s">
        <v>3577</v>
      </c>
      <c r="G1215" s="2" t="s">
        <v>3575</v>
      </c>
      <c r="H1215" s="1"/>
    </row>
    <row r="1216" spans="1:8" ht="180" x14ac:dyDescent="0.25">
      <c r="A1216" s="1" t="str">
        <f>HYPERLINK("https://www.albertahealthservices.ca/findhealth/Service.aspx?serviceAtFacilityId=1064704","Child and Adolescent Addiction and Mental Health Community Clinics")</f>
        <v>Child and Adolescent Addiction and Mental Health Community Clinics</v>
      </c>
      <c r="B1216" s="1" t="s">
        <v>847</v>
      </c>
      <c r="C1216" s="2" t="s">
        <v>1566</v>
      </c>
      <c r="D1216" s="2" t="s">
        <v>3579</v>
      </c>
      <c r="E1216" s="1"/>
      <c r="F1216" s="2" t="s">
        <v>1564</v>
      </c>
      <c r="G1216" s="2" t="s">
        <v>1562</v>
      </c>
      <c r="H1216" s="2" t="s">
        <v>3580</v>
      </c>
    </row>
    <row r="1217" spans="1:8" ht="255" x14ac:dyDescent="0.25">
      <c r="A1217" s="1" t="str">
        <f>HYPERLINK("https://www.albertahealthservices.ca/findhealth/Service.aspx?serviceAtFacilityId=1093952","Addiction Services - Adult Transitional")</f>
        <v>Addiction Services - Adult Transitional</v>
      </c>
      <c r="B1217" s="1" t="s">
        <v>3583</v>
      </c>
      <c r="C1217" s="2" t="s">
        <v>2459</v>
      </c>
      <c r="D1217" s="2" t="s">
        <v>3581</v>
      </c>
      <c r="E1217" s="1"/>
      <c r="F1217" s="2" t="s">
        <v>3582</v>
      </c>
      <c r="G1217" s="2" t="s">
        <v>2455</v>
      </c>
      <c r="H1217" s="1" t="s">
        <v>2458</v>
      </c>
    </row>
    <row r="1218" spans="1:8" ht="165" x14ac:dyDescent="0.25">
      <c r="A1218" s="1" t="str">
        <f>HYPERLINK("https://www.albertahealthservices.ca/findhealth/Service.aspx?serviceAtFacilityId=1111303","Addiction and Mental Health - Community Services, Child and Adolescent")</f>
        <v>Addiction and Mental Health - Community Services, Child and Adolescent</v>
      </c>
      <c r="B1218" s="1" t="s">
        <v>1380</v>
      </c>
      <c r="C1218" s="2" t="s">
        <v>292</v>
      </c>
      <c r="D1218" s="2" t="s">
        <v>3584</v>
      </c>
      <c r="E1218" s="2" t="s">
        <v>289</v>
      </c>
      <c r="F1218" s="2" t="s">
        <v>288</v>
      </c>
      <c r="G1218" s="2" t="s">
        <v>286</v>
      </c>
      <c r="H1218" s="2" t="s">
        <v>3585</v>
      </c>
    </row>
    <row r="1219" spans="1:8" ht="180" x14ac:dyDescent="0.25">
      <c r="A1219" s="1" t="str">
        <f>HYPERLINK("https://www.albertahealthservices.ca/findhealth/Service.aspx?serviceAtFacilityId=1104803","Community Addiction and Mental Health Clinics")</f>
        <v>Community Addiction and Mental Health Clinics</v>
      </c>
      <c r="B1219" s="1" t="s">
        <v>108</v>
      </c>
      <c r="C1219" s="2" t="s">
        <v>1546</v>
      </c>
      <c r="D1219" s="2" t="s">
        <v>3586</v>
      </c>
      <c r="E1219" s="1"/>
      <c r="F1219" s="2" t="s">
        <v>3587</v>
      </c>
      <c r="G1219" s="2" t="s">
        <v>1542</v>
      </c>
      <c r="H1219" s="2" t="s">
        <v>3588</v>
      </c>
    </row>
    <row r="1220" spans="1:8" ht="409.5" x14ac:dyDescent="0.25">
      <c r="A1220" s="1" t="str">
        <f>HYPERLINK("https://www.albertahealthservices.ca/findhealth/Service.aspx?serviceAtFacilityId=1108526","Provincial Family Violence Treatment Program")</f>
        <v>Provincial Family Violence Treatment Program</v>
      </c>
      <c r="B1220" s="1" t="s">
        <v>3591</v>
      </c>
      <c r="C1220" s="2" t="s">
        <v>232</v>
      </c>
      <c r="D1220" s="2" t="s">
        <v>3589</v>
      </c>
      <c r="E1220" s="1"/>
      <c r="F1220" s="1" t="s">
        <v>34</v>
      </c>
      <c r="G1220" s="2" t="s">
        <v>227</v>
      </c>
      <c r="H1220" s="2" t="s">
        <v>3590</v>
      </c>
    </row>
    <row r="1221" spans="1:8" ht="409.5" x14ac:dyDescent="0.25">
      <c r="A1221" s="1" t="str">
        <f>HYPERLINK("https://www.albertahealthservices.ca/findhealth/Service.aspx?serviceAtFacilityId=1094278","Mental Health Services")</f>
        <v>Mental Health Services</v>
      </c>
      <c r="B1221" s="1" t="s">
        <v>113</v>
      </c>
      <c r="C1221" s="2" t="s">
        <v>98</v>
      </c>
      <c r="D1221" s="2" t="s">
        <v>3592</v>
      </c>
      <c r="E1221" s="1"/>
      <c r="F1221" s="2" t="s">
        <v>3593</v>
      </c>
      <c r="G1221" s="2" t="s">
        <v>94</v>
      </c>
      <c r="H1221" s="2" t="s">
        <v>3594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alberta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Bhanu Teja Kasani</dc:creator>
  <cp:lastModifiedBy>Bhanu Teja Kasani</cp:lastModifiedBy>
  <dcterms:created xsi:type="dcterms:W3CDTF">2019-03-22T23:31:02Z</dcterms:created>
  <dcterms:modified xsi:type="dcterms:W3CDTF">2019-03-22T23:36:28Z</dcterms:modified>
</cp:coreProperties>
</file>