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kasan\OneDrive\PC Desktop\Web Scraping\CPSO\"/>
    </mc:Choice>
  </mc:AlternateContent>
  <xr:revisionPtr revIDLastSave="0" documentId="10_ncr:100000_{5E8A5628-3B97-4ED8-81E3-95567813700D}" xr6:coauthVersionLast="31" xr6:coauthVersionMax="31" xr10:uidLastSave="{00000000-0000-0000-0000-000000000000}"/>
  <bookViews>
    <workbookView xWindow="0" yWindow="0" windowWidth="15345" windowHeight="3885" activeTab="2" xr2:uid="{00000000-000D-0000-FFFF-FFFF00000000}"/>
  </bookViews>
  <sheets>
    <sheet name="Stats" sheetId="3" r:id="rId1"/>
    <sheet name="Headings" sheetId="2" r:id="rId2"/>
    <sheet name="Data" sheetId="1" r:id="rId3"/>
  </sheets>
  <calcPr calcId="179017"/>
</workbook>
</file>

<file path=xl/calcChain.xml><?xml version="1.0" encoding="utf-8"?>
<calcChain xmlns="http://schemas.openxmlformats.org/spreadsheetml/2006/main">
  <c r="A2469" i="1" l="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<sst xmlns="http://schemas.openxmlformats.org/spreadsheetml/2006/main" count="50398" uniqueCount="22845">
  <si>
    <t>Name</t>
  </si>
  <si>
    <t>CPSO</t>
  </si>
  <si>
    <t>Current Status</t>
  </si>
  <si>
    <t>CPSO Registration Class</t>
  </si>
  <si>
    <t>Former Name</t>
  </si>
  <si>
    <t>Gender</t>
  </si>
  <si>
    <t>Languages Spoken</t>
  </si>
  <si>
    <t>Education</t>
  </si>
  <si>
    <t>Address</t>
  </si>
  <si>
    <t>Phone</t>
  </si>
  <si>
    <t>Fax</t>
  </si>
  <si>
    <t>Electoral</t>
  </si>
  <si>
    <t>Hospital Privileges</t>
  </si>
  <si>
    <t>Action|Issue Date</t>
  </si>
  <si>
    <t>Corporation Name-1</t>
  </si>
  <si>
    <t>Authorization-1</t>
  </si>
  <si>
    <t>ShareHolders-1</t>
  </si>
  <si>
    <t>Address-1</t>
  </si>
  <si>
    <t>Corporation Name-2</t>
  </si>
  <si>
    <t>Authorization-2</t>
  </si>
  <si>
    <t>ShareHolders-2</t>
  </si>
  <si>
    <t>Address-2</t>
  </si>
  <si>
    <t>Corporation Name-3</t>
  </si>
  <si>
    <t>Authorization-3</t>
  </si>
  <si>
    <t>ShareHolders-3</t>
  </si>
  <si>
    <t>Address-3</t>
  </si>
  <si>
    <t>107942</t>
  </si>
  <si>
    <t xml:space="preserve">Active Member as of 02 Sep 2015 </t>
  </si>
  <si>
    <t xml:space="preserve">Independent Practice as of 02 Sep 2015 </t>
  </si>
  <si>
    <t>No Former Name</t>
  </si>
  <si>
    <t>Male</t>
  </si>
  <si>
    <t>English</t>
  </si>
  <si>
    <t>Saba University School of Medicine, 2003</t>
  </si>
  <si>
    <t>Rouge Valley Health System,580 Harwood Ave  S.,3rd floor West wing,Ajax ON  L1S 2J4</t>
  </si>
  <si>
    <t>905-683-2320 Ext. 3275</t>
  </si>
  <si>
    <t>905-683-8527</t>
  </si>
  <si>
    <t>05</t>
  </si>
  <si>
    <t>Psychiatry||Effective: 11 May 2015||RCPSC Specialist</t>
  </si>
  <si>
    <t>First certificate of registration issued: Independent Practice Certificate||Effective:   02 Sep 2015</t>
  </si>
  <si>
    <t>No</t>
  </si>
  <si>
    <t>Dr. Aaron Khitab Medicine Professional Corporation</t>
  </si>
  <si>
    <t>Issued Date:  Apr 17 2017</t>
  </si>
  <si>
    <t>Dr. A. Khitab (CPSO# 107942)</t>
  </si>
  <si>
    <t>Rouge Valley Health System,3rd Floor West Wing,580 Harwood Avenue South,Ajax ON  L1S 2J4,(905) 683-2320</t>
  </si>
  <si>
    <t>80683</t>
  </si>
  <si>
    <t xml:space="preserve">Active Member as of 01 Jul 2004 </t>
  </si>
  <si>
    <t xml:space="preserve">Independent Practice as of 30 Jun 2009 </t>
  </si>
  <si>
    <t>Female</t>
  </si>
  <si>
    <t>McMaster University, 2004</t>
  </si>
  <si>
    <t>Women's College Hospital,7th Floor,76 Grenville Street,Toronto ON  M5S 1B2</t>
  </si>
  <si>
    <t>(416) 323-6230</t>
  </si>
  <si>
    <t>(416) 323-6356</t>
  </si>
  <si>
    <t>10</t>
  </si>
  <si>
    <t>Nameres (Native Men's Residence),14 Vaughan Road,Toronto ON  M6G 2N1,Canada,Phone:(416) 652-0334,County:City of Toronto,Electoral District:10</t>
  </si>
  <si>
    <t>St Michael's Hospital:Toronto
Women's College Hospital:Toronto</t>
  </si>
  <si>
    <t>Psychiatry||Effective: 30 Jun 2009||RCPSC Specialist</t>
  </si>
  <si>
    <t>University of Toronto, 01 Jul 2004  to 30 Jun 2005|PostGrad Yr 1 - Psychiatry
University of Toronto, 01 Jul 2005  to 30 Jun 2006|PostGrad Yr 2 - Psychiatry
University of Toronto, 01 Jul 2006  to 30 Jun 2007|PostGrad Yr 3 - Psychiatry
University of Toronto, 01 Jul 2007  to 30 Jun 2008|PostGrad Yr 4 - Psychiatry
University of Toronto, 01 Jul 2008  to 30 Jun 2009|PostGrad Yr 5 - Psychiatry</t>
  </si>
  <si>
    <t>First certificate of registration issued: Postgraduate Education Certificate||Effective:   01 Jul 2004
Transfer of class of registration to: Independent Practice Certificate||Effective:   30 Jun 2009</t>
  </si>
  <si>
    <t>74225</t>
  </si>
  <si>
    <t xml:space="preserve">Active Member as of 04 Jun 2015 </t>
  </si>
  <si>
    <t xml:space="preserve">Restricted as of 04 Jun 2015 </t>
  </si>
  <si>
    <t>English, Hindi, Panjabi/Punjabi, Urdu</t>
  </si>
  <si>
    <t>University of Karachi, 1990</t>
  </si>
  <si>
    <t>3955 Tecumseh Road East,Windsor ON  N8W 1J5</t>
  </si>
  <si>
    <t>5199155565</t>
  </si>
  <si>
    <t>01</t>
  </si>
  <si>
    <t>USA - Michigan</t>
  </si>
  <si>
    <t>Windsor Regional Hospital,Ouellette Campus:Windsor</t>
  </si>
  <si>
    <t>Psychiatry||Effective: 04 Jun 2015||CPSO Recognized Specialist</t>
  </si>
  <si>
    <t>The University of Western Ontario, 12 Jul 1999  to 30 Jun 2000|PostGrad Yr 5 - Psychiatry
The University of Western Ontario, 01 Jul 2000  to 11 Aug 2000|PostGrad Yr 5 - Psychiatry
The University of Western Ontario, 01 Sep 2000  to 31 Aug 2001|Clinical Fellow - Psychiatry
The University of Western Ontario, 01 Sep 2001  to 31 Aug 2002|Clinical Fellow - Psychiatry</t>
  </si>
  <si>
    <t>First certificate of registration issued: Postgraduate Education Certificate||Effective:   11 Aug 1999
Expired: Terms and conditions of certificate of registration||Expiry:      11 Aug 2000
Subsequent certificate of registration Issued: Postgraduate Education Certificate||Effective:   01 Sep 2000
Expired: Terms and conditions of certificate of registration||Expiry:      31 Aug 2002
Subsequent certificate of registration issued: Restricted certificate||Effective:   04 Jun 2015
Terms and conditions amended by Registration Committee||Effective:   31 Oct 2016</t>
  </si>
  <si>
    <t>Yes</t>
  </si>
  <si>
    <t>Abdul Aleem Khan Medicine Professional Corporation</t>
  </si>
  <si>
    <t>Issued Date:  Jun 11 2015</t>
  </si>
  <si>
    <t>Dr. A. Khan (CPSO# 74225)</t>
  </si>
  <si>
    <t>3955 Tecumseh Road East,Windsor ON  N8W 1J5,(519) 915-5565</t>
  </si>
  <si>
    <t>28018</t>
  </si>
  <si>
    <t xml:space="preserve">Active Member as of 19 Jan 1976 </t>
  </si>
  <si>
    <t xml:space="preserve">Independent Practice as of 19 Jan 1976 </t>
  </si>
  <si>
    <t>English, Hindi, Urdu</t>
  </si>
  <si>
    <t>University of Karachi, 1961</t>
  </si>
  <si>
    <t>Care Medics Mcarthur,Unit 103,311 Mcarthur Avenue,Ottawa ON  K1L 8M3</t>
  </si>
  <si>
    <t>(613) 749-1678</t>
  </si>
  <si>
    <t>(613) 749-9446</t>
  </si>
  <si>
    <t>07</t>
  </si>
  <si>
    <t>Psychiatry||Effective: 22 Nov 1971||RCPSC Specialist</t>
  </si>
  <si>
    <t>First certificate of registration issued: Independent Practice Certificate||Effective:   19 Jan 1976</t>
  </si>
  <si>
    <t>86007</t>
  </si>
  <si>
    <t xml:space="preserve">Active Member as of 07 Mar 2007 </t>
  </si>
  <si>
    <t xml:space="preserve">Restricted as of 07 Mar 2007 </t>
  </si>
  <si>
    <t>University of Karachi, 1986</t>
  </si>
  <si>
    <t>UNIT A01,6405 ERIN MILLS PARKWAY,Mississauga ON  L5N 4H4</t>
  </si>
  <si>
    <t>905-582-0232</t>
  </si>
  <si>
    <t>905-582-3846</t>
  </si>
  <si>
    <t>2165 Grosvenor st,Oakville ON  L6H 7K9,Canada,Phone:905 582 0232,Fax:905 582 3846,County:Regional Municipality of Halton,Electoral District:04
Grand River Hospital,835 King Street,Kitchener ON  N2G 2M7,Canada,County:Regional Municipality of Waterloo,Electoral District:03
310 king st,Kitchener ON  N2G 2L3,Canada,County:Regional Municipality of Waterloo,Electoral District:03</t>
  </si>
  <si>
    <t>Grand River Hospital Corporation,Kitchener Waterloo Site:Kitchener</t>
  </si>
  <si>
    <t>Psychiatry||Effective: 07 Mar 2007||CPSO Recognized Specialist</t>
  </si>
  <si>
    <t>First certificate of registration issued: Restricted certificate||Effective:   07 Mar 2007
Terms and conditions imposed on certificate by Registration Committee||Effective:   07 Mar 2007
Expiry date attached to certificate of registration.||Expiry Date: 06 Sep 2008
Terms and conditions amended by Registration Committee||Effective:   30 Jul 2008
Expiry date removed from certificate of registration.||Effective:   14 Aug 2008</t>
  </si>
  <si>
    <t>Dr. A. Farooqi Medicine Professional Corporation</t>
  </si>
  <si>
    <t>Issued Date:  Jun 30 2008</t>
  </si>
  <si>
    <t>Dr. A. Farooqi (CPSO# 86007)</t>
  </si>
  <si>
    <t>2165 Grovesnor Street,Oakville ON  L6H 7K9,(519) 498-5660</t>
  </si>
  <si>
    <t>85985</t>
  </si>
  <si>
    <t xml:space="preserve">Active Member as of 01 Mar 2007 </t>
  </si>
  <si>
    <t xml:space="preserve">Independent Practice as of 09 Apr 2013 </t>
  </si>
  <si>
    <t>Arabic, English</t>
  </si>
  <si>
    <t>University of Aberdeen, 2004</t>
  </si>
  <si>
    <t>Practice Address Not Available</t>
  </si>
  <si>
    <t>Kuwait</t>
  </si>
  <si>
    <t>Psychiatry||Effective: 23 May 2012||RCPSC Specialist</t>
  </si>
  <si>
    <t>University of Toronto, 01 Mar 2007  to 23 May 2007|PEAP - Resident - Psychiatry
University of Toronto, 24 May 2007  to 23 May 2008|PostGrad Yr 1 - Psychiatry
University of Toronto, 24 May 2008  to 23 May 2009|PostGrad Yr 2 - Psychiatry
University of Toronto, 24 May 2009  to 23 May 2010|PostGrad Yr 3 - Psychiatry
University of Toronto, 24 May 2010  to 30 Jun 2010|PostGrad Yr 4 - Psychiatry
University of Toronto, 01 Jul 2010  to 23 May 2011|PostGrad Yr 4 - Psychiatry
University of Toronto, 24 May 2011  to 23 May 2012|PostGrad Yr 5 - Psychiatry
University of Toronto, 24 May 2012  to 30 Jun 2012|Clinical Fellow - Psychiatry
University of Toronto, 01 Jul 2012  to 30 Jun 2013|Clinical Fellow - Psychiatry
University of Toronto, 01 Jul 2013  to 02 Jan 2014|Clinical Fellow - Psychiatry
University of Toronto, 03 Jan 2014  to 30 Jun 2014|Clinical Fellow - Psychiatry
University of Toronto, 01 Jul 2014  to 01 Sep 2014|Clinical Fellow - Psychiatry</t>
  </si>
  <si>
    <t>First certificate of registration issued: Pre Entry Assessment Program Certificate||Effective:   01 Mar 2007
Transfer of class of registration to: Postgraduate Education Certificate||Effective:   24 May 2007
Transfer of class of registration to: Independent Practice Certificate||Effective:   09 Apr 2013</t>
  </si>
  <si>
    <t>52224</t>
  </si>
  <si>
    <t xml:space="preserve">Active Member as of 14 Apr 1982 </t>
  </si>
  <si>
    <t xml:space="preserve">Independent Practice as of 11 Aug 1986 </t>
  </si>
  <si>
    <t>English, Spanish</t>
  </si>
  <si>
    <t>University of Costa Rica, 1978</t>
  </si>
  <si>
    <t>Department Of Psychiatry,The Hospital For Sick Children,555 University Avenue,Toronto ON  M5G 1X8</t>
  </si>
  <si>
    <t>(416) 813-7529</t>
  </si>
  <si>
    <t>(416) 813-5326</t>
  </si>
  <si>
    <t>Northwest Territories</t>
  </si>
  <si>
    <t>Hospital For Sick Children:Toronto</t>
  </si>
  <si>
    <t>Psychiatry||Effective: 09 Jun 1986||RCPSC Specialist</t>
  </si>
  <si>
    <t>First certificate of registration issued: Postgraduate Education Certificate||Effective:   14 Apr 1982
Expired: Terms and conditions of certificate of registration||Expiry:      30 Jun 1986
Transfer of class of registration to: Independent Practice Certificate||Effective:   11 Aug 1986</t>
  </si>
  <si>
    <t>Abel Ickowicz Medicine Professional Corporation</t>
  </si>
  <si>
    <t>Issued Date:  Jun 29 2016</t>
  </si>
  <si>
    <t>Dr. A. Ickowicz (CPSO# 52224)</t>
  </si>
  <si>
    <t>The Hospital for Sick Children,Department of Psychiatry,555 University Avenue,Suite 1160,Toronto ON  M5G 1X8,(416) 813-6936</t>
  </si>
  <si>
    <t>71882</t>
  </si>
  <si>
    <t xml:space="preserve">Active Member as of 08 Jun 1998 </t>
  </si>
  <si>
    <t xml:space="preserve">Independent Practice as of 08 Jun 1998 </t>
  </si>
  <si>
    <t>English, Hindi</t>
  </si>
  <si>
    <t>Nalanda Medical College, 1982</t>
  </si>
  <si>
    <t>Parkwood Institute Mental Health,550 Wellington Road,London,On.,London ON  N6C 0A7</t>
  </si>
  <si>
    <t>(519) 455-5110 Ext. 47581</t>
  </si>
  <si>
    <t>02</t>
  </si>
  <si>
    <t>Suite 206,450 Central Avenue,London ON  N6B 2E8,Canada,Phone:(519) 936-1166,Fax:(519) 913-4395,County:County of Middlesex,Electoral District:02
Woodstock General Hospital,310 Juliana Drive,Woodstock,Ontario,Woodstock ON  N4V 0A4,Canada,Phone:(519) 421-4223,County:County of Oxford,Electoral District:02</t>
  </si>
  <si>
    <t>St Joseph Health Care,London- Mental Health:London
Woodstock General Hospital:Woodstock</t>
  </si>
  <si>
    <t>Psychiatry||Effective: 31 Dec 1997||RCPSC Specialist</t>
  </si>
  <si>
    <t>The University of Western Ontario, 11 Aug 1997  to 21 Nov 1997|Elective Trainee - Psychiatry</t>
  </si>
  <si>
    <t>First certificate of registration issued: Postgraduate Education Certificate||Effective:   11 Aug 1997
Expired: Terms and conditions of certificate of registration||Expiry:      21 Nov 1997
Subsequent certificate of registration Issued: Independent Practice Certificate||Effective:   08 Jun 1998</t>
  </si>
  <si>
    <t>Singh and Singh Medicine Professional Corporation</t>
  </si>
  <si>
    <t>Issued Date:  Jan 02 2007</t>
  </si>
  <si>
    <t>Dr. A. Singh (CPSO# 71882),Dr. S. Singh (CPSO# 73383)</t>
  </si>
  <si>
    <t>Suite 206,450 Central Avenue,London ON  N6B 2E8,(519) 936-1166
St Joseph's Health Centre,St Joseph's Health Centre,268 Grosvenor Street,London ON  N6A 4V2,(519) 646-6000
London Health Sciences Centre,London Health Sciences Centre,University Campus,339 Windermere Road,London ON  N6A 5A5,(519) 685-8500
800 Commissioners Road,800 Commissioners Road,London ON  N6A 5W9,(519) 685-8500
310 Juliana Drive,310 Juliana Drive,Woodstock ON  N4V 0A4,(519) 421-4223</t>
  </si>
  <si>
    <t>94989</t>
  </si>
  <si>
    <t xml:space="preserve">Active Member as of 10 Aug 2012 </t>
  </si>
  <si>
    <t xml:space="preserve">Independent Practice as of 10 Aug 2012 </t>
  </si>
  <si>
    <t>English, Yoruba</t>
  </si>
  <si>
    <t>University of Lagos, 1995</t>
  </si>
  <si>
    <t>Grand River Hospital,Department of Psychiatry,835 King Street West,Kitchener ON  N2G 1G3</t>
  </si>
  <si>
    <t>(519) 749-4300 Ext. 2313</t>
  </si>
  <si>
    <t>03</t>
  </si>
  <si>
    <t>PHOENIX HEALTHCARE CENTER,SUITE 301,450 FREDERICK STREET,Kitchener ON  N2H 2P5,Canada,Phone:(519) 748-6933,Fax:(519) 748-9733,County:Regional Municipality of Waterloo,Electoral District:03</t>
  </si>
  <si>
    <t>Psychiatry||Effective: 05 May 2010||RCPSC Specialist</t>
  </si>
  <si>
    <t>First certificate of registration issued: Restricted certificate||Effective:   16 May 2011
Terms and conditions imposed on certificate by Registration Committee||Effective:   16 May 2011
Expiry date attached to certificate of registration.||Expiry Date: 15 May 2014
Expired: Terms and conditions imposed on certificate by Registration Committee||Effective:   10 Aug 2012
Subsequent certificate of registration Issued: Independent Practice Certificate||Effective:   10 Aug 2012</t>
  </si>
  <si>
    <t>Dr. A. Popoola Medicine Professional Corporation</t>
  </si>
  <si>
    <t>Issued Date:  Oct 28 2011</t>
  </si>
  <si>
    <t>Dr. A. Popoola (CPSO# 94989)</t>
  </si>
  <si>
    <t>Grand River Hospital,Department of Psychiatry,835 King Street West,Kitchener ON  N2G 1G3,(519) 722-4300</t>
  </si>
  <si>
    <t>61592</t>
  </si>
  <si>
    <t xml:space="preserve">Active Member as of 14 Sep 1990 </t>
  </si>
  <si>
    <t xml:space="preserve">Independent Practice as of 04 Jul 1991 </t>
  </si>
  <si>
    <t>Snaiderman, Abraham Hass (used until: 19 Aug 1992 )</t>
  </si>
  <si>
    <t>National Autonomous University of Mexico, 1983</t>
  </si>
  <si>
    <t>Toronto Rehabilitation Inst.,University Health Network,550 University Avenue,Toronto ON  M5G 2A2</t>
  </si>
  <si>
    <t>(416) 597-3422 Ext. 3605</t>
  </si>
  <si>
    <t>Newfoundland and Labrador</t>
  </si>
  <si>
    <t>University Health Network,Toronto Rehabilitation Institute:Toronto</t>
  </si>
  <si>
    <t>Psychiatry||Effective: 30 Jun 1995||RCPSC Specialist</t>
  </si>
  <si>
    <t>University of Toronto, 01 Jul 1994  to 30 Jun 1995|Resident 4 - Psychiatry</t>
  </si>
  <si>
    <t>First certificate of registration issued: Postgraduate Education Certificate||Effective:   11 Aug 1989
Expired: Terms and conditions of certificate of registration||Expiry:      23 Aug 1989
Subsequent certificate of registration Issued: Postgraduate Education Certificate||Effective:   14 Sep 1990
Transfer of class of registration to: Independent Practice Certificate||Effective:   04 Jul 1991</t>
  </si>
  <si>
    <t>Dr. A. Snaiderman Medicine Professional Corporation</t>
  </si>
  <si>
    <t>Issued Date:  Nov 10 2011</t>
  </si>
  <si>
    <t>Dr. A. Snaiderman (CPSO# 61592)</t>
  </si>
  <si>
    <t>Toronto Rehabilitation Inst.,550 University Avenue,Room East 10-123,Toronto ON  M5G 2A2,(416) 597-3422</t>
  </si>
  <si>
    <t>55000</t>
  </si>
  <si>
    <t xml:space="preserve">Active Member as of 13 Nov 1984 </t>
  </si>
  <si>
    <t xml:space="preserve">Independent Practice as of 16 Nov 1994 </t>
  </si>
  <si>
    <t>Bengali, English, Hindi, Urdu</t>
  </si>
  <si>
    <t>Dacca Medical College, 1965</t>
  </si>
  <si>
    <t>St George Medical Centre,Suite 16,585 Ontario Street,Milton ON  L9T 2N2</t>
  </si>
  <si>
    <t>(905) 369-0605</t>
  </si>
  <si>
    <t>(905) 369-0615</t>
  </si>
  <si>
    <t>04</t>
  </si>
  <si>
    <t>Psychiatry||Effective: 23 Nov 1981||RCPSC Specialist</t>
  </si>
  <si>
    <t>First certificate of registration issued: Hospital Practice Certificate||Effective:   13 Nov 1984
Transfer of class of registration to: Independent Practice Certificate||Effective:   16 Nov 1994</t>
  </si>
  <si>
    <t>111504</t>
  </si>
  <si>
    <t xml:space="preserve">Active Member as of 21 Feb 2017 </t>
  </si>
  <si>
    <t xml:space="preserve">Independent Practice as of 21 Feb 2017 </t>
  </si>
  <si>
    <t>Bundelkhand University, 1992</t>
  </si>
  <si>
    <t>500 Church Street,Waypoint Centre for Mental Health,Care,Penetanguishene ON  L9M 1G3</t>
  </si>
  <si>
    <t>705 549 3181</t>
  </si>
  <si>
    <t>705 549 3446</t>
  </si>
  <si>
    <t>Nova Scotia</t>
  </si>
  <si>
    <t>Psychiatry||Effective: 13 May 2015||RCPSC Specialist</t>
  </si>
  <si>
    <t>University of Toronto, 01 Jul 2017  to 30 Jun 2018|PostGrad Yr 6 - Forensic Psychiatry</t>
  </si>
  <si>
    <t>First certificate of registration issued: Independent Practice Certificate||Effective:   21 Feb 2017</t>
  </si>
  <si>
    <t>100688</t>
  </si>
  <si>
    <t xml:space="preserve">Active Member as of 01 Jul 2013 </t>
  </si>
  <si>
    <t xml:space="preserve">Independent Practice as of 30 Jun 2018 </t>
  </si>
  <si>
    <t>The University of Western Ontario, 2013</t>
  </si>
  <si>
    <t>CAMH College Site,Department of Psychiatry,437b - 250 College St,Toronto ON  M5T 1R8</t>
  </si>
  <si>
    <t>(416) 535-8501 Ext. 36540</t>
  </si>
  <si>
    <t>416-260-4166</t>
  </si>
  <si>
    <t>Psychiatry||Effective: 30 Jun 2018||RCPSC Specialist</t>
  </si>
  <si>
    <t>University of Toronto, 01 Jul 2013  to 30 Jun 2014|PostGrad Yr 1 - Psychiatry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t>
  </si>
  <si>
    <t>First certificate of registration issued: Postgraduate Education Certificate||Effective:   01 Jul 2013
Transfer of class of registration to: Independent Practice Certificate||Effective:   30 Jun 2018</t>
  </si>
  <si>
    <t>Adam Tasca Medicine Professional Corporation</t>
  </si>
  <si>
    <t>Issued Date:  Jul 04 2018</t>
  </si>
  <si>
    <t>Dr. A. Tasca (CPSO# 100688)</t>
  </si>
  <si>
    <t>CAMH College Site,Department of Psychiatry,437b - 250 College Street,Toronto ON  M5T 1R8,(416) 535-8501</t>
  </si>
  <si>
    <t>68381</t>
  </si>
  <si>
    <t xml:space="preserve">Active Member as of 30 Jun 2000 </t>
  </si>
  <si>
    <t xml:space="preserve">Independent Practice as of 30 Jun 2000 </t>
  </si>
  <si>
    <t>McGill University, 1994</t>
  </si>
  <si>
    <t>St Michael's Hospital,Mental Health Service,30 Bond Street,Toronto ON  M5B 1W8</t>
  </si>
  <si>
    <t>(416) 864-3082</t>
  </si>
  <si>
    <t>(416) 864-5480</t>
  </si>
  <si>
    <t>St Michael's Hospital:Toronto</t>
  </si>
  <si>
    <t>Psychiatry||Effective: 13 Jun 2000||RCPSC Specialist</t>
  </si>
  <si>
    <t>University of Toronto, 01 Jul 1994  to 30 Jun 1995|PostGrad Yr 1 - Psychiatry
University of Toronto, 01 Jul 1995  to 30 Jun 1996|Resident 1 - Psychiatry
University of Toronto, 01 Jul 1996  to 30 Jun 1997|PostGrad Yr 3 - Psychiatry
University of Toronto, 01 Jul 1997  to 30 Jun 1998|PostGrad Yr 4 - Psychiatry
University of Toronto, 01 Jul 1998  to 30 Jun 1999|PostGrad Yr 5 - Psychiatry
University of Toronto, 18 Oct 2000  to 30 Jun 2001|Clinical Fellow - Psychiatry
University of Toronto, 01 Jul 2001  to 30 Jun 2002|Clinical Fellow - Psychiatry
University of Toronto, 01 Jul 2002  to 30 Sep 2002|Resident 1 - Psychiatry</t>
  </si>
  <si>
    <t>First certificate of registration issued: Postgraduate Education Certificate||Effective:   01 Jul 1994
Expired: Terms and conditions of certificate of registration||Expiry:      30 Jun 1999
Subsequent certificate of registration Issued: Independent Practice Certificate||Effective:   30 Jun 2000</t>
  </si>
  <si>
    <t>Adam Quastel Medicine Professional Corporation</t>
  </si>
  <si>
    <t>Inactive: Oct 16 2018</t>
  </si>
  <si>
    <t>32341</t>
  </si>
  <si>
    <t xml:space="preserve">Active Member as of 15 May 1981 </t>
  </si>
  <si>
    <t xml:space="preserve">Independent Practice as of 15 May 1981 </t>
  </si>
  <si>
    <t>University of Witwatersrand, 1975</t>
  </si>
  <si>
    <t>Suite 417,220 Duncan Mills Road,Toronto ON  M3B 3J5</t>
  </si>
  <si>
    <t>(416) 222-0136</t>
  </si>
  <si>
    <t>(416) 222-7398</t>
  </si>
  <si>
    <t>North York General Hospital,General Division:Toronto</t>
  </si>
  <si>
    <t>Psychiatry||Effective: 09 Jun 1981||RCPSC Specialist</t>
  </si>
  <si>
    <t>First certificate of registration issued: Postgraduate Education Certificate||Effective:   01 Jul 1977
Transfer of class of registration to: Independent Practice Certificate||Effective:   15 May 1981</t>
  </si>
  <si>
    <t>Adam Stein Medicine Professional Corporation</t>
  </si>
  <si>
    <t>Issued Date:  Jul 06 2007</t>
  </si>
  <si>
    <t>Dr. A. Stein (CPSO# 32341)</t>
  </si>
  <si>
    <t>417 - 220 Duncan Mill Road,North York ON  M3B 3J5,(416) 222-0136</t>
  </si>
  <si>
    <t>71546</t>
  </si>
  <si>
    <t xml:space="preserve">Active Member as of 01 Oct 1999 </t>
  </si>
  <si>
    <t xml:space="preserve">Independent Practice as of 01 Oct 1999 </t>
  </si>
  <si>
    <t>The University of Western Ontario, 1997</t>
  </si>
  <si>
    <t>Southlake Regional Health Centre,596 Davis Drive,Newmarket ON  L3Y 2P9</t>
  </si>
  <si>
    <t>(905) 895-4521 Ext. 2215</t>
  </si>
  <si>
    <t>Rouge Valley Centenary Health Centre,Toronto:Toronto
Southlake Regional Health Centre:Newmarket</t>
  </si>
  <si>
    <t>Family Medicine||Effective: 15 Jun 1999||CFPC Specialist
Psychiatry||Effective: 30 Jun 2011||RCPSC Specialist</t>
  </si>
  <si>
    <t>University of Toronto, 01 Jul 1997  to 30 Jun 1998|PostGrad Yr 1 - Family Medicine
University of Toronto, 01 Jul 1998  to 30 Jun 1999|PostGrad Yr 2 - Family Medicine
University of Toronto, 01 Jul 2007  to 30 Jun 2008|PostGrad Yr 2 - Psychiatry
University of Toronto, 01 Jul 2008  to 30 Jun 2009|PostGrad Yr 3 - Psychiatry
University of Toronto, 01 Jul 2009  to 30 Jun 2010|PostGrad Yr 4 - Psychiatry
University of Toronto, 01 Jul 2010  to 30 Jun 2011|PostGrad Yr 5 - Psychiatry</t>
  </si>
  <si>
    <t>First certificate of registration issued: Postgraduate Education Certificate||Effective:   01 Jul 1997
Expired: Terms and conditions of certificate of registration||Expiry:      30 Jun 1999
Subsequent certificate of registration Issued: Independent Practice Certificate||Effective:   01 Oct 1999</t>
  </si>
  <si>
    <t>87899</t>
  </si>
  <si>
    <t xml:space="preserve">Active Member as of 27 Nov 2007 </t>
  </si>
  <si>
    <t xml:space="preserve">Independent Practice as of 27 Nov 2007 </t>
  </si>
  <si>
    <t>English, Hebrew</t>
  </si>
  <si>
    <t>University of Calgary, 1983</t>
  </si>
  <si>
    <t>Moscovitch Medicine Professional Co,Unit 201,7155 Woodbine Avenue,Markham ON  L3R 1A3</t>
  </si>
  <si>
    <t>(416) 784 1430</t>
  </si>
  <si>
    <t>(416) 784 1590</t>
  </si>
  <si>
    <t>Sleep-Wake Disorders Clinic,Unit 410,2130 Lawrence Avenue East,Scarborough ON  M1R 3A6,Canada,Phone:(416) 751-4356,Fax:(416) 751-9104,County:City of Toronto,Electoral District:10</t>
  </si>
  <si>
    <t>Alberta</t>
  </si>
  <si>
    <t>Psychiatry||Effective: 21 Nov 1988||RCPSC Specialist</t>
  </si>
  <si>
    <t>First certificate of registration issued: Independent Practice Certificate||Effective:   27 Nov 2007</t>
  </si>
  <si>
    <t>Moscovitch Medicine Professional Corporation</t>
  </si>
  <si>
    <t>Issued Date:  Jul 29 2014</t>
  </si>
  <si>
    <t>Dr. A. Moscovitch (CPSO# 87899)</t>
  </si>
  <si>
    <t>Sleep-Wake Disorders Clinic,Unit 410,2130 Lawrence Avenue East,Scarborough ON  M1R 3A6,(416) 751-4356
800 - 790 Bay Street,800 - 790 Bay Street,Toronto ON  M5G 1N8
Unit 201,Unit 201,7155 Woodbine Avenue,Markham ON  L3R 1A3,(416) 784-1430</t>
  </si>
  <si>
    <t>88466</t>
  </si>
  <si>
    <t xml:space="preserve">Active Member as of 12 Jul 2013 </t>
  </si>
  <si>
    <t xml:space="preserve">Independent Practice as of 12 Jul 2013 </t>
  </si>
  <si>
    <t>The University of Western Ontario, 2008</t>
  </si>
  <si>
    <t>St Joseph's Health Centre,7G-116, Glendale Wing,30 The Queensway,Toronto ON  M6R 1B5</t>
  </si>
  <si>
    <t>(416) 530-6486 Ext. 3221</t>
  </si>
  <si>
    <t>St Joseph's Health Centre,Toronto:Toronto</t>
  </si>
  <si>
    <t>Psychiatry||Effective: 30 Jun 2013||RCPSC Specialist</t>
  </si>
  <si>
    <t>University of Toronto, 01 Jul 2008  to 30 Jun 2009|PostGrad Yr 1 - Psychiatry
University of Toronto, 01 Jul 2009  to 30 Jun 2010|PostGrad Yr 2 - Psychiatry
University of Toronto, 01 Jul 2010  to 30 Jun 2011|PostGrad Yr 3 - Psychiatry
University of Toronto, 01 Jul 2011  to 30 Jun 2012|PostGrad Yr 4 - Psychiatry
University of Toronto, 01 Jul 2012  to 30 Jun 2013|PostGrad Yr 5 - Psychiatry</t>
  </si>
  <si>
    <t>First certificate of registration issued: Postgraduate Education Certificate||Effective:   01 Jul 2008
Expired: Terms and conditions of certificate of registration||Expiry:      30 Jun 2013
Subsequent certificate of registration Issued: Independent Practice Certificate||Effective:   12 Jul 2013</t>
  </si>
  <si>
    <t>Zhou &amp; Toews Medicine Professional Corporation</t>
  </si>
  <si>
    <t>Issued Date:  Jul 26 2013</t>
  </si>
  <si>
    <t>Dr. Y. Zhou (CPSO# 90759),Dr. A. Toews (CPSO# 88466)</t>
  </si>
  <si>
    <t>1116 - 250 College Street,Toronto ON  M5T 1R8,(416) 535-8501
St Joseph's Health Centre,St Joseph's Health Centre,Room 7G-116, Glendale Wing,30 The Queensway,Toronto ON  M6R 1B5,(416) 530-6486</t>
  </si>
  <si>
    <t>73851</t>
  </si>
  <si>
    <t xml:space="preserve">Active Member as of 01 Jul 1999 </t>
  </si>
  <si>
    <t xml:space="preserve">Independent Practice as of 30 Jun 2004 </t>
  </si>
  <si>
    <t>Queen's University, 1999</t>
  </si>
  <si>
    <t>North Oshawa Medial Centre,202 - 1400 Ritson Road North,Oshawa ON  L1G 7W4</t>
  </si>
  <si>
    <t>(905) 240-2727</t>
  </si>
  <si>
    <t>(905) 240-2827</t>
  </si>
  <si>
    <t>1011 Elgin St West,Cobourg ON  K9A 5J4,Canada,Phone:905-377-9892,Fax:905-377-9895,County:County of Northumberland,Electoral District:06</t>
  </si>
  <si>
    <t>Northumberland Hills Hospital,Cobourg District General Site:Cobourg
Temiskaming Hospital:New Liskeard</t>
  </si>
  <si>
    <t>Psychiatry||Effective: 30 Jun 2004||RCPSC Specialist</t>
  </si>
  <si>
    <t>University of Toronto, 01 Jul 1999  to 30 Jun 2000|PostGrad Yr 1 - Psychiatry
University of Toronto, 01 Jul 2000  to 30 Jun 2001|PostGrad Yr 2 - Psychiatry
University of Toronto, 01 Jul 2001  to 30 Jun 2002|PostGrad Yr 3 - Psychiatry
University of Toronto, 01 Jul 2002  to 30 Jun 2003|PostGrad Yr 4 - Psychiatry
University of Toronto, 01 Jul 2003  to 30 Jun 2004|PostGrad Yr 5 - Psychiatry</t>
  </si>
  <si>
    <t>First certificate of registration issued: Postgraduate Education Certificate||Effective:   01 Jul 1999
Transfer of class of registration to: Independent Practice Certificate||Effective:   30 Jun 2004</t>
  </si>
  <si>
    <t>Dr. Adam Waese Medicine Professional Corporation</t>
  </si>
  <si>
    <t>Issued Date:  Oct 26 2010</t>
  </si>
  <si>
    <t>Dr. A. Waese (CPSO# 73851)</t>
  </si>
  <si>
    <t>North Oshawa Medical Centre,1400 Riston Road North,Oshawa ON  L1G 7W4,(905) 240-2727</t>
  </si>
  <si>
    <t>65231</t>
  </si>
  <si>
    <t xml:space="preserve">Active Member as of 15 Jun 1992 </t>
  </si>
  <si>
    <t xml:space="preserve">Independent Practice as of 15 Jun 1993 </t>
  </si>
  <si>
    <t>University of Toronto, 1992</t>
  </si>
  <si>
    <t>Toronto Sleep Institute,Suite 507,586 Eglinton Avenue East,Toronto ON  M4P 1P2</t>
  </si>
  <si>
    <t>(416) 488-6980</t>
  </si>
  <si>
    <t>(416) 488-3998</t>
  </si>
  <si>
    <t>Alberta
British Columbia</t>
  </si>
  <si>
    <t>Psychiatry||Effective: 30 Jun 1998||RCPSC Specialist</t>
  </si>
  <si>
    <t>University of Toronto, 01 Jul 1995  to 30 Jun 1996|Resident 2 - Psychiatry
University of Toronto, 01 Jul 1996  to 31 Dec 1996|PostGrad Yr 4 - Psychiatry
University of Toronto, 01 Jan 1997  to 30 Jun 1997|PostGrad Yr 4 - Psychiatry
University of Toronto, 01 Jul 1997  to 30 Jun 1998|PostGrad Yr 5 - Psychiatry
University of Toronto, 01 Jul 1998  to 30 Jun 1999|Clinical Fellow - Psychiatry</t>
  </si>
  <si>
    <t>First certificate of registration issued: Postgraduate Education Certificate||Effective:   15 Jun 1992
Transfer of class of registration to: Independent Practice Certificate||Effective:   15 Jun 1993</t>
  </si>
  <si>
    <t>Adam Blackman Medicine Professional Corporation</t>
  </si>
  <si>
    <t>Issued Date:  Jun 30 2006</t>
  </si>
  <si>
    <t>Dr. A. Blackman (CPSO# 65231)</t>
  </si>
  <si>
    <t>Suite 507,586 Eglinton Avenue East,Toronto ON  M4P 1P2,(416) 488-6980</t>
  </si>
  <si>
    <t>50481</t>
  </si>
  <si>
    <t xml:space="preserve">Active Member as of 07 Aug 1979 </t>
  </si>
  <si>
    <t xml:space="preserve">Independent Practice as of 04 Nov 1983 </t>
  </si>
  <si>
    <t>Univ of Ghana, 1978</t>
  </si>
  <si>
    <t>C H E O,401 Smyth Road,Ottawa ON  K1H 8L1</t>
  </si>
  <si>
    <t>(613) 737-7600 Ext. 2507</t>
  </si>
  <si>
    <t>Psychiatry||Effective: 06 Jun 1983||RCPSC Specialist</t>
  </si>
  <si>
    <t>First certificate of registration issued: Postgraduate Education Certificate||Effective:   07 Aug 1979
Transfer of class of registration to: Hospital Practice Certificate||Effective:   14 Jul 1983
Transfer of class of registration to: Independent Practice Certificate||Effective:   04 Nov 1983</t>
  </si>
  <si>
    <t>A. Boafo Medicine Professional Corporation</t>
  </si>
  <si>
    <t>Issued Date:  Dec 19 2012</t>
  </si>
  <si>
    <t>Dr. A. Boafo (CPSO# 50481)</t>
  </si>
  <si>
    <t>C H E O,401 Smyth Road,Ottawa ON  K1H 8L1,(613) 737-7600</t>
  </si>
  <si>
    <t>114128</t>
  </si>
  <si>
    <t xml:space="preserve">Active Member as of 09 Nov 2017 </t>
  </si>
  <si>
    <t xml:space="preserve">Restricted as of 09 Nov 2017 </t>
  </si>
  <si>
    <t>University of Ibadan, 2000</t>
  </si>
  <si>
    <t>Northern Ontario School of Medicine,Clinical Science Division,935 Ramsey Lake Road,Sudbury ON  P3E 2C6</t>
  </si>
  <si>
    <t>(807) 766-7416</t>
  </si>
  <si>
    <t>08</t>
  </si>
  <si>
    <t>North Bay Regional Health Centre:North Bay</t>
  </si>
  <si>
    <t>Psychiatry||Effective: 09 Nov 2017||CPSO Recognized Specialist</t>
  </si>
  <si>
    <t>First certificate of registration issued: Restricted certificate||Effective:   09 Nov 2017
Terms and conditions imposed on certificate by Registration Committee||Effective:   09 Nov 2017
Expiry date attached to certificate of registration.||Expiry Date: 03 Nov 2020</t>
  </si>
  <si>
    <t>75647</t>
  </si>
  <si>
    <t xml:space="preserve">Active Member as of 26 Jan 2001 </t>
  </si>
  <si>
    <t xml:space="preserve">Independent Practice as of 26 Jan 2001 </t>
  </si>
  <si>
    <t>English, Hausa, Yoruba</t>
  </si>
  <si>
    <t>Ahmadu Bello University, 1986</t>
  </si>
  <si>
    <t>Brockville Mental Health Centre,1804 Highway 2 East,P O Box 1050,Brockville ON  K6V 5T1</t>
  </si>
  <si>
    <t>(613) 345-1461 Ext. 2604</t>
  </si>
  <si>
    <t>(613) 345-7276</t>
  </si>
  <si>
    <t>06</t>
  </si>
  <si>
    <t>Centre for Rational &amp; Cognitive The,243 Perth Street,Brockville ON  K6V 5E7,Canada,Phone:(613) 800-2758,County:County of Leeds and Grenville,Electoral District:06
Precision Medical Centre,613-104 Longfields Drive,Ottawa ON  K2J6J2,Canada,Phone:6137627005,County:Regional Municipality of Ottawa-Carleton,Electoral District:07
Royal Ottawa Mental Health,1145 Carling Avenue,Ottawa ON  K1Z 1K4,Canada,Phone:(613) 722-6521,Fax:(613) 722-5148,County:Regional Municipality of Ottawa-Carleton,Electoral District:07</t>
  </si>
  <si>
    <t>Nunavut</t>
  </si>
  <si>
    <t>Psychiatry||Effective: 19 Nov 1999||RCPSC Specialist</t>
  </si>
  <si>
    <t>First certificate of registration issued: Restricted certificate||Effective:   11 Sep 2000
Terms and conditions imposed on certificate by Registration Committee||Effective:   11 Sep 2000
Expiry date attached to certificate of registration.||Expiry Date: 31 Jul 2002
Expired: Terms and conditions imposed on certificate by Registration Committee||Effective:   26 Jan 2001
Subsequent certificate of registration Issued: Independent Practice Certificate||Effective:   26 Jan 2001</t>
  </si>
  <si>
    <t>AG Ahmed Medicine Professional Corporation</t>
  </si>
  <si>
    <t>Issued Date:  Jun 01 2007</t>
  </si>
  <si>
    <t>Dr. A. Ahmed (CPSO# 75647)</t>
  </si>
  <si>
    <t>234 Perth Street,Brockville ON  K6V 5E7,(613) 342-8140
Brockville Mental Health Centre,Brockville Mental Health Centre,1804 Hwy 2 East,PO Box 1050,Brockville ON  K6V 5T1,(613) 345-1461
Royal Ottawa Hospital,Royal Ottawa Hospital,1145 Carling Avenue,Ottawa ON  K1Z 7K4,(613) 722-6521</t>
  </si>
  <si>
    <t>113987</t>
  </si>
  <si>
    <t xml:space="preserve">Active Member as of 02 Oct 2017 </t>
  </si>
  <si>
    <t xml:space="preserve">Independent Practice as of 12 Jun 2018 </t>
  </si>
  <si>
    <t>University of Ilorin, 1995</t>
  </si>
  <si>
    <t>Postgraduate Medical Education,University of Toronto,500 University Avenue, Suite 602,Toronto ON  M5G 1V7</t>
  </si>
  <si>
    <t>Psychiatry||Effective: 17 May 2018||RCPSC Specialist</t>
  </si>
  <si>
    <t>University of Toronto, 01 Oct 2017  to 31 Mar 2018|Elective Trainee - Psychiatry
University of Toronto, 01 Apr 2018  to 30 Jun 2018|PostGrad Yr 6 - Child and Adolescent Psychiatry
University of Toronto, 01 Jul 2018  to 30 Mar 2019|PostGrad Yr 6 - Child and Adolescent Psychiatry</t>
  </si>
  <si>
    <t>First certificate of registration issued: Postgraduate Education Certificate||Effective:   02 Oct 2017
Transfer of class of registration to: Independent Practice Certificate||Effective:   12 Jun 2018</t>
  </si>
  <si>
    <t>80317</t>
  </si>
  <si>
    <t xml:space="preserve">Active Member as of 21 Nov 2003 </t>
  </si>
  <si>
    <t xml:space="preserve">Independent Practice as of 21 Nov 2003 </t>
  </si>
  <si>
    <t>English, Somalian</t>
  </si>
  <si>
    <t>National University of Somalia, 1982</t>
  </si>
  <si>
    <t>Suite 210,633 Colborne Street,London ON  N6B 2V3</t>
  </si>
  <si>
    <t>(519) 936-0810</t>
  </si>
  <si>
    <t>(519) 936-1169</t>
  </si>
  <si>
    <t>Mental Health Services of,Oxford County,Woodstock General Hospital,310 Juliana Dr,Woodstock ON  N4V 0A4,Canada,Phone:(519) 421-4211,Fax:(519) 421-4297,County:County of Oxford,Electoral District:02</t>
  </si>
  <si>
    <t>Woodstock General Hospital:Woodstock</t>
  </si>
  <si>
    <t>Psychiatry||Effective: 10 Jun 2003||RCPSC Specialist</t>
  </si>
  <si>
    <t>First certificate of registration issued: Independent Practice Certificate||Effective:   21 Nov 2003</t>
  </si>
  <si>
    <t>A. Ismail Medicine Professional Corporation</t>
  </si>
  <si>
    <t>Issued Date:  Jul 21 2006</t>
  </si>
  <si>
    <t>Dr. A. Ismail (CPSO# 80317)</t>
  </si>
  <si>
    <t>Woodstock General Hospital,310 Juliana Drive,Woodstock ON  N4V 0A4,(519) 421-4211
210 - 633 Colborne Street,210 - 633 Colborne Street,London ON  N6B 2V3,(519) 936-0810</t>
  </si>
  <si>
    <t>110951</t>
  </si>
  <si>
    <t xml:space="preserve">Active Member as of 22 Feb 2017 </t>
  </si>
  <si>
    <t xml:space="preserve">Independent Practice as of 22 Feb 2017 </t>
  </si>
  <si>
    <t>University of Ibadan, 1999</t>
  </si>
  <si>
    <t>Maryvale Adolescent &amp; Family,Services,3640 Wells Street,Windsor ON  M9C 1T9</t>
  </si>
  <si>
    <t>(519) 258-0484</t>
  </si>
  <si>
    <t>Windsor Regional Hospital,Ouellette Campus,Department of Psychiatry,1030 Ouellette Avenue,Windsor ON  N9A 1E1,Canada,Phone:(519) 973-4411,County:County of Essex,Electoral District:01
Maryvale Adolescent and,Family Services,3640 Wells Street,Windsor ON  N9C 1T9,Canada,Phone:(519) 258-0484,County:County of Essex,Electoral District:01
Hotel Dieu Grace Healthcare,Regional Children's Centre,3901 Connaught Street,Windsor ON  N9C 4H4,Canada,County:County of Essex,Electoral District:01</t>
  </si>
  <si>
    <t>Hotel Dieu Grace Healthcare,Tayfour Campus:Windsor
Windsor Regional Hospital,Metropolitan Site:Windsor
Windsor Regional Hospital,Ouellette Campus:Windsor</t>
  </si>
  <si>
    <t>Psychiatry||Effective: 12 May 2014||RCPSC Specialist</t>
  </si>
  <si>
    <t>First certificate of registration issued: Restricted certificate||Effective:   23 Sep 2016
Terms and conditions imposed on certificate by Registration Committee||Effective:   23 Sep 2016
Expiry date attached to certificate of registration.||Expiry Date: 22 Sep 2019
Expired: Terms and conditions imposed on certificate by Registration Committee||Effective:   22 Feb 2017
Subsequent certificate of registration Issued: Independent Practice Certificate||Effective:   22 Feb 2017</t>
  </si>
  <si>
    <t>Dr. Ayodeji Akinlaja Medicine Professional Corporation</t>
  </si>
  <si>
    <t>Issued Date:  Oct 13 2016</t>
  </si>
  <si>
    <t>Dr. A. Akinlaja (CPSO# 110951),Dr. A. Akinlaja (CPSO# 108481)</t>
  </si>
  <si>
    <t>Windsor Regional Hospital,Ouellette Campus,Department of Emergency Medicine,1030 Ouellette Avenue,Windsor ON  N9A 1E1,(902) 577-5510
Windsor Regional Hospital,Windsor Regional Hospital,Metropolitan Campus,Department of Emergency Medicine,1995 Lens Avenue,Windsor ON  N8W 1L9,(902) 577-5510
Leamington District Hospital,Leamington District Hospital,194 Talbot West,Leamington ON  N5H 1N9,(519) 300-1255
Leamington District Hospital,Leamington District Hospital,194 Talbot West,Leamington ON  N5H 1N9,(519) 300-125</t>
  </si>
  <si>
    <t>Dr. Adeola Akinlaja Medicine Professional Corporation</t>
  </si>
  <si>
    <t>Issued Date:  Nov 18 2016</t>
  </si>
  <si>
    <t>Dr. A. Akinlaja (CPSO# 110951)</t>
  </si>
  <si>
    <t>Windsor Regional Hospital,Metropolitan Campus,Department of Psychiatry,1995 Lens Avenue,Windsor ON  N8W 1L9,(519) 254-5577
1030 Ouellette Avenue,1030 Ouellette Avenue,Windsor ON  N9A 1E1,(519) 973-4411
3896 Connaught Street,3896 Connaught Street,Windsor ON  N9C 4H4,(519) 257-5215</t>
  </si>
  <si>
    <t>111535</t>
  </si>
  <si>
    <t xml:space="preserve">Active Member as of 14 Aug 2018 </t>
  </si>
  <si>
    <t xml:space="preserve">Independent Practice as of 14 Aug 2018 </t>
  </si>
  <si>
    <t>University of Benin, 2003</t>
  </si>
  <si>
    <t>Sault Area Hospital,Department of Psychiatry,750 Great Northern Road,Sault Ste Marie ON  P6B 0A8</t>
  </si>
  <si>
    <t>705-759-3434 Ext. 4114</t>
  </si>
  <si>
    <t>Sault Area Hospital,Addiction Treatment Clinic,123 East Street,Sault Ste Marie ON  P6A 3C7,Canada,Phone:705-759-3434 Ext. 4114,County:Territorial District of Algoma,Electoral District:08</t>
  </si>
  <si>
    <t>United Kingdom</t>
  </si>
  <si>
    <t>First certificate of registration issued: Restricted certificate||Effective:   06 Mar 2017
Terms and conditions imposed on certificate by Registration Committee||Effective:   06 Mar 2017
Expiry date attached to certificate of registration.||Expiry Date: 05 Mar 2020
Expired: Terms and conditions imposed on certificate by Registration Committee||Effective:   14 Aug 2018
Subsequent certificate of registration Issued: Independent Practice Certificate||Effective:   14 Aug 2018</t>
  </si>
  <si>
    <t>Adesua Curtis Obadan Medicine Professional Corporation</t>
  </si>
  <si>
    <t>Issued Date:  Apr 12 2017</t>
  </si>
  <si>
    <t>Dr. A. Obadan (CPSO# 111535)</t>
  </si>
  <si>
    <t>92222</t>
  </si>
  <si>
    <t xml:space="preserve">Active Member as of 04 Feb 2014 </t>
  </si>
  <si>
    <t xml:space="preserve">Independent Practice as of 04 Feb 2014 </t>
  </si>
  <si>
    <t>Obafemi Awolowo University, 1994</t>
  </si>
  <si>
    <t>Suite 102,860 Tecumseh Road East,Windsor ON  N8X 2S5</t>
  </si>
  <si>
    <t>(519) 567-3323</t>
  </si>
  <si>
    <t>(226) 221-8383</t>
  </si>
  <si>
    <t>Hotel Dieu Grace Healthcare,Department of Psychiatry,1453 Prince Road,Windsor ON  N9C 3Z4,Canada,Phone:(519) 257-5100,County:County of Essex,Electoral District:01
Crisis Centre,Windsor Regional Hospital,Ouellette Campus,1030, Ouellette Ave,Windsor ON  N9A 1E1,Canada,Phone:(519) 973-4411,Fax:(519) 973-0210,County:County of Essex,Electoral District:01</t>
  </si>
  <si>
    <t>Ireland
Nigeria
United Kingdom</t>
  </si>
  <si>
    <t>Psychiatry||Effective: 03 May 2011||RCPSC Specialist</t>
  </si>
  <si>
    <t>First certificate of registration issued: Restricted certificate||Effective:   26 Oct 2009
Terms and conditions imposed on certificate by Registration Committee||Effective:   26 Oct 2009
Expiry date attached to certificate of registration.||Expiry Date: 05 Feb 2012
Terms and conditions amended by Registration Committee||Effective:   27 Jul 2011
Expired: Terms and conditions imposed on certificate by Registration Committee||Effective:   25 Oct 2012
Subsequent certificate of registration issued: Restricted certificate||Effective:   08 Nov 2012
Terms and conditions amended by Registration Committee||Effective:   17 Oct 2013
Terms and conditions amended by Registration Committee||Effective:   17 Oct 2013
Expired: Terms and conditions imposed on certificate by Registration Committee||Effective:   04 Feb 2014
Subsequent certificate of registration Issued: Independent Practice Certificate||Effective:   04 Feb 2014</t>
  </si>
  <si>
    <t>Dr. A. Akinlosotu Medicine Professional Corporation</t>
  </si>
  <si>
    <t>Issued Date:  Nov 02 2010</t>
  </si>
  <si>
    <t>Dr. A. Akinlosotu (CPSO# 92222)</t>
  </si>
  <si>
    <t>Hotel Dieu Grace Hospital,Crisis Centre,1030 Ouellette Avenue,Windsor ON  N9A 1E1,(519) 973-4411
Windsor Regional Hospital,Windsor Regional Hospital,Department of Psychiatry,1453 Prince Road,Windsor ON  N9C 3Z4,(519) 257-5100
102 - 860 Tecumseh Road East,102 - 860 Tecumseh Road East,Windsor ON  N8X 2S5,(519) 567-3323</t>
  </si>
  <si>
    <t>99401</t>
  </si>
  <si>
    <t xml:space="preserve">Active Member as of 21 Sep 2016 </t>
  </si>
  <si>
    <t xml:space="preserve">Restricted as of 21 Sep 2016 </t>
  </si>
  <si>
    <t>University of Ibadan, 1998</t>
  </si>
  <si>
    <t>Lakeridge Hospital-Ajax campus,580 Harwood Avenue South,Ajax ON  L1S 2J4</t>
  </si>
  <si>
    <t>(905) 683-2320</t>
  </si>
  <si>
    <t>Lakeridge Health,Ajax and Pickering Site:Ajax
Rouge Valley Centenary Health Centre,Toronto:Toronto</t>
  </si>
  <si>
    <t>Psychiatry||Effective: 14 May 2014||RCPSC Specialist</t>
  </si>
  <si>
    <t>First certificate of registration issued: Restricted certificate||Effective:   14 Sep 2012
Terms and conditions imposed on certificate by Registration Committee||Effective:   14 Sep 2012
Expiry date attached to certificate of registration.||Expiry Date: 13 Sep 2015
Terms and conditions amended by Registration Committee||Effective:   31 Jul 2015
Expired: Terms and conditions imposed on certificate by Registration Committee||Effective:   13 Sep 2016
Subsequent certificate of registration issued: Restricted certificate||Effective:   21 Sep 2016
Terms and conditions amended by Registration Committee||Effective:   22 Jun 2017</t>
  </si>
  <si>
    <t>Egbewunmi Medicine Professional Corporation</t>
  </si>
  <si>
    <t>Issued Date:  Aug 20 2015</t>
  </si>
  <si>
    <t>Dr. A. Egbewunmi (CPSO# 99401)</t>
  </si>
  <si>
    <t>Rouge Valley Health System,580 Hardwood Avenue South,Ajax ON  L1S 2J4,(905) 683-2320</t>
  </si>
  <si>
    <t>56350</t>
  </si>
  <si>
    <t xml:space="preserve">Active Member as of 27 Sep 1985 </t>
  </si>
  <si>
    <t xml:space="preserve">Independent Practice as of 27 Sep 1985 </t>
  </si>
  <si>
    <t>University of Witwatersrand, 1974</t>
  </si>
  <si>
    <t>Mount Sinai Hospital,Suite L1-012,60 Murray Street,Toronto ON  M5T 3L9</t>
  </si>
  <si>
    <t>(416) 586-4800 Ext. 5354</t>
  </si>
  <si>
    <t>(416) 586-3231</t>
  </si>
  <si>
    <t>Centre of Addiction &amp; Mental Health,- College Street Site:Toronto
Mount Sinai Hospital:Toronto</t>
  </si>
  <si>
    <t>Neurology||Effective: 06 Dec 1982||RCPSC Specialist
Psychiatry||Effective: 19 Nov 1985||RCPSC Specialist
Geriatric Psychiatry||Effective: 23 Sep 2014||RCPSC Specialist</t>
  </si>
  <si>
    <t>First certificate of registration issued: Independent Practice Certificate||Effective:   27 Sep 1985</t>
  </si>
  <si>
    <t>90828</t>
  </si>
  <si>
    <t xml:space="preserve">Active Member as of 01 Jul 2009 </t>
  </si>
  <si>
    <t xml:space="preserve">Independent Practice as of 30 Jun 2014 </t>
  </si>
  <si>
    <t>University of Toronto, 2009</t>
  </si>
  <si>
    <t>Dufferin Area Family Health Team,1 Elizabeth St., Suite L1,Orangeville ON  L9W 7N7</t>
  </si>
  <si>
    <t>(519) 938-8802 Ext. 314</t>
  </si>
  <si>
    <t>(519) 938-8128</t>
  </si>
  <si>
    <t>Student Health Services,University of Guelph,50 Stone Road East,Guelph ON  N1G 2W1,Canada,Phone:(519) 824-4120 Ext. 52131,Fax:(519) 821-2308,County:County of Wellington,Electoral District:03</t>
  </si>
  <si>
    <t>Psychiatry||Effective: 30 Jun 2014||RCPSC Specialist</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</si>
  <si>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Psychiatry</t>
  </si>
  <si>
    <t>First certificate of registration issued: Postgraduate Education Certificate||Effective:   01 Jul 2009
Transfer of class of registration to: Independent Practice Certificate||Effective:   30 Jun 2014</t>
  </si>
  <si>
    <t>26509</t>
  </si>
  <si>
    <t xml:space="preserve">Active Member as of 19 Jun 1974 </t>
  </si>
  <si>
    <t xml:space="preserve">Independent Practice as of 19 Jun 1974 </t>
  </si>
  <si>
    <t>University of Toronto, 1973</t>
  </si>
  <si>
    <t>120 Eglinton Avenue East,Suite 702,Toronto ON  M4P 1E2</t>
  </si>
  <si>
    <t>(416) 322-3522</t>
  </si>
  <si>
    <t>(416) 322-6448</t>
  </si>
  <si>
    <t>Psychiatry||Effective: 01 Jan 1977||RCPSC Specialist</t>
  </si>
  <si>
    <t>First certificate of registration issued: Independent Practice Certificate||Effective:   19 Jun 1974</t>
  </si>
  <si>
    <t>Adrian N. Hanick Medicine Professional Corporation</t>
  </si>
  <si>
    <t>Issued Date:  Apr 11 2006</t>
  </si>
  <si>
    <t>Dr. A. Hanick (CPSO# 26509)</t>
  </si>
  <si>
    <t>702 - 120 Eglinton Avenue East,Toronto ON  M4P 1E2,(416) 322-3522</t>
  </si>
  <si>
    <t>80368</t>
  </si>
  <si>
    <t xml:space="preserve">Active Member as of 30 Apr 2018 </t>
  </si>
  <si>
    <t xml:space="preserve">Restricted as of 30 Apr 2018 </t>
  </si>
  <si>
    <t>English, Portuguese</t>
  </si>
  <si>
    <t>Fundacao Universidade Federal De Pelotas, 1990</t>
  </si>
  <si>
    <t>Kingston General Hospital  - Burr 4,Room 21.4.024.6,Kingston ON  K7L 7X3</t>
  </si>
  <si>
    <t>(613) 549-6666 Ext. 7839</t>
  </si>
  <si>
    <t>Psychiatry||Effective: 05 Nov 2008||CPSO Recognized Specialist</t>
  </si>
  <si>
    <t>University of Toronto, 31 Dec 2003  to 30 Jun 2004|International Specialist Physician - Psychiatry</t>
  </si>
  <si>
    <t>First certificate of registration issued: Postgraduate Education Certificate||Effective:   31 Dec 2003
Expired: Terms and conditions of certificate of registration||Expiry:      30 Jun 2004
Subsequent certificate of registration issued: Restricted certificate||Effective:   15 Oct 2004
Terms and conditions amended by Registration Committee||Effective:   02 Feb 2005
Terms and conditions amended by Registration Committee||Effective:   08 Sep 2005
Terms and conditions amended by Registration Committee||Effective:   19 Mar 2008
Expired: Terms and conditions imposed on certificate by Registration Committee||Effective:   05 Nov 2008
Subsequent certificate of registration issued: Restricted certificate||Effective:   05 Nov 2008
Expired: Terms and conditions imposed on certificate by Registration Committee||Effective:   30 Apr 2011
Subsequent certificate of registration issued: Restricted certificate||Effective:   20 May 2011
Terms and conditions amended by Registration Committee||Effective:   04 Sep 2015
Terms and conditions amended by Registration Committee||Effective:   15 Sep 2016
Expired: Terms and conditions imposed on certificate||Effective:   31 Mar 2018
Subsequent certificate of registration issued: Restricted certificate||Effective:   30 Apr 2018
Expiry as per terms and conditions imposed on certificate||Expiry Date: 30 Jun 2021</t>
  </si>
  <si>
    <t>Dr. Adriana Schawz Carvalhal Medicine Professional Corporation</t>
  </si>
  <si>
    <t>Inactive: Sep 23 2016</t>
  </si>
  <si>
    <t>Issued Date:  Sep 27 2016</t>
  </si>
  <si>
    <t>Dr. A. Carvalhal (CPSO# 80368)</t>
  </si>
  <si>
    <t>University of Toronto,St. Michael's Hospital-Mental Health Service,Room 17-042,30 Bond Street,Toronto ON  M5B 1W8,(416) 864-6060</t>
  </si>
  <si>
    <t>77891</t>
  </si>
  <si>
    <t xml:space="preserve">Active Member as of 17 Apr 2008 </t>
  </si>
  <si>
    <t xml:space="preserve">Independent Practice as of 17 Apr 2008 </t>
  </si>
  <si>
    <t>The University of British Columbia, 2002</t>
  </si>
  <si>
    <t>UHN Toronto General Hospital,8 Eaton North Room 229,200 Elizabeth Street,Toronto ON  M5G 2C4</t>
  </si>
  <si>
    <t>(416) 340-4800 Ext. 3565</t>
  </si>
  <si>
    <t>(416) 340-4198</t>
  </si>
  <si>
    <t>University Health Network,Toronto General Hospital Site:Toronto</t>
  </si>
  <si>
    <t>Psychiatry||Effective: 30 Jun 2007||RCPSC Specialist</t>
  </si>
  <si>
    <t>University of Toronto, 01 Jul 2002  to 30 Jun 2003|PostGrad Yr 1 - Psychiatry
University of Toronto, 01 Jul 2003  to 30 Jun 2004|PostGrad Yr 2 - Psychiatry
University of Toronto, 01 Jul 2004  to 30 Jun 2005|PostGrad Yr 3 - Psychiatry
University of Toronto, 01 Jul 2005  to 30 Jun 2006|PostGrad Yr 4 - Psychiatry
University of Toronto, 01 Jul 2006  to 30 Jun 2007|PostGrad Yr 5 - Psychiatry</t>
  </si>
  <si>
    <t>First certificate of registration issued: Postgraduate Education Certificate||Effective:   01 Jul 2002
Expired: Terms and conditions of certificate of registration||Expiry:      30 Jun 2007
Subsequent certificate of registration Issued: Independent Practice Certificate||Effective:   17 Apr 2008</t>
  </si>
  <si>
    <t>50076</t>
  </si>
  <si>
    <t xml:space="preserve">Active Member as of 01 Jul 1980 </t>
  </si>
  <si>
    <t xml:space="preserve">Independent Practice as of 31 Aug 1984 </t>
  </si>
  <si>
    <t>English, Hindi, Panjabi/Punjabi, Telugu, Urdu</t>
  </si>
  <si>
    <t>Osmania University, 1971</t>
  </si>
  <si>
    <t>1145 Carling Avenue,Ottawa ON  K1Z 7K4</t>
  </si>
  <si>
    <t>(613) 722-6521 Ext. 6918</t>
  </si>
  <si>
    <t>Royal Ottawa Health Care Group:Ottawa</t>
  </si>
  <si>
    <t>Psychiatry||Effective: 04 Jun 1984||RCPSC Specialist</t>
  </si>
  <si>
    <t>First certificate of registration issued: Postgraduate Education Certificate||Effective:   01 Jul 1980
Transfer of class of registration to: Independent Practice Certificate||Effective:   31 Aug 1984</t>
  </si>
  <si>
    <t>Dr. A. Amjad Medicine Professional Corporation</t>
  </si>
  <si>
    <t>Issued Date:  Nov 04 2011</t>
  </si>
  <si>
    <t>Dr. A. Amjad (CPSO# 50076)</t>
  </si>
  <si>
    <t>1145 Carling Avenue,Ottawa ON  K1Z 7K4,(613) 823-2258</t>
  </si>
  <si>
    <t>63207</t>
  </si>
  <si>
    <t xml:space="preserve">Active Member as of 12 Aug 1998 </t>
  </si>
  <si>
    <t xml:space="preserve">Independent Practice as of 12 Jan 1999 </t>
  </si>
  <si>
    <t>Armenian, English, Russian</t>
  </si>
  <si>
    <t>Erevan Medical Institute, 1974</t>
  </si>
  <si>
    <t>24 Tullamore Drive,Toronto ON  M2L 2E8</t>
  </si>
  <si>
    <t>(416) 444-0702</t>
  </si>
  <si>
    <t>Psychiatry||Effective: 17 Nov 1995||RCPSC Specialist</t>
  </si>
  <si>
    <t>University of Toronto, 01 Jul 1990  to 30 Jun 1991|Resident 1 - Psychiatry
University of Toronto, 01 Jul 1991  to 30 Jun 1992|Resident 2 - Psychiatry
University of Toronto, 01 Jul 1992  to 18 Oct 1992|Resident 2 - Psychiatry
University of Toronto, 19 Oct 1992  to 30 Jun 1993|Resident 3 - Psychiatry
University of Toronto, 01 Jul 1993  to 18 Oct 1993|Resident 3 - Psychiatry
University of Toronto, 19 Oct 1993  to 30 Jun 1994|Resident 4 - Psychiatry
University of Toronto, 01 Jul 1994  to 30 Jun 1995|Resident 4 - Psychiatry
University of Toronto, 01 Jul 1995  to 18 Jul 1995|Resident 4 - Psychiatry
University of Toronto, 01 Jul 1996  to 30 Jun 1997|Clinical Fellow - Psychiatry
University of Toronto, 01 Jul 1997  to 30 Jun 1998|Clinical Fellow - Psychiatry
University of Toronto, 01 Jul 1998  to 30 Jun 1999|Clinical Fellow - Psychiatry</t>
  </si>
  <si>
    <t>First certificate of registration issued: Postgraduate Education Certificate||Effective:   19 Oct 1990
Expired: Terms and conditions of certificate of registration||Expiry:      18 Jul 1995
Subsequent certificate of registration Issued: Postgraduate Education Certificate||Effective:   01 Jul 1996
Expired: Terms and conditions of certificate of registration||Expiry:      30 Jun 1998
Subsequent certificate of registration Issued: Postgraduate Education Certificate||Effective:   12 Aug 1998
Transfer of class of registration to: Independent Practice Certificate||Effective:   12 Jan 1999</t>
  </si>
  <si>
    <t>Dr.Agavni Kevorkian Medicine Professional Corporation</t>
  </si>
  <si>
    <t>Issued Date:  Feb 16 2011</t>
  </si>
  <si>
    <t>Dr. A. Kevorkian (CPSO# 63207)</t>
  </si>
  <si>
    <t>24 Tullamore Drive,Toronto ON  M2L 2E8,(416) 444-0702</t>
  </si>
  <si>
    <t>50106</t>
  </si>
  <si>
    <t xml:space="preserve">Active Member as of 15 Jun 1981 </t>
  </si>
  <si>
    <t xml:space="preserve">Independent Practice as of 22 Jul 1985 </t>
  </si>
  <si>
    <t>English, Farsi</t>
  </si>
  <si>
    <t>University of Tehran, 1965</t>
  </si>
  <si>
    <t>180 Bloor Street West,Suite 1206,Toronto ON  M5S 2V6</t>
  </si>
  <si>
    <t>(416) 923-1640</t>
  </si>
  <si>
    <t>(416) 923-1174</t>
  </si>
  <si>
    <t>Psychiatry||Effective: 04 Jun 1985||RCPSC Specialist</t>
  </si>
  <si>
    <t>First certificate of registration issued: Postgraduate Education Certificate||Effective:   15 Jun 1981
Transfer of class of registration to: Independent Practice Certificate||Effective:   22 Jul 1985</t>
  </si>
  <si>
    <t>A.Bagheri Medicine Professional Corporation</t>
  </si>
  <si>
    <t>Issued Date:  Dec 21 2006</t>
  </si>
  <si>
    <t>Dr. A. Bagheri (CPSO# 50106)</t>
  </si>
  <si>
    <t>1206 - 180 Bloor Street West,Toronto ON  M5S 2V6,(416) 923-1640</t>
  </si>
  <si>
    <t>30453</t>
  </si>
  <si>
    <t xml:space="preserve">Active Member as of 20 Oct 1978 </t>
  </si>
  <si>
    <t xml:space="preserve">Independent Practice as of 20 Oct 1978 </t>
  </si>
  <si>
    <t>English, Greek</t>
  </si>
  <si>
    <t>University of Salonika, 1972</t>
  </si>
  <si>
    <t>Suite 200,14 Prince Arthur Avenue,Toronto ON  M5R 1A9</t>
  </si>
  <si>
    <t>(416) 968-0616</t>
  </si>
  <si>
    <t>(416) 968-1976</t>
  </si>
  <si>
    <t>Psychiatry||Effective: 10 Jun 1980||RCPSC Specialist</t>
  </si>
  <si>
    <t>First certificate of registration issued: Independent Practice Certificate||Effective:   20 Oct 1978</t>
  </si>
  <si>
    <t>97968</t>
  </si>
  <si>
    <t xml:space="preserve">Active Member as of 01 Jul 2012 </t>
  </si>
  <si>
    <t xml:space="preserve">Independent Practice as of 30 Jun 2017 </t>
  </si>
  <si>
    <t>Dalhousie University, 2012</t>
  </si>
  <si>
    <t>Queensway-Carleton Hospital,Department of Psychiatry,3045 Baseline Road,Ottawa ON  K2H 8P4</t>
  </si>
  <si>
    <t>6137214708</t>
  </si>
  <si>
    <t>Queensway Carleton Hospital:Ottawa</t>
  </si>
  <si>
    <t>Psychiatry||Effective: 30 Jun 2017||RCPSC Specialist</t>
  </si>
  <si>
    <t>University of Ottawa, 01 Jul 2012  to 30 Jun 2013|PostGrad Yr 1 - Psychiatry
University of Ottawa, 01 Jul 2013  to 30 Jun 2014|PostGrad Yr 2 - Psychiatry
University of Ottawa, 01 Jul 2014  to 30 Jun 2015|PostGrad Yr 3 - Psychiatry
University of Ottawa, 01 Jul 2015  to 30 Jun 2016|PostGrad Yr 4 - Psychiatry
University of Ottawa, 01 Jul 2016  to 30 Jun 2017|PostGrad Yr 5 - Psychiatry</t>
  </si>
  <si>
    <t>First certificate of registration issued: Postgraduate Education Certificate||Effective:   01 Jul 2012
Transfer of class of registration to: Independent Practice Certificate||Effective:   30 Jun 2017</t>
  </si>
  <si>
    <t>75565</t>
  </si>
  <si>
    <t xml:space="preserve">Active Member as of 04 Aug 2000 </t>
  </si>
  <si>
    <t xml:space="preserve">Independent Practice as of 04 Aug 2000 </t>
  </si>
  <si>
    <t>Akan, English</t>
  </si>
  <si>
    <t>Univ of Ghana, 1989</t>
  </si>
  <si>
    <t>Southlake Regional Health Centre,Eating Disorder Clinic,596 Davis Drive,Newmarket ON  L3Y 2P9</t>
  </si>
  <si>
    <t>(905) 895-4521 Ext. 2780</t>
  </si>
  <si>
    <t>(905) 830-5970</t>
  </si>
  <si>
    <t>700 gordon street,Whitby ON  L1N 5S9,Canada,Phone:(905) 430-4055,Fax:(905) 430-4463,County:Regional Municipality of Durham,Electoral District:05</t>
  </si>
  <si>
    <t>Psychiatry||Effective: 18 Nov 1999||RCPSC Specialist</t>
  </si>
  <si>
    <t>University of Ottawa, 01 Sep 2000  to 31 Aug 2001|Clinical Fellow - Psychiatry</t>
  </si>
  <si>
    <t>First certificate of registration issued: Independent Practice Certificate||Effective:   04 Aug 2000</t>
  </si>
  <si>
    <t>Boachie Medicine Professional Corporation</t>
  </si>
  <si>
    <t>Issued Date:  Jun 15 2016</t>
  </si>
  <si>
    <t>Dr. A. Boachie (CPSO# 75565)</t>
  </si>
  <si>
    <t>Southlake Regional Health Centre,Eating Disorder Clinic,596 Davis Drive,Newmarket ON  L3Y 2P9,(905) 895-4521
700 Gordon Street West,700 Gordon Street West,Whitby ON  L1N 5S9</t>
  </si>
  <si>
    <t>93005</t>
  </si>
  <si>
    <t xml:space="preserve">Active Member as of 01 Jul 2010 </t>
  </si>
  <si>
    <t xml:space="preserve">Independent Practice as of 30 Jun 2015 </t>
  </si>
  <si>
    <t>Saba University School of Medicine, 2010</t>
  </si>
  <si>
    <t>St Joseph's Healthcare Hamilton,Mood Disorders Program,West 5th Campus,100 West 5th Street,Hamilton ON  L8N 3K7</t>
  </si>
  <si>
    <t>(905) 522-1155</t>
  </si>
  <si>
    <t>123 James St. N, Suite 300,Hamilton ON  L8R2K8,Canada,Phone:9056674847,County:Regional Municipality of Hamilton-Wentworth,Electoral District:04</t>
  </si>
  <si>
    <t>Psychiatry||Effective: 30 Jun 2015||RCPSC Specialist
Family Medicine||Effective: 25 Jun 2009||CFPC Specialist</t>
  </si>
  <si>
    <t>McMaster University, 01 Jul 2010  to 23 Sep 2010|Assessment Verification Period - Psychiatry
McMaster University, 24 Sep 2010  to 30 Jun 2011|PostGrad Yr 1 - Psychiatry
McMaster University, 01 Jul 2011  to 30 Jun 2012|PostGrad Yr 2 - Psychiatry
McMaster University, 01 Jul 2012  to 30 Jun 2013|PostGrad Yr 3 - Psychiatry
McMaster University, 01 Jul 2013  to 30 Jun 2014|PostGrad Yr 4 - Psychiatry
McMaster University, 01 Jul 2014  to 30 Jun 2015|PostGrad Yr 5 - Psychiatry</t>
  </si>
  <si>
    <t>First certificate of registration issued: Pre Entry Assessment Program Certificate||Effective:   01 Jul 2010
Transfer of class of registration to: Postgraduate Education Certificate||Effective:   24 Sep 2010
Transfer of class of registration to: Independent Practice Certificate||Effective:   30 Jun 2015</t>
  </si>
  <si>
    <t>Dr. A. Jehaan Illyas Medicine Professional Corporation</t>
  </si>
  <si>
    <t>Issued Date:  Jun 18 2015</t>
  </si>
  <si>
    <t>Dr. A. Illyas (CPSO# 93005)</t>
  </si>
  <si>
    <t>Suite 300,123 James Street North,Hamilton ON  L8R 2K8,(905) 667-4848
505 King Street West,505 King Street West,Hamilton ON  L8P 1B9,(905) 525-3501
Box 585,Box 585,100 West 5th Street,Hamilton ON  L8N 3K7,(905) 522-1155</t>
  </si>
  <si>
    <t>76888</t>
  </si>
  <si>
    <t xml:space="preserve">Active Member as of 24 Jun 2008 </t>
  </si>
  <si>
    <t xml:space="preserve">Independent Practice as of 24 Jun 2008 </t>
  </si>
  <si>
    <t>Al-Arab Medical University, 1990</t>
  </si>
  <si>
    <t>Brampton Civic Hospital,Main Floor,Entrance A  N1 461,2100 Bovaird Drive East,Brampton ON  L6R 3J7</t>
  </si>
  <si>
    <t>(905) 494-2120 Ext. 57710</t>
  </si>
  <si>
    <t>(905) 494-6710</t>
  </si>
  <si>
    <t>Psychiatry||Effective: 15 Apr 2008||RCPSC Specialist</t>
  </si>
  <si>
    <t>University of Toronto, 01 Jul 2001  to 30 Jun 2002|PostGrad Yr 1 - Psychiatry
University of Toronto, 01 Jul 2002  to 17 Jul 2002|PostGrad Yr 1 - Psychiatry
University of Toronto, 18 Jul 2002  to 17 Jul 2003|PostGrad Yr 2 - Psychiatry
University of Toronto, 18 Jul 2003  to 30 Jun 2004|PostGrad Yr 3 - Psychiatry
University of Toronto, 01 Jul 2004  to 15 Oct 2004|PostGrad Yr 3 - Psychiatry
University of Toronto, 16 Oct 2004  to 30 Jun 2005|PostGrad Yr 4 - Psychiatry
University of Toronto, 01 Jul 2005  to 30 Jun 2006|PostGrad Yr 5 - Psychiatry
University of Toronto, 01 Nov 2006  to 30 Jun 2007|Clinical Fellow - Psychiatry
University of Toronto, 01 Jul 2007  to 31 Dec 2007|Clinical Fellow - Psychiatry</t>
  </si>
  <si>
    <t>First certificate of registration issued: Postgraduate Education Certificate||Effective:   18 Jul 2001
Expired: Terms and conditions of certificate of registration||Expiry:      30 Jun 2006
Subsequent certificate of registration Issued: Postgraduate Education Certificate||Effective:   15 Nov 2006
Expired: Terms and conditions of certificate of registration||Expiry:      31 Dec 2007
Subsequent certificate of registration issued: Restricted certificate||Effective:   17 Jan 2008
Expired: Terms and conditions imposed on certificate by Registration Committee||Effective:   24 Jun 2008
Subsequent certificate of registration Issued: Independent Practice Certificate||Effective:   24 Jun 2008</t>
  </si>
  <si>
    <t>Mansour Medicine Professional Corporation</t>
  </si>
  <si>
    <t>Inactive: Jul  8 2011</t>
  </si>
  <si>
    <t>Issued Date:  Jun 05 2014</t>
  </si>
  <si>
    <t>Dr. A. Mansour (CPSO# 76888)</t>
  </si>
  <si>
    <t>Brampton Civic Hospital,2100 Bovaird Drive East,Entrance A N1 461,Brampton ON  L6R 3J7,(416) 566-4951</t>
  </si>
  <si>
    <t>88190</t>
  </si>
  <si>
    <t xml:space="preserve">Active Member as of 27 Jun 2008 </t>
  </si>
  <si>
    <t xml:space="preserve">Independent Practice as of 30 Jun 2013 </t>
  </si>
  <si>
    <t>King Faisal University, 2005</t>
  </si>
  <si>
    <t>CAMH, 100 Stokes Street,Toronto ON  M6J 1H4</t>
  </si>
  <si>
    <t>(416) 535-8501 Ext. 34051</t>
  </si>
  <si>
    <t>175 Brentcliffe Rd,Toronto ON  M4G0C5,Canada,County:City of Toronto,Electoral District:10</t>
  </si>
  <si>
    <t>Bellwood Health Services Inc.:Toronto
Centre for Addiction &amp; Mental Health,Queen Street Site:Toronto
Sault Area Hospital:Sault Ste Marie</t>
  </si>
  <si>
    <t>University of Toronto, 01 Apr 2008  to 23 Jun 2008|PEAP - Resident - Psychiatry
University of Toronto, 24 Jun 2008  to 30 Jun 2008|PostGrad Yr 1 - Psychiatry
University of Toronto, 01 Jul 2008  to 30 Jun 2009|PostGrad Yr 1 - Psychiatry
University of Toronto, 01 Jul 2009  to 30 Jun 2010|PostGrad Yr 2 - Psychiatry
University of Toronto, 01 Jul 2010  to 30 Jun 2011|PostGrad Yr 3 - Psychiatry
University of Toronto, 01 Jul 2011  to 30 Jun 2012|PostGrad Yr 4 - Psychiatry
University of Toronto, 01 Jul 2012  to 30 Jun 2013|PostGrad Yr 5 - Psychiatry
University of Toronto, 01 Jul 2013  to 30 Jun 2014|Clinical Fellow - Psychiatry
University of Toronto, 01 Jul 2014  to 30 Jun 2015|Clinical Fellow - Psychiatry
University of Toronto, 01 Jul 2015  to 05 Nov 2015|Clinical Fellow - Psychiatry</t>
  </si>
  <si>
    <t>First certificate of registration issued: Pre Entry Assessment Program Certificate||Effective:   01 Apr 2008
Expired: Terms and conditions of certificate of registration||Expiry:      23 Jun 2008
Subsequent certificate of registration Issued: Postgraduate Education Certificate||Effective:   27 Jun 2008
Transfer of class of registration to: Independent Practice Certificate||Effective:   30 Jun 2013</t>
  </si>
  <si>
    <t>Dr. Ahmed N. Hassan Medicine Professional Corporation</t>
  </si>
  <si>
    <t>Inactive: Mar 28 2018</t>
  </si>
  <si>
    <t>67722</t>
  </si>
  <si>
    <t xml:space="preserve">Active Member as of 30 May 1994 </t>
  </si>
  <si>
    <t xml:space="preserve">Independent Practice as of 30 May 1994 </t>
  </si>
  <si>
    <t>English, Sinhalese, Tamil</t>
  </si>
  <si>
    <t>University of Ceylon, 1974</t>
  </si>
  <si>
    <t>1 Hospital Crt,Oshawa ON  L1G 2B9</t>
  </si>
  <si>
    <t>(905) 576-8711 Ext. 3762</t>
  </si>
  <si>
    <t>Psychiatry||Effective: 19 Nov 1993||RCPSC Specialist</t>
  </si>
  <si>
    <t>First certificate of registration issued: Independent Practice Certificate||Effective:   30 May 1994</t>
  </si>
  <si>
    <t>Aiyathurai Gnaneswaran Medicine Professional Corporation</t>
  </si>
  <si>
    <t>Issued Date:  Sep 17 2003</t>
  </si>
  <si>
    <t>Dr. A. Gnaneswaran (CPSO# 67722)</t>
  </si>
  <si>
    <t>Lakeridge Health Centre,1 Hospital Court,Oshawa ON  L1G 2B9,(905) 576-8711</t>
  </si>
  <si>
    <t>93892</t>
  </si>
  <si>
    <t xml:space="preserve">Independent Practice as of 09 Jun 2016 </t>
  </si>
  <si>
    <t>University College of Dublin, 2009</t>
  </si>
  <si>
    <t>401 Sunset Drive,St Thomas ON  N5R 3C6</t>
  </si>
  <si>
    <t>(519) 631-8510 Ext. 49402</t>
  </si>
  <si>
    <t>(519) 637-5564</t>
  </si>
  <si>
    <t>Psychiatry||Effective: 30 Jun 2015||RCPSC Specialist</t>
  </si>
  <si>
    <t>The University of Western Ontario, 01 Jul 2010  to 23 Sep 2010|Assessment Verification Period - Psychiatry
The University of Western Ontario, 24 Sep 2010  to 30 Jun 2011|PostGrad Yr 1 - Psychiatry
The University of Western Ontario, 01 Jul 2011  to 30 Jun 2012|PostGrad Yr 2 - Psychiatry
The University of Western Ontario, 01 Jul 2012  to 30 Jun 2013|PostGrad Yr 3 - Psychiatry
The University of Western Ontario, 01 Jul 2013  to 27 Sep 2013|PostGrad Yr 3 - Psychiatry
The University of Western Ontario, 28 Sep 2013  to 30 Jun 2014|PostGrad Yr 4 - Psychiatry
The University of Western Ontario, 01 Jul 2014  to 27 Sep 2014|PostGrad Yr 4 - Psychiatry
The University of Western Ontario, 28 Sep 2014  to 30 Jun 2015|PostGrad Yr 5 - Psychiatry
University of Toronto, 01 Jul 2015  to 30 Jun 2016|PostGrad Yr 6 - Forensic Psychiatry</t>
  </si>
  <si>
    <t>First certificate of registration issued: Pre Entry Assessment Program Certificate||Effective:   01 Jul 2010
Transfer of class of registration to: Postgraduate Education Certificate||Effective:   24 Sep 2010
Transfer of class of registration to: Independent Practice Certificate||Effective:   09 Jun 2016</t>
  </si>
  <si>
    <t>85397</t>
  </si>
  <si>
    <t xml:space="preserve">Active Member as of 25 Sep 2007 </t>
  </si>
  <si>
    <t xml:space="preserve">Independent Practice as of 25 Sep 2007 </t>
  </si>
  <si>
    <t>Ross University, 2000</t>
  </si>
  <si>
    <t>Ministry of Children and,Youth Services CPRI,600 Sanatorium Road,London ON  N6H 3W7</t>
  </si>
  <si>
    <t>(519) 858-2774 Ext. 2312</t>
  </si>
  <si>
    <t>800 Commissioners Road East,London ON  N6A 5W9,Canada,Phone:(519) 685-8500,County:County of Middlesex,Electoral District:02</t>
  </si>
  <si>
    <t>London Health Sciences Centre Victoria Hospital:London
London Health Sciences Centre,Children's Hospital of Western Ontario:London
London Health Sciences Centre,University Site:London</t>
  </si>
  <si>
    <t>Psychiatry||Effective: 23 Apr 2007||RCPSC Specialist
Child and Adolescent Psychiatry||Effective: 27 Sep 2016||RCPSC Specialist</t>
  </si>
  <si>
    <t>First certificate of registration issued: Restricted certificate||Effective:   17 Jul 2006
Terms and conditions imposed on certificate by Registration Committee||Effective:   17 Jul 2006
Expiry date attached to certificate of registration.||Expiry Date: 16 Jul 2009
Expired: Terms and conditions imposed on certificate by Registration Committee||Effective:   25 Sep 2007
Subsequent certificate of registration Issued: Independent Practice Certificate||Effective:   25 Sep 2007</t>
  </si>
  <si>
    <t>Dr. Ninan Medicine Professional Corporation</t>
  </si>
  <si>
    <t>Issued Date:  Aug 06 2013</t>
  </si>
  <si>
    <t>Dr. A. Ninan (CPSO# 85397)</t>
  </si>
  <si>
    <t>800 Commissioners Road East,London ON  N6A 5W9,(519) 685-8500</t>
  </si>
  <si>
    <t>84696</t>
  </si>
  <si>
    <t xml:space="preserve">Active Member as of 01 Jul 2006 </t>
  </si>
  <si>
    <t xml:space="preserve">Independent Practice as of 30 Jun 2011 </t>
  </si>
  <si>
    <t>University of Toronto, 2006</t>
  </si>
  <si>
    <t>Trillium Health Partners,Mississauga Hospital,100 Queensway West, Mississauga, ON,Room G285,Mississauga ON  L5B 1B8</t>
  </si>
  <si>
    <t>(905) 848-7585 Ext. 2691</t>
  </si>
  <si>
    <t>(905) 848-7368</t>
  </si>
  <si>
    <t>Trillium Health Partners,Mississauga Hospital:Mississauga</t>
  </si>
  <si>
    <t>Psychiatry||Effective: 30 Jun 2011||RCPSC Specialist</t>
  </si>
  <si>
    <t>University of Toronto, 01 Jul 2006  to 30 Jun 2007|PostGrad Yr 1 - Psychiatry
University of Toronto, 01 Jul 2007  to 30 Jun 2008|PostGrad Yr 2 - Psychiatry
University of Toronto, 01 Jul 2008  to 30 Jun 2009|PostGrad Yr 3 - Psychiatry
University of Toronto, 01 Jul 2009  to 30 Jun 2010|PostGrad Yr 4 - Psychiatry
University of Toronto, 01 Jul 2010  to 30 Jun 2011|PostGrad Yr 5 - Psychiatry</t>
  </si>
  <si>
    <t>First certificate of registration issued: Postgraduate Education Certificate||Effective:   01 Jul 2006
Transfer of class of registration to: Independent Practice Certificate||Effective:   30 Jun 2011</t>
  </si>
  <si>
    <t>Dr. Ajmal Razmy Medicine Professional Corporation</t>
  </si>
  <si>
    <t>Issued Date:  Dec 03 2012</t>
  </si>
  <si>
    <t>Dr. A. Razmy (CPSO# 84696)</t>
  </si>
  <si>
    <t>Trillium Health Partners,Mississauga Hospital,100 Queensway West,Mississauga ON  L5B 1B8,(905) 848-7491</t>
  </si>
  <si>
    <t>78573</t>
  </si>
  <si>
    <t xml:space="preserve">Active Member as of 25 Sep 2002 </t>
  </si>
  <si>
    <t xml:space="preserve">Independent Practice as of 25 Sep 2002 </t>
  </si>
  <si>
    <t>Azari, English, Persian</t>
  </si>
  <si>
    <t>Tabriz University, 1987</t>
  </si>
  <si>
    <t>377 Brookdale Ave,North York ON  M5M1R1</t>
  </si>
  <si>
    <t>(416) 921-1500</t>
  </si>
  <si>
    <t>Psychiatry||Effective: 12 Jun 2002||RCPSC Specialist</t>
  </si>
  <si>
    <t>First certificate of registration issued: Independent Practice Certificate||Effective:   25 Sep 2002</t>
  </si>
  <si>
    <t>Dr. Akbar Rajabi Asl Medicine Professional Corporation</t>
  </si>
  <si>
    <t>Issued Date:  Nov 01 2007</t>
  </si>
  <si>
    <t>Dr. A. Rajabi Asl (CPSO# 78573)</t>
  </si>
  <si>
    <t>377 Brookdale Avenue,North York ON  M5M 1R1,(416) 921-1500</t>
  </si>
  <si>
    <t>99704</t>
  </si>
  <si>
    <t xml:space="preserve">Active Member as of 28 Jan 2014 </t>
  </si>
  <si>
    <t xml:space="preserve">Independent Practice as of 28 Jan 2014 </t>
  </si>
  <si>
    <t>Obafemi Awolowo University, 2004</t>
  </si>
  <si>
    <t>(705) 759-3434</t>
  </si>
  <si>
    <t>Thunderbay Regionl Health Sciences,980 Oliver Road,Thunder Bay ON  P7B 6V4,Canada,Phone:(807) 684-6000,County:District of Thunder Bay,Electoral District:09</t>
  </si>
  <si>
    <t>Alberta
United Kingdom</t>
  </si>
  <si>
    <t>London Health Sciences Centre Victoria Hospital:London
Sault Area Hospital:Sault Ste Marie
Thunder Bay Regional Health Sciences Centre:Thunder Bay</t>
  </si>
  <si>
    <t>Psychiatry||Effective: 02 May 2013||RCPSC Specialist</t>
  </si>
  <si>
    <t>First certificate of registration issued: Restricted certificate||Effective:   19 Dec 2012
Terms and conditions imposed on certificate by Registration Committee||Effective:   19 Dec 2012
Expiry date attached to certificate of registration.||Expiry Date: 18 Dec 2015
Expired: Terms and conditions imposed on certificate by Registration Committee||Effective:   28 Jan 2014
Subsequent certificate of registration Issued: Independent Practice Certificate||Effective:   28 Jan 2014</t>
  </si>
  <si>
    <t>Dr. Akinade Adebowale Medicine Professional Corporation</t>
  </si>
  <si>
    <t>Issued Date:  Feb 14 2013</t>
  </si>
  <si>
    <t>Dr. A. Adebowale (CPSO# 99704)</t>
  </si>
  <si>
    <t>Sault Area Hospital,Department of Psychiatry,750 Great Northern Road,Sault Ste Marie ON  P6B 0A8,(705) 759-3434
980 Oliver Road,980 Oliver Road,Thunder Bay ON  P7B 6V4</t>
  </si>
  <si>
    <t>94388</t>
  </si>
  <si>
    <t xml:space="preserve">Active Member as of 31 Aug 2010 </t>
  </si>
  <si>
    <t xml:space="preserve">Restricted as of 31 Aug 2010 </t>
  </si>
  <si>
    <t>English, Hindi, Panjabi/Punjabi</t>
  </si>
  <si>
    <t>University of Delhi, 1996</t>
  </si>
  <si>
    <t>800 Commissioners Road,LHSC Victoria Hospital,Zone A Door 4-A2607,Department of Psychiatry,London ON  N6A 5W9</t>
  </si>
  <si>
    <t>(519) 685-8500 Ext. 17078</t>
  </si>
  <si>
    <t>India</t>
  </si>
  <si>
    <t>London Health Sciences Centre South Street Hospital:London
London Health Sciences Centre Victoria Hospital:London
London Health Sciences Centre,University Site:London</t>
  </si>
  <si>
    <t>Psychiatry||Effective: 01 Jul 2017||CPSO Recognized Specialist
Psychiatry||Effective: 31 Aug 2010||CPSO Recognized Specialist</t>
  </si>
  <si>
    <t>First certificate of registration issued: Restricted certificate||Effective:   31 Aug 2010
Terms and conditions imposed on certificate by Registration Committee||Effective:   31 Aug 2010
Expiry date attached to certificate of registration.||Expiry Date: 30 Jun 2013
Terms and conditions amended by Registration Committee||Effective:   01 Jul 2017</t>
  </si>
  <si>
    <t>Vasudev Medicine Professional Corporation</t>
  </si>
  <si>
    <t>Issued Date:  Jun 06 2012</t>
  </si>
  <si>
    <t>Dr. A. Vasudev (CPSO# 94388)</t>
  </si>
  <si>
    <t>800 Commissioners Road East,LHSC Victoria Hospital-Zone A Door 4,Suites A2 607,Department of Psychiatry,London ON  N6A 5W9,(519) 685-8500</t>
  </si>
  <si>
    <t>54528</t>
  </si>
  <si>
    <t xml:space="preserve">Active Member as of 01 Jul 1984 </t>
  </si>
  <si>
    <t xml:space="preserve">Independent Practice as of 21 Aug 1987 </t>
  </si>
  <si>
    <t>English, French, Italian</t>
  </si>
  <si>
    <t>University of Montreal, 1983</t>
  </si>
  <si>
    <t>Royal Ottawa Mental Health Centre,1145 Carling Avenue,Ottawa ON  K1Z 7K4</t>
  </si>
  <si>
    <t>(613) 722-6521 Ext. 6501</t>
  </si>
  <si>
    <t>Quebec</t>
  </si>
  <si>
    <t>Ottawa Hospital,Civic Site:Ottawa
Ottawa Hospital,General Site:Ottawa
Royal Ottawa Health Care Group:Ottawa</t>
  </si>
  <si>
    <t>Psychiatry||Effective: 01 Jun 1988||RCPSC Specialist</t>
  </si>
  <si>
    <t>University of Ottawa, 01 Jul 1988  to 30 Jun 1988|Clinical Fellow - Psychiatry</t>
  </si>
  <si>
    <t>First certificate of registration issued: Postgraduate Education Certificate||Effective:   01 Jul 1984
Transfer of class of registration to: Independent Practice Certificate||Effective:   21 Aug 1987</t>
  </si>
  <si>
    <t>Bourget Labelle Medecine Societe Professionnelle</t>
  </si>
  <si>
    <t>Issued Date:  May 18 2011</t>
  </si>
  <si>
    <t>Dr. D. Bourget (CPSO# 54525),Dr. A. Labelle (CPSO# 54528)</t>
  </si>
  <si>
    <t>Royal Ottawa Mental Health Centre,1145 Carling Avenue,Ottawa ON  K1Z 7K4,(613) 722-6521</t>
  </si>
  <si>
    <t>29825</t>
  </si>
  <si>
    <t xml:space="preserve">Active Member as of 21 Mar 1978 </t>
  </si>
  <si>
    <t xml:space="preserve">Independent Practice as of 21 Mar 1978 </t>
  </si>
  <si>
    <t>University of Dublin, 1973</t>
  </si>
  <si>
    <t>St Josephs Healthcare,A T R C B127,100 West Fifth Street,Hamilton ON  L8N 3K7</t>
  </si>
  <si>
    <t>(905) 522-1155 Ext. 35377</t>
  </si>
  <si>
    <t>(905) 521-6120</t>
  </si>
  <si>
    <t>Hamilton Health Sciences Centre McMaster &amp; Childrens Hosp,McMaster &amp; Children's Hospital:Hamilton
Hamilton Health Sciences,General Site:Hamilton
Hamilton Health Sciences,Juravinski Hospital and Cancer Centre:Hamilton
St Joseph's Healthcare System,Hamilton:Hamilton</t>
  </si>
  <si>
    <t>Psychiatry||Effective: 13 Nov 1978||RCPSC Specialist</t>
  </si>
  <si>
    <t>First certificate of registration issued: Postgraduate Education Certificate||Effective:   01 Jul 1974
Transfer of class of registration to: Independent Practice Certificate||Effective:   21 Mar 1978</t>
  </si>
  <si>
    <t>23412</t>
  </si>
  <si>
    <t xml:space="preserve">Active Member as of 16 Feb 1971 </t>
  </si>
  <si>
    <t xml:space="preserve">Independent Practice as of 16 Feb 1971 </t>
  </si>
  <si>
    <t>The University of British Columbia, 1959</t>
  </si>
  <si>
    <t>Suite 330,630 South Raymond Avenue,Pasadena CA  91105,United States</t>
  </si>
  <si>
    <t>(626) 356-4067</t>
  </si>
  <si>
    <t>USA - California</t>
  </si>
  <si>
    <t>Psychiatry||Effective: 01 Jan 1964||RCPSC Specialist</t>
  </si>
  <si>
    <t>First certificate of registration issued: Independent Practice Certificate||Effective:   16 Feb 1971</t>
  </si>
  <si>
    <t>42808</t>
  </si>
  <si>
    <t xml:space="preserve">Active Member as of 21 Aug 2001 </t>
  </si>
  <si>
    <t xml:space="preserve">Independent Practice as of 21 Aug 2001 </t>
  </si>
  <si>
    <t>University of Alberta, 1977</t>
  </si>
  <si>
    <t>Royal Ottawa Hospital,1145 Carling Avenue,Ottawa ON  K1Z 7K4</t>
  </si>
  <si>
    <t>(613) 722-6521 Ext. 6226</t>
  </si>
  <si>
    <t>(613) 798-2980</t>
  </si>
  <si>
    <t>Psychiatry||Effective: 07 Jun 1982||RCPSC Specialist</t>
  </si>
  <si>
    <t>University of Toronto, 01 Jul 1977  to 30 Jun 1978|PostGrad Yr 1 - Psychiatry</t>
  </si>
  <si>
    <t>First certificate of registration issued: Postgraduate Education Certificate||Effective:   01 Jul 1977
Expired: Terms and conditions of certificate of registration||Expiry:      30 Jun 1978
Subsequent certificate of registration Issued: Postgraduate Education Certificate||Effective:   06 Sep 1982
Expired: Terms and conditions of certificate of registration||Expiry:      24 Dec 1982
Subsequent certificate of registration Issued: Independent Practice Certificate||Effective:   21 Aug 2001</t>
  </si>
  <si>
    <t>A.B. Douglass Medicine Professional Corporation</t>
  </si>
  <si>
    <t>Issued Date:  Nov 21 2011</t>
  </si>
  <si>
    <t>Dr. A. Douglass (CPSO# 42808)</t>
  </si>
  <si>
    <t>Royal Ottawa Hospital,Suite 3124,1145 Carling Avenue,Ottawa ON  K1Z 7K4,(613) 722-6521</t>
  </si>
  <si>
    <t>50206</t>
  </si>
  <si>
    <t xml:space="preserve">Active Member as of 01 Jul 1979 </t>
  </si>
  <si>
    <t xml:space="preserve">Independent Practice as of 08 Jul 1983 </t>
  </si>
  <si>
    <t>McMaster University, 1979</t>
  </si>
  <si>
    <t>Suite 321,3075 Hospital Gate,Oakville ON  L6M 1M1</t>
  </si>
  <si>
    <t>(905) 339-0956</t>
  </si>
  <si>
    <t>(905) 339-0452</t>
  </si>
  <si>
    <t>Halton Healthcare Services Corporation,Georgetown Hospital:Georgetown
Oakville Trafalgar Memorial Hospital:Oakville</t>
  </si>
  <si>
    <t>First certificate of registration issued: Postgraduate Education Certificate||Effective:   01 Jul 1979
Transfer of class of registration to: Independent Practice Certificate||Effective:   08 Jul 1983</t>
  </si>
  <si>
    <t>A. Brown Medicine Professional Corporation</t>
  </si>
  <si>
    <t>Dr. A. Brown (CPSO# 50206)</t>
  </si>
  <si>
    <t>3075 Hospital Gate,Suite 321,Oakville ON  L6M 1M1,(905) 339-0956</t>
  </si>
  <si>
    <t>61298</t>
  </si>
  <si>
    <t xml:space="preserve">Active Member as of 15 Jun 1989 </t>
  </si>
  <si>
    <t xml:space="preserve">Independent Practice as of 11 Aug 1993 </t>
  </si>
  <si>
    <t>McMaster University, 1989</t>
  </si>
  <si>
    <t>North York General Hospital,Branson Site 2 North,555 Finch Avenue West,Toronto ON  M2R 1N5</t>
  </si>
  <si>
    <t>(416) 632-8701 Ext. 6035</t>
  </si>
  <si>
    <t>(416) 632-8718</t>
  </si>
  <si>
    <t>B103-7155 Woodbine Ave,Markham ON  L3R 1A3,Canada,Phone:416 628 4010,Fax:416 628 4009,County:Regional Municipality of York,Electoral District:05
suite 108-4040 Finch ave,Scarborough ON  M1S 4V5,Canada,Phone:416 293 3233,Fax:416 293 0692,County:City of Toronto,Electoral District:10
suite 1011-123 Edward St.,Toronto ON  M5G 1E2,Canada,Phone:416 813 2277,Fax:416 260 3203,County:City of Toronto,Electoral District:10</t>
  </si>
  <si>
    <t>North York General Hospital,Branson Hospital Site:Toronto
North York General Hospital,General Division:Toronto
West Parry Sound Health Centre:Parry Sound</t>
  </si>
  <si>
    <t>University of Toronto, 01 Jul 1995  to 30 Jun 1996|Clinical Fellow - Psychiatry
University of Toronto, 01 Jul 1996  to 30 Jun 1997|Clinical Fellow - Psychiatry</t>
  </si>
  <si>
    <t>First certificate of registration issued: Postgraduate Education Certificate||Effective:   15 Jun 1989
Transfer of class of registration to: Independent Practice Certificate||Effective:   11 Aug 1993</t>
  </si>
  <si>
    <t>Alan D. Lowe Medicine Professional Corporation</t>
  </si>
  <si>
    <t>Issued Date:  Feb 04 2008</t>
  </si>
  <si>
    <t>Dr. A. Lowe (CPSO# 61298)</t>
  </si>
  <si>
    <t>2100 Ellesmere Road,Suite 326,Scarborough ON  M1H 3B7,(416) 439-0130
2025 Midland Avenue,2025 Midland Avenue,Suit 302,Scarborough ON  M1P 3E2,(416) 292-3218
North York General Hospital,North York General Hospital,Branson Site 2 North,555 Finch Avenue West,Toronto ON  M2R 1N5,(416) 632-8701</t>
  </si>
  <si>
    <t>53406</t>
  </si>
  <si>
    <t xml:space="preserve">Active Member as of 21 Jan 1987 </t>
  </si>
  <si>
    <t xml:space="preserve">Independent Practice as of 21 Jan 1987 </t>
  </si>
  <si>
    <t>The University of Western Ontario, 1979</t>
  </si>
  <si>
    <t>Practice Address Not Available,568 ROSECLIFFE TERRACE,London ON  N6K3X8</t>
  </si>
  <si>
    <t>519-472-9078</t>
  </si>
  <si>
    <t>Psychiatry||Effective: 18 Nov 1986||RCPSC Specialist</t>
  </si>
  <si>
    <t>First certificate of registration issued: Postgraduate Education Certificate||Effective:   15 Jun 1979
Expired: Terms and conditions of certificate of registration||Expiry:      30 Jun 1982
Subsequent certificate of registration Issued: Postgraduate Education Certificate||Effective:   01 Jul 1983
Expired: Terms and conditions of certificate of registration||Expiry:      31 Dec 1986
Subsequent certificate of registration Issued: Independent Practice Certificate||Effective:   21 Jan 1987</t>
  </si>
  <si>
    <t>81340</t>
  </si>
  <si>
    <t xml:space="preserve">Independent Practice as of 26 Nov 2009 </t>
  </si>
  <si>
    <t>The University of Western Ontario, 2004</t>
  </si>
  <si>
    <t>Centre for Addiction &amp; Mental Healt,250 College Street West,Room 939,Toronto ON  M5T 1R8</t>
  </si>
  <si>
    <t>(416) 535-8501 Ext. 34442</t>
  </si>
  <si>
    <t>(416) 979-4975</t>
  </si>
  <si>
    <t>Centre of Addiction &amp; Mental Health,- College Street Site:Toronto</t>
  </si>
  <si>
    <t>University of Toronto, 01 Jul 2004  to 30 Jun 2005|PostGrad Yr 1 - Psychiatry
University of Toronto, 01 Jul 2005  to 30 Jun 2006|PostGrad Yr 2 - Psychiatry
University of Toronto, 01 Jul 2006  to 30 Jun 2007|PostGrad Yr 3 - Psychiatry
University of Toronto, 01 Jul 2007  to 30 Jun 2008|PostGrad Yr 4 - Psychiatry
University of Toronto, 01 Jul 2008  to 30 Jun 2009|PostGrad Yr 5 - Psychiatry
University of Toronto, 01 Jul 2009  to 31 Dec 2009|PostGrad Yr 5 - Psychiatry</t>
  </si>
  <si>
    <t>First certificate of registration issued: Postgraduate Education Certificate||Effective:   01 Jul 2004
Transfer of class of registration to: Independent Practice Certificate||Effective:   26 Nov 2009</t>
  </si>
  <si>
    <t>Alan S. Kahn Medicine Professional Corporation</t>
  </si>
  <si>
    <t>Issued Date:  Jul 26 2010</t>
  </si>
  <si>
    <t>Dr. A. Kahn (CPSO# 81340)</t>
  </si>
  <si>
    <t>C A M H College Street Site,Suite 939,250 College Street,Toronto ON  M5T 1R8,(416) 535-8501</t>
  </si>
  <si>
    <t>57426</t>
  </si>
  <si>
    <t xml:space="preserve">Active Member as of 01 Jul 1986 </t>
  </si>
  <si>
    <t xml:space="preserve">Independent Practice as of 29 Jun 1988 </t>
  </si>
  <si>
    <t>University of Auckland, 1979</t>
  </si>
  <si>
    <t>The Toronto General Hospital,200 Elizabeth Street,8 Eaton North, Room 238,Toronto ON  M5G 2C4</t>
  </si>
  <si>
    <t>(416) 340-4788</t>
  </si>
  <si>
    <t>Australia</t>
  </si>
  <si>
    <t>University Health Network,Toronto General Hospital Site:Toronto
University Health Network,Toronto Rehabilitation Institute:Toronto
University Health Network,Toronto Western Hospital Site:Toronto</t>
  </si>
  <si>
    <t>Psychiatry||Effective: 17 Nov 1987||RCPSC Specialist</t>
  </si>
  <si>
    <t>University of Toronto, 01 Jul 1987  to 30 Jun 1988|Resident 4 - Psychiatry</t>
  </si>
  <si>
    <t>First certificate of registration issued: Postgraduate Education Certificate||Effective:   01 Jul 1986
Transfer of class of registration to: Independent Practice Certificate||Effective:   29 Jun 1988</t>
  </si>
  <si>
    <t>98724</t>
  </si>
  <si>
    <t xml:space="preserve">Independent Practice as of 11 Aug 2014 </t>
  </si>
  <si>
    <t>English, French</t>
  </si>
  <si>
    <t>Charles Univ Prague, 2007</t>
  </si>
  <si>
    <t>3B101 - 713 Montreal Rd,Ottawa ON  K2K 1T0</t>
  </si>
  <si>
    <t>(613) 746-4621 Ext. 3917</t>
  </si>
  <si>
    <t>Montfort Hospital:Ottawa</t>
  </si>
  <si>
    <t>Psychiatry||Effective: 28 Jul 2013||RCPSC Specialist</t>
  </si>
  <si>
    <t>University of Ottawa, 02 Jul 2012  to 28 Sep 2012|Elective Trainee - Psychiatry
University of Ottawa, 01 Oct 2012  to 02 Jan 2013|Elective Trainee - Psychiatry
University of Toronto, 01 Jul 2013  to 30 Jun 2014|PostGrad Yr 6 - Geriatric Psychiatry
University of Toronto, 01 Jul 2014  to 30 Jun 2015|PostGrad Yr 7 - Geriatric Psychiatry</t>
  </si>
  <si>
    <t>First certificate of registration issued: Postgraduate Education Certificate||Effective:   02 Jul 2012
Expired: Terms and conditions of certificate of registration||Expiry:      28 Sep 2012
Subsequent certificate of registration Issued: Postgraduate Education Certificate||Effective:   01 Oct 2012
Expired: Terms and conditions of certificate of registration||Expiry:      02 Jan 2013
Subsequent certificate of registration Issued: Postgraduate Education Certificate||Effective:   01 Jul 2013
Transfer of class of registration to: Independent Practice Certificate||Effective:   11 Aug 2014</t>
  </si>
  <si>
    <t>Dr. Alayna Jaques Medicine Professional Corporation</t>
  </si>
  <si>
    <t>Issued Date:  Dec 23 2016</t>
  </si>
  <si>
    <t>Dr. A. Jaques (CPSO# 98724)</t>
  </si>
  <si>
    <t>Montfort Hospital,Suite 3B101,713 Montreal Road,Ottawa ON  K1K 0T2,(613) 746-4621</t>
  </si>
  <si>
    <t>50656</t>
  </si>
  <si>
    <t xml:space="preserve">Active Member as of 01 Jul 1981 </t>
  </si>
  <si>
    <t xml:space="preserve">Independent Practice as of 05 Jul 1985 </t>
  </si>
  <si>
    <t>Akan, English, Ghana</t>
  </si>
  <si>
    <t>Univ of Ghana, 1979</t>
  </si>
  <si>
    <t>William Osler Health Centre,Brampton Civic Hospital,2100 Bovaird Drive East,Brampton ON  L6R 3J7</t>
  </si>
  <si>
    <t>(905) 494-2120 Ext. 57690</t>
  </si>
  <si>
    <t>(905) 494-6715</t>
  </si>
  <si>
    <t>William Osler Health Centre-Brampton Civic Hospital:Brampton</t>
  </si>
  <si>
    <t>First certificate of registration issued: Postgraduate Education Certificate||Effective:   01 Jul 1981
Transfer of class of registration to: Independent Practice Certificate||Effective:   05 Jul 1985</t>
  </si>
  <si>
    <t>66537</t>
  </si>
  <si>
    <t xml:space="preserve">Active Member as of 01 Jul 1993 </t>
  </si>
  <si>
    <t xml:space="preserve">Independent Practice as of 30 Jun 1998 </t>
  </si>
  <si>
    <t>University of Toronto, 1993</t>
  </si>
  <si>
    <t>Centre for Addiction and Mental,Health,250 College Street,Room 323,Toronto ON  M5T 1R8</t>
  </si>
  <si>
    <t>(416) 535-8501 Ext. 34010</t>
  </si>
  <si>
    <t>(416) 979-6936</t>
  </si>
  <si>
    <t>Centre for Addiction &amp; Mental Health,Queen Street Site:Toronto
Centre of Addiction &amp; Mental Health,- College Street Site:Toronto</t>
  </si>
  <si>
    <t>University of Toronto, 01 Jul 1993  to 30 Jun 1994|PostGrad Yr 1 - Psychiatry
University of Toronto, 01 Jul 1994  to 30 Jun 1995|Resident 1 - Psychiatry
University of Toronto, 01 Jul 1995  to 30 Jun 1996|Resident 2 - Psychiatry
University of Toronto, 01 Jul 1996  to 30 Jun 1997|Resident 3 - Psychiatry
University of Toronto, 01 Jul 1997  to 30 Jun 1998|Resident 4 - Psychiatry
University of Toronto, 01 Jul 2001  to 30 Jun 2002|Clinical Fellow - Psychiatry</t>
  </si>
  <si>
    <t>First certificate of registration issued: Postgraduate Education Certificate||Effective:   01 Jul 1993
Transfer of class of registration to: Independent Practice Certificate||Effective:   30 Jun 1998</t>
  </si>
  <si>
    <t>88359</t>
  </si>
  <si>
    <t xml:space="preserve">Active Member as of 01 Jul 2008 </t>
  </si>
  <si>
    <t>University of Calgary, 2007</t>
  </si>
  <si>
    <t>Suite 703,1849 Yonge St.,Toronto ON  M4S 1Y2</t>
  </si>
  <si>
    <t>(647) 557-3622</t>
  </si>
  <si>
    <t>647-689-3288</t>
  </si>
  <si>
    <t>Asian Clinic,Hong Fook Mental Health Association,130 Dundas Street West, 3rd Floor,Toronto ON  M5G 1C3,Canada,Phone:(416) 493-4242,Fax:(416) 595-6332,County:City of Toronto,Electoral District:10
The ADHD Clinic,1849 Yonge St.,Suite 711,Toronto ON  M4S 1Y2,Canada,Phone:(416) 304-1779,Fax:(416) 304-0257,County:City of Toronto,Electoral District:10</t>
  </si>
  <si>
    <t>University of Toronto, 01 Jul 2008  to 30 Jun 2009|PostGrad Yr 1 - Psychiatry
University of Toronto, 01 Jul 2009  to 30 Jun 2010|PostGrad Yr 2 - Psychiatry
University of Toronto, 01 Jul 2010  to 30 Jun 2011|PostGrad Yr 3 - Psychiatry
University of Toronto, 01 Jul 2011  to 30 Jun 2012|PostGrad Yr 4 - Psychiatry
University of Toronto, 01 Jul 2012  to 30 Jun 2013|PostGrad Yr 5 - Psychiatry
University of Toronto, 01 Sep 2016  to 30 Jun 2017|Clinical Fellow - Psychiatry
University of Toronto, 01 Jul 2017  to 31 Aug 2017|Clinical Fellow - Psychiatry</t>
  </si>
  <si>
    <t>First certificate of registration issued: Postgraduate Education Certificate||Effective:   01 Jul 2008
Transfer of class of registration to: Independent Practice Certificate||Effective:   30 Jun 2013</t>
  </si>
  <si>
    <t>Dr. Albert Allen Medicine Professional Corporation</t>
  </si>
  <si>
    <t>Issued Date:  Jun 03 2013</t>
  </si>
  <si>
    <t>Dr. A. Allen (CPSO# 88359)</t>
  </si>
  <si>
    <t>1849 Yonge Street,Suite 703 &amp; 711,Toronto ON  M4S 1Y2,(647) 557-3622
3rd Floor,3rd Floor,130 Dundas Street West,Toronto ON  M5G 1C3,(416) 493-4242</t>
  </si>
  <si>
    <t>50041</t>
  </si>
  <si>
    <t xml:space="preserve">Active Member as of 01 Jan 1982 </t>
  </si>
  <si>
    <t xml:space="preserve">Independent Practice as of 22 Aug 1990 </t>
  </si>
  <si>
    <t>English, Filipino</t>
  </si>
  <si>
    <t>University of the Philippines, 1974</t>
  </si>
  <si>
    <t>Mackenzie health,Department Of Psychiatry,10 Trench Street,Richmond Hill ON  L4C 4Z3</t>
  </si>
  <si>
    <t>(905) 883-1212 Ext. 7322</t>
  </si>
  <si>
    <t>(905) 883-2139</t>
  </si>
  <si>
    <t>Suite 202,250 Harding Boulevard West,Richmond Hill ON  L4C 9M7,Canada,Phone:(905) 787-8808,County:Regional Municipality of York,Electoral District:05</t>
  </si>
  <si>
    <t>Mackenzie Health,Richmond Hill:Richmond Hill</t>
  </si>
  <si>
    <t>Psychiatry||Effective: 08 Jun 1988||RCPSC Specialist</t>
  </si>
  <si>
    <t>First certificate of registration issued: Postgraduate Education Certificate||Effective:   01 Jan 1982
Transfer of class of registration to: Hospital Practice Certificate||Effective:   18 Jul 1988
Transfer of class of registration to: Independent Practice Certificate||Effective:   22 Aug 1990</t>
  </si>
  <si>
    <t>79101</t>
  </si>
  <si>
    <t xml:space="preserve">Active Member as of 01 Jul 2003 </t>
  </si>
  <si>
    <t xml:space="preserve">Independent Practice as of 30 Jun 2008 </t>
  </si>
  <si>
    <t>English, Russian</t>
  </si>
  <si>
    <t>The University of Western Ontario, 2003</t>
  </si>
  <si>
    <t>Hamilton ACT Team,52 Cannon Street West,Suite 204,Hamilton ON  L8R 2B5</t>
  </si>
  <si>
    <t>(905) 525-4273</t>
  </si>
  <si>
    <t>(905) 525-4926</t>
  </si>
  <si>
    <t>St. Joseph's Healthcare Hamilton,CMHS - Dual Diagnosis Program,100 West 5th Street,Hamilton ON  L8N 3K7,Canada,Phone:(905) 522-1155 Ext. 36657,Fax:(905) 381-5619,County:Regional Municipality of Hamilton-Wentworth,Electoral District:04</t>
  </si>
  <si>
    <t>Hamilton Health Sciences Centre McMaster &amp; Childrens Hosp,McMaster &amp; Children's Hospital:Hamilton
Hamilton Health Sciences,Chedoke Hospital Site:Hamilton
Hamilton Health Sciences,General Site:Hamilton
Hamilton Health Sciences,Juravinski Hospital and Cancer Centre:Hamilton
St Joseph's Centre for Mountain Health Services:Hamilton
St Joseph's Healthcare System,Hamilton:Hamilton</t>
  </si>
  <si>
    <t>Psychiatry||Effective: 30 Jun 2008||RCPSC Specialist</t>
  </si>
  <si>
    <t>McMaster University, 01 Jul 2003  to 30 Jun 2004|PostGrad Yr 1 - Psychiatry
McMaster University, 01 Jul 2004  to 30 Jun 2005|PostGrad Yr 2 - Psychiatry
McMaster University, 01 Jul 2005  to 30 Jun 2006|PostGrad Yr 3 - Psychiatry
McMaster University, 01 Jul 2006  to 30 Jun 2007|PostGrad Yr 4 - Psychiatry
McMaster University, 01 Jul 2007  to 30 Jun 2008|PostGrad Yr 5 - Psychiatry</t>
  </si>
  <si>
    <t>First certificate of registration issued: Postgraduate Education Certificate||Effective:   01 Jul 2003
Transfer of class of registration to: Independent Practice Certificate||Effective:   30 Jun 2008</t>
  </si>
  <si>
    <t>Dr. Albina Veltman Medicine Professional Corporation</t>
  </si>
  <si>
    <t>Issued Date:  Jun 15 2017</t>
  </si>
  <si>
    <t>Dr. A. Veltman (CPSO# 79101)</t>
  </si>
  <si>
    <t>Hamilton ACT Team,Suite 204,52 Cannon Street West,Hamilton ON  L8R 2B5,(905) 525-4273
St. Joseph's Healthcare Hamilton,St. Joseph's Healthcare Hamilton,Youth Wellness Centre,2nd Floor,38 James Street South,Hamilton ON  L8P 4W6,(905) 522-1155
St. Joseph's Healthcare Hamilton,St. Joseph's Healthcare Hamilton,CMHS - Dual Diagnosis Program,100 West 5th Street,Hamilton ON  L8N 3K7,(905) 522-1155</t>
  </si>
  <si>
    <t>64736</t>
  </si>
  <si>
    <t xml:space="preserve">Active Member as of 13 Dec 1991 </t>
  </si>
  <si>
    <t xml:space="preserve">Independent Practice as of 14 May 1996 </t>
  </si>
  <si>
    <t>Memorial University of Newfoundland, 1975</t>
  </si>
  <si>
    <t>402 empire ave.,St Johns nl.,canada,a1b 1a6,St. Johns NL  A1B 1A6</t>
  </si>
  <si>
    <t>(709) 699-9463</t>
  </si>
  <si>
    <t>Psychiatry||Effective: 21 Jul 1995||RCPSC Specialist</t>
  </si>
  <si>
    <t>University of Toronto, 22 Jun 1992  to 30 Jun 1993|Resident 1 - Psychiatry
University of Toronto, 01 Jul 1993  to 21 Jul 1993|Resident 1 - Psychiatry
University of Toronto, 22 Jul 1993  to 30 Jun 1994|Resident 3 - Psychiatry
University of Toronto, 01 Jul 1994  to 21 Jul 1994|Resident 3 - Psychiatry
University of Toronto, 22 Jul 1994  to 30 Jun 1995|Resident 4 - Psychiatry</t>
  </si>
  <si>
    <t>First certificate of registration issued: Restricted certificate||Effective:   13 Dec 1991
Transfer of class of registration to: Independent Practice Certificate||Effective:   14 May 1996</t>
  </si>
  <si>
    <t>64581</t>
  </si>
  <si>
    <t xml:space="preserve">Active Member as of 11 Sep 1991 </t>
  </si>
  <si>
    <t xml:space="preserve">Independent Practice as of 28 May 1996 </t>
  </si>
  <si>
    <t>University of Buenos Aires, 1962</t>
  </si>
  <si>
    <t>27 Ardmore Road,Toronto ON  M5P 1V6</t>
  </si>
  <si>
    <t>(416) 485-7237 Ext. # 2</t>
  </si>
  <si>
    <t>Psychiatry||Effective: 10 Jun 1993||RCPSC Specialist</t>
  </si>
  <si>
    <t>First certificate of registration issued: Academic Practice Certificate||Effective:   11 Sep 1991
Transfer of class of registration to: Independent Practice Certificate||Effective:   28 May 1996</t>
  </si>
  <si>
    <t>83486</t>
  </si>
  <si>
    <t xml:space="preserve">Active Member as of 08 Jul 2005 </t>
  </si>
  <si>
    <t xml:space="preserve">Independent Practice as of 14 Jul 2010 </t>
  </si>
  <si>
    <t>English, French, Polish</t>
  </si>
  <si>
    <t>University of Ottawa, 2004</t>
  </si>
  <si>
    <t>LHSC,800 Commissionders Rd. E.,London ON  N6A 5W9</t>
  </si>
  <si>
    <t>(519) 685-8500 Ext. 52534</t>
  </si>
  <si>
    <t>(519) 685-8595</t>
  </si>
  <si>
    <t>231 Wharncliffe Road South,London ON  N6J 2L3,Canada,Phone:(519) 963-0620,Fax:(519) 963-0621,County:County of Middlesex,Electoral District:02</t>
  </si>
  <si>
    <t>London Health Sciences Centre Victoria Hospital:London</t>
  </si>
  <si>
    <t>The University of Western Ontario, 30 Jun 2005  to 30 Jun 2006|PostGrad Yr 2 - Psychiatry
The University of Western Ontario, 01 Jul 2006  to 30 Jun 2007|PostGrad Yr 3 - Psychiatry
The University of Western Ontario, 01 Jul 2007  to 30 Jun 2008|PostGrad Yr 4 - Psychiatry
The University of Western Ontario, 01 Jul 2008  to 30 Jun 2009|PostGrad Yr 5 - Psychiatry
The University of Western Ontario, 01 Jul 2009  to 30 Jun 2010|PostGrad Yr 5 - Psychiatry
The University of Western Ontario, 01 Jul 2010  to 16 Jul 2010|PostGrad Yr 5 - Psychiatry</t>
  </si>
  <si>
    <t>First certificate of registration issued: Postgraduate Education Certificate||Effective:   08 Jul 2005
Transfer of class of registration to: Independent Practice Certificate||Effective:   14 Jul 2010</t>
  </si>
  <si>
    <t>A.A. Nowicki Medicine Professional Corporation</t>
  </si>
  <si>
    <t>Issued Date:  Aug 30 2013</t>
  </si>
  <si>
    <t>Dr. A. Nowicki (CPSO# 83486)</t>
  </si>
  <si>
    <t>231 Wharncliffe Road South,London ON  N6J 2L3,(519) 963-0620
LHSC,LHSC,800 Commissioners Road East,London ON  N6A 5W9,(519) 685-8500</t>
  </si>
  <si>
    <t>78039</t>
  </si>
  <si>
    <t xml:space="preserve">Active Member as of 01 Jul 2002 </t>
  </si>
  <si>
    <t xml:space="preserve">Independent Practice as of 30 Jun 2007 </t>
  </si>
  <si>
    <t>English, Romanian</t>
  </si>
  <si>
    <t>University of Medicine and Pharmacy, 1989</t>
  </si>
  <si>
    <t>454 Sherene Terrace,London ON  N6H 3J3</t>
  </si>
  <si>
    <t>(519) 432-6613</t>
  </si>
  <si>
    <t>(519) 473-1489</t>
  </si>
  <si>
    <t>The University of Western Ontario, 01 Jul 2002  to 30 Jun 2003|PostGrad Yr 1 - Psychiatry
The University of Western Ontario, 01 Jul 2003  to 30 Jun 2004|PostGrad Yr 2 - Psychiatry
The University of Western Ontario, 01 Jul 2004  to 30 Jun 2005|PostGrad Yr 3 - Psychiatry
The University of Western Ontario, 01 Jul 2005  to 30 Jun 2006|PostGrad Yr 4 - Psychiatry
The University of Western Ontario, 01 Jul 2006  to 30 Jun 2007|PostGrad Yr 5 - Psychiatry</t>
  </si>
  <si>
    <t>First certificate of registration issued: Postgraduate Education Certificate||Effective:   01 Jul 2002
Transfer of class of registration to: Independent Practice Certificate||Effective:   30 Jun 2007</t>
  </si>
  <si>
    <t>98807</t>
  </si>
  <si>
    <t xml:space="preserve">Postgraduate Education as of 23 Sep 2012 </t>
  </si>
  <si>
    <t>St George's University of Grenada, 2012</t>
  </si>
  <si>
    <t>St. Joseph's Healthcare Hamilton,Dept of Psychiatry and Behavioural,Neurosciences,100 West 5th Street,Hamilton ON  L8N 3K7</t>
  </si>
  <si>
    <t>(905) 522-1155 Ext. 39587</t>
  </si>
  <si>
    <t>(905) 575-6085</t>
  </si>
  <si>
    <t>Psychiatry||Effective: 16 May 2018||RCPSC Specialist</t>
  </si>
  <si>
    <t>University of Toronto, 01 Jul 2012  to 22 Sep 2012|Assessment Verification Period - Psychiatry
University of Toronto, 23 Sep 2012  to 30 Jun 2013|PostGrad Yr 1 - Psychiatry
University of Toronto, 01 Jul 2013  to 31 Dec 2013|PostGrad Yr 2 - Psychiatry
McMaster University, 01 Jan 2014  to 30 Jun 2014|PostGrad Yr 2 - Psychiatry
McMaster University, 01 Jul 2014  to 31 Oct 2014|PostGrad Yr 2 - Psychiatry
McMaster University, 01 Nov 2014  to 30 Jun 2015|PostGrad Yr 3 - Psychiatry
McMaster University, 01 Jul 2015  to 31 Oct 2015|PostGrad Yr 3 - Psychiatry
McMaster University, 01 Nov 2015  to 30 Jun 2016|PostGrad Yr 4 - Psychiatry
McMaster University, 01 Jul 2016  to 31 Oct 2016|PostGrad Yr 4 - Psychiatry
McMaster University, 01 Nov 2016  to 30 Jun 2017|PostGrad Yr 5 - Psychiatry
McMaster University, 01 Jul 2017  to 24 Feb 2018|PostGrad Yr 5 - Psychiatry
McMaster University, 25 Feb 2018  to 30 Jun 2018|PostGrad Yr 6 - Psychiatry
McMaster University, 01 Jul 2018  to 24 Feb 2019|PostGrad Yr 6 - Child and Adolescent Psychiatry</t>
  </si>
  <si>
    <t>First certificate of registration issued: Pre Entry Assessment Program Certificate||Effective:   01 Jul 2012
Transfer of class of registration to: Postgraduate Education Certificate||Effective:   23 Sep 2012
Expiry date attached to certificate of registration.||Expiry Date: 24 Feb 2019</t>
  </si>
  <si>
    <t>66117</t>
  </si>
  <si>
    <t xml:space="preserve">Active Member as of 29 Jan 2004 </t>
  </si>
  <si>
    <t xml:space="preserve">Independent Practice as of 29 Jan 2004 </t>
  </si>
  <si>
    <t>Academy of Medicine, Wroclaw, 1988</t>
  </si>
  <si>
    <t>Canadian Forces Health Services Ctr,713 Montreal Road,Ottawa ON  K1A 0K2</t>
  </si>
  <si>
    <t>(613) 945-1082</t>
  </si>
  <si>
    <t>(613) 945-1070</t>
  </si>
  <si>
    <t>Psychiatry||Effective: 16 Nov 2000||RCPSC Specialist</t>
  </si>
  <si>
    <t>University of Ottawa, 01 Jul 1992  to 30 Jun 1993|Resident 1 - General Pathology
University of Ottawa, 01 Jul 1993  to 30 Jun 1994|Resident 2 - General Pathology
University of Ottawa, 01 Jul 1994  to 30 Jun 1995|Resident 2 - General Pathology
University of Ottawa, 01 Jul 1995  to 31 Dec 1995|Resident 1 - Psychiatry
University of Ottawa, 01 Jan 1996  to 31 Dec 1996|Resident 2 - Psychiatry
University of Ottawa, 01 Jan 1997  to 31 Dec 1997|Resident 3 - Psychiatry
University of Ottawa, 01 Jan 1998  to 31 Dec 1998|Resident 4 - Psychiatry
University of Ottawa, 01 Jan 1999  to 31 Dec 1999|Clinical Fellow - Psychiatry
University of Ottawa, 15 Apr 2000  to 31 Dec 2000|Clinical Fellow - Psychiatry</t>
  </si>
  <si>
    <t>First certificate of registration issued: Postgraduate Education Certificate||Effective:   25 Nov 1992
Expired: Terms and conditions of certificate of registration||Expiry:      31 Dec 1999
Subsequent certificate of registration Issued: Postgraduate Education Certificate||Effective:   15 Apr 2000
Expired: Terms and conditions of certificate of registration||Expiry:      31 Dec 2000
Subsequent certificate of registration issued: Restricted certificate||Effective:   01 Feb 2001
Terms and conditions amended by Registration Committee||Effective:   14 Nov 2001
Terms and conditions amended by Registration Committee||Effective:   21 Aug 2003
Expired: Terms and conditions imposed on certificate by Registration Committee||Effective:   29 Jan 2004
Subsequent certificate of registration Issued: Independent Practice Certificate||Effective:   29 Jan 2004</t>
  </si>
  <si>
    <t>Alexander Kolodziej Medicine Professional Corporation</t>
  </si>
  <si>
    <t>Issued Date:  Jul 12 2012</t>
  </si>
  <si>
    <t>Dr. A. Kolodziej (CPSO# 66117)</t>
  </si>
  <si>
    <t>Canadian Forces Health Services Centre,713 Montreal Road,Ottawa ON  K1A 0K2,(613) 945-1082</t>
  </si>
  <si>
    <t>72468</t>
  </si>
  <si>
    <t xml:space="preserve">Active Member as of 01 Jul 1998 </t>
  </si>
  <si>
    <t>University of Alberta, 1998</t>
  </si>
  <si>
    <t>2867 Ellesmere Road,Toronto ON  M1E 4B9</t>
  </si>
  <si>
    <t>416-284-8131</t>
  </si>
  <si>
    <t>Rouge Valley Centenary Health Centre,Toronto:Toronto</t>
  </si>
  <si>
    <t>Psychiatry||Effective: 07 Jun 2004||RCPSC Specialist</t>
  </si>
  <si>
    <t>University of Toronto, 01 Jul 1998  to 30 Jun 1999|PostGrad Yr 1 - Psychiatry
University of Toronto, 01 Jul 1999  to 30 Jun 2000|PostGrad Yr 2 - Psychiatry
University of Toronto, 01 Jul 2000  to 30 Jun 2001|PostGrad Yr 3 - Psychiatry
University of Toronto, 01 Jul 2001  to 30 Jun 2002|PostGrad Yr 4 - Psychiatry
University of Toronto, 01 Jul 2002  to 30 Jun 2003|PostGrad Yr 5 - Psychiatry
University of Toronto, 01 Jul 2003  to 30 Jun 2004|Clinical Fellow - Psychiatry</t>
  </si>
  <si>
    <t>First certificate of registration issued: Postgraduate Education Certificate||Effective:   01 Jul 1998
Transfer of class of registration to: Independent Practice Certificate||Effective:   30 Jun 2004</t>
  </si>
  <si>
    <t>A. Bottas Medicine Professional Corporation</t>
  </si>
  <si>
    <t>Issued Date:  Aug 09 2007</t>
  </si>
  <si>
    <t>Dr. A. Bottas (CPSO# 72468)</t>
  </si>
  <si>
    <t>Rouge Valley Health System,2867 Ellesmere Road,Toronto ON  M1E 4B9,(416) 284-8131</t>
  </si>
  <si>
    <t>93156</t>
  </si>
  <si>
    <t xml:space="preserve">Independent Practice as of 30 Jun 2016 </t>
  </si>
  <si>
    <t>University of Toronto, 2010</t>
  </si>
  <si>
    <t>Trillium Health Partners,The Credit Valley Hospital,2200 Eglinton Avenue West,Mississauga ON  L5M 2N1</t>
  </si>
  <si>
    <t>905-813-2398</t>
  </si>
  <si>
    <t>905-813-4284</t>
  </si>
  <si>
    <t>Trillium Health Partners,The Credit Valley Hospital:Mississauga</t>
  </si>
  <si>
    <t>Psychiatry||Effective: 30 Jun 2016||RCPSC Specialist</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</si>
  <si>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
University of Toronto, 01 Jul 2015  to 30 Jun 2016|PostGrad Yr 5 - Psychiatry</t>
  </si>
  <si>
    <t>First certificate of registration issued: Postgraduate Education Certificate||Effective:   01 Jul 2010
Transfer of class of registration to: Independent Practice Certificate||Effective:   30 Jun 2016</t>
  </si>
  <si>
    <t>98143</t>
  </si>
  <si>
    <t>University of Toronto, 2012</t>
  </si>
  <si>
    <t>C.A.M.H.,Adult Neurodevelopmental Services,Unit 4-4 Room 402,1001 Queen Street West,Toronto ON  M6J 1H4</t>
  </si>
  <si>
    <t>416-535-8501 Ext. 32817</t>
  </si>
  <si>
    <t>416-583-1241</t>
  </si>
  <si>
    <t>Centre for Addiction &amp; Mental Health,Queen Street Site:Toronto</t>
  </si>
  <si>
    <t>University of Toronto,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Psychiatry</t>
  </si>
  <si>
    <t>Dr. A.L. Cristian Medicine Professional Corporation</t>
  </si>
  <si>
    <t>Issued Date:  Dec 20 2017</t>
  </si>
  <si>
    <t>Dr. A. Cristian (CPSO# 98143)</t>
  </si>
  <si>
    <t>C.A.M.H.,Adult Neurodevelopmental Services,402 - 1001 Queen Street West,unit 4-4,Toronto ON  M6J 1H4,(416) 535-8501</t>
  </si>
  <si>
    <t>96939</t>
  </si>
  <si>
    <t xml:space="preserve">Active Member as of 17 Oct 2011 </t>
  </si>
  <si>
    <t xml:space="preserve">Independent Practice as of 17 Oct 2011 </t>
  </si>
  <si>
    <t>Queen's University, 2005</t>
  </si>
  <si>
    <t>Royal Ottawa Hospital,Schizophrenia Program,1145 Carling Avenue,Ottawa ON  K1Z 7K4</t>
  </si>
  <si>
    <t>(613) 722-6521</t>
  </si>
  <si>
    <t>Royal Ottawa Place,Royal Ottawa Hospital,1141 Carling Ave.,Ottawa ON  K1Z 7K4,Canada,Phone:(613) 722-6521,County:Regional Municipality of Ottawa-Carleton,Electoral District:07
On Track-Champlain District,Regional First Episode Psychosis,Program,1355 Bank St. Suite 208,Ottawa ON  K1H 8K7,Canada,Phone:(613) 737-8069,Fax:(613) 737-8318,County:Regional Municipality of Ottawa-Carleton,Electoral District:07</t>
  </si>
  <si>
    <t>Psychiatry||Effective: 05 Sep 2011||RCPSC Specialist</t>
  </si>
  <si>
    <t>University of Ottawa, 01 Jul 2012  to 04 Dec 2012|Clinical Fellow - Psychiatry</t>
  </si>
  <si>
    <t>First certificate of registration issued: Independent Practice Certificate||Effective:   17 Oct 2011</t>
  </si>
  <si>
    <t>E. G. Clark Medicine Professional Corporation</t>
  </si>
  <si>
    <t>Issued Date:  Jun 24 2015</t>
  </si>
  <si>
    <t>Dr. E. Clark (CPSO# 87888),Dr. A. Baines (CPSO# 96939)</t>
  </si>
  <si>
    <t>The Ottawa Hospital-Riverside Campus,Division of Nephrology,1967 Prom. Riverside Drive,Ottawa ON  K1H 7W9,(613) 789-5555
Royal Ottawa Hospital,Royal Ottawa Hospital,Schizophrenia Program,1145 Carling Avenue,Ottawa ON  K1Z 7K4</t>
  </si>
  <si>
    <t>63205</t>
  </si>
  <si>
    <t xml:space="preserve">Active Member as of 18 Oct 1990 </t>
  </si>
  <si>
    <t xml:space="preserve">Independent Practice as of 18 Oct 1990 </t>
  </si>
  <si>
    <t>The University of Manitoba, 1989</t>
  </si>
  <si>
    <t>Practice Address Not Available,Ottawa ON  K1M 1H7</t>
  </si>
  <si>
    <t>6136171355</t>
  </si>
  <si>
    <t>Psychiatry||Effective: 30 Jun 1994||RCPSC Specialist</t>
  </si>
  <si>
    <t>University of Toronto, 07 Sep 1993  to 30 Jun 1994|Resident 4 - Psychiatry</t>
  </si>
  <si>
    <t>First certificate of registration issued: Independent Practice Certificate||Effective:   18 Oct 1990</t>
  </si>
  <si>
    <t>Heber Medicine Professional Corporation</t>
  </si>
  <si>
    <t>Inactive: Jan 17 2008</t>
  </si>
  <si>
    <t>105485</t>
  </si>
  <si>
    <t xml:space="preserve">Active Member as of 13 Feb 2015 </t>
  </si>
  <si>
    <t xml:space="preserve">Restricted as of 13 Feb 2015 </t>
  </si>
  <si>
    <t>English, Portuguese, Spanish</t>
  </si>
  <si>
    <t>University of Sao Paulo, 1998</t>
  </si>
  <si>
    <t>Child and Adolescent Psychiatrist,Suite 308A,430 The Boardwalk,www.drtavares.ca,Waterloo ON  N2T 0C1</t>
  </si>
  <si>
    <t>(519) 744-1785</t>
  </si>
  <si>
    <t>(226) 887-8684</t>
  </si>
  <si>
    <t>Child and Adolescent Psychiatry||Effective: 26 Sep 2013||RCPSC Specialist
Psychiatry||Effective: 16 Apr 2008||RCPSC Specialist</t>
  </si>
  <si>
    <t>First certificate of registration issued: Restricted certificate||Effective:   13 Feb 2015
Terms and conditions imposed on certificate by Registration Committee||Effective:   13 Feb 2015</t>
  </si>
  <si>
    <t>Dr. Alexandre Tavares Medicine Professional Corporation</t>
  </si>
  <si>
    <t>Issued Date:  May 08 2017</t>
  </si>
  <si>
    <t>Dr. A. Tavares (CPSO# 105485)</t>
  </si>
  <si>
    <t>Child and Adolescent Psychiatrist,Suite 308A,430 The Boardwalk,Waterloo ON  N2T 0C1,(519) 744-1785</t>
  </si>
  <si>
    <t>56580</t>
  </si>
  <si>
    <t xml:space="preserve">Active Member as of 16 Jul 1991 </t>
  </si>
  <si>
    <t xml:space="preserve">Independent Practice as of 23 Jul 1991 </t>
  </si>
  <si>
    <t>English, Italian, Romanian</t>
  </si>
  <si>
    <t>Institute Medicine, Pharmacy, Bucharest, 1970</t>
  </si>
  <si>
    <t>Unit 110 Building A,9100 Jane Street,Vaughan ON  L4K 0A4</t>
  </si>
  <si>
    <t>(905) 482-4400</t>
  </si>
  <si>
    <t>Psychiatry||Effective: 06 Jun 1991||RCPSC Specialist</t>
  </si>
  <si>
    <t>First certificate of registration issued: Postgraduate Education Certificate||Effective:   10 Feb 1986
Expired: Terms and conditions of certificate of registration||Expiry:      30 Jun 1991
Subsequent certificate of registration Issued: Short Duration Supervised Practice Certificate||Effective:   06 Jul 1991
Expired: Terms and conditions of certificate of registration||Expiry:      15 Jul 1991
Subsequent certificate of registration Issued: Short Duration Supervised Practice Certificate||Effective:   16 Jul 1991
Transfer of class of registration to: Independent Practice Certificate||Effective:   23 Jul 1991</t>
  </si>
  <si>
    <t>102018</t>
  </si>
  <si>
    <t xml:space="preserve">Active Member as of 16 Sep 2013 </t>
  </si>
  <si>
    <t xml:space="preserve">Restricted as of 16 Sep 2013 </t>
  </si>
  <si>
    <t>Universidad La Salle Escuela, 1986</t>
  </si>
  <si>
    <t>Royal Ottawa Health Care Group,Brockville Mental Health Centre,P O Box 1050,1804 Highway 2 East,Brockville ON  K6V 5W3</t>
  </si>
  <si>
    <t>(613) 345-1461</t>
  </si>
  <si>
    <t>555 S State Street,Syracuse NY  13202,United States,Phone:315-435-1770,County:Electoral District</t>
  </si>
  <si>
    <t>Mexico
USA - Indiana
USA - Maine
USA - New York
USA - Ohio</t>
  </si>
  <si>
    <t>Psychiatry||Effective: 16 Sep 2013||CPSO Recognized Specialist
Forensic Psychiatry||Effective: 16 Sep 2013||CPSO Recognized Specialist</t>
  </si>
  <si>
    <t>First certificate of registration issued: Restricted certificate||Effective:   16 Sep 2013
Terms and conditions imposed on certificate by Registration Committee||Effective:   16 Sep 2013
Expiry date attached to certificate of registration.||Expiry Date: 15 Mar 2015
Terms and conditions amended by Registration Committee||Effective:   16 Jan 2015
Terms and conditions amended by Registration Committee||Effective:   20 Mar 2015
Expiry date removed from certificate of registration.||Effective:   20 Mar 2015</t>
  </si>
  <si>
    <t>17539</t>
  </si>
  <si>
    <t xml:space="preserve">Active Member as of 28 Jun 1960 </t>
  </si>
  <si>
    <t xml:space="preserve">Independent Practice as of 28 Jun 1960 </t>
  </si>
  <si>
    <t>University of Toronto, 1959</t>
  </si>
  <si>
    <t>Suite 200,45 St Clair Avenue West,Toronto ON  M4V 1K9</t>
  </si>
  <si>
    <t>(416) 925-9822</t>
  </si>
  <si>
    <t>(416) 925-9387</t>
  </si>
  <si>
    <t>First certificate of registration issued: Independent Practice Certificate||Effective:   28 Jun 1960</t>
  </si>
  <si>
    <t>87221</t>
  </si>
  <si>
    <t xml:space="preserve">Active Member as of 12 Sep 2012 </t>
  </si>
  <si>
    <t xml:space="preserve">Independent Practice as of 12 Sep 2012 </t>
  </si>
  <si>
    <t>University of Stellenbosch, 2005</t>
  </si>
  <si>
    <t>Unit 6,1401 Plains Road East,Burlington ON  L7R 0C2</t>
  </si>
  <si>
    <t>9053334262</t>
  </si>
  <si>
    <t>Joseph Brandt Memorial Hospital,1230 North Shore Blvd,Burlington ON  L7S 1W7,Canada,County:Regional Municipality of Halton,Electoral District:04</t>
  </si>
  <si>
    <t>Psychiatry||Effective: 30 Aug 2012||RCPSC Specialist</t>
  </si>
  <si>
    <t>Queen's University, 01 Jul 2007  to 22 Sep 2007|Assessment Verification Period - Psychiatry
Queen's University, 23 Sep 2007  to 30 Jun 2008|PostGrad Yr 1 - Psychiatry
Queen's University, 01 Jul 2008  to 30 Jun 2009|PostGrad Yr 2 - Psychiatry
Queen's University, 01 Jul 2009  to 30 Jun 2010|PostGrad Yr 3 - Psychiatry
Queen's University, 01 Jul 2010  to 30 Jun 2011|PostGrad Yr 4 - Psychiatry
Queen's University, 01 Jul 2011  to 30 Jun 2012|PostGrad Yr 5 - Psychiatry
Queen's University, 01 Jul 2012  to 27 Aug 2012|PostGrad Yr 5 - Psychiatry</t>
  </si>
  <si>
    <t>First certificate of registration issued: Pre Entry Assessment Program Certificate||Effective:   01 Jul 2007
Transfer of class of registration to: Postgraduate Education Certificate||Effective:   23 Sep 2007
Expired: Terms and conditions of certificate of registration||Expiry:      27 Aug 2012
Subsequent certificate of registration Issued: Independent Practice Certificate||Effective:   12 Sep 2012</t>
  </si>
  <si>
    <t>Alfred M. Amaladoss Medicine Professional Corporation</t>
  </si>
  <si>
    <t>Issued Date:  Oct 04 2012</t>
  </si>
  <si>
    <t>Dr. A. Amaladoss (CPSO# 87221)</t>
  </si>
  <si>
    <t>Unit 6,1401 Plains Road East,Burlington ON  L7R 0C2,(905) 333-4262
Joseph Brant Memorial Hospital,Joseph Brant Memorial Hospital,1230 North Shore Boulevard,Burlington ON  L7S 1W7</t>
  </si>
  <si>
    <t>87222</t>
  </si>
  <si>
    <t xml:space="preserve">Active Member as of 12 Mar 2014 </t>
  </si>
  <si>
    <t xml:space="preserve">Independent Practice as of 12 Mar 2014 </t>
  </si>
  <si>
    <t>Minsk State Medical Institute, 1996</t>
  </si>
  <si>
    <t>Quinte Health Care,Belleville General Hospital,Department of Psychiatry,265 Dundas Street East,Belleville ON  K8N 5A9</t>
  </si>
  <si>
    <t>(613) 969-7400</t>
  </si>
  <si>
    <t>Quinte Healthcare,Belleville General Site:Belleville</t>
  </si>
  <si>
    <t>Psychiatry||Effective: 30 Jun 2012||RCPSC Specialist</t>
  </si>
  <si>
    <t>University of Toronto, 01 Jul 2007  to 21 Sep 2007|Assessment Verification Period - Psychiatry
University of Toronto, 22 Sep 2007  to 30 Jun 2008|PostGrad Yr 1 - Psychiatry
University of Toronto, 01 Jul 2008  to 30 Jun 2009|PostGrad Yr 2 - Psychiatry
University of Toronto, 01 Jul 2009  to 30 Jun 2010|PostGrad Yr 3 - Psychiatry
University of Toronto, 01 Jul 2010  to 31 Dec 2010|PostGrad Yr 3 - Psychiatry
University of Toronto, 01 Jan 2011  to 31 Dec 2011|PostGrad Yr 4 - Psychiatry
University of Toronto, 01 Jan 2012  to 30 Jun 2012|PostGrad Yr 5 - Psychiatry</t>
  </si>
  <si>
    <t>First certificate of registration issued: Pre Entry Assessment Program Certificate||Effective:   01 Jul 2007
Transfer of class of registration to: Postgraduate Education Certificate||Effective:   22 Sep 2007
Expired: Terms and conditions of certificate of registration||Expiry:      30 Jun 2012
Subsequent certificate of registration issued: Restricted certificate||Effective:   13 Mar 2013
Expired: Terms and conditions of certificate of registration||Expiry:      12 Mar 2014
Subsequent certificate of registration Issued: Independent Practice Certificate||Effective:   12 Mar 2014</t>
  </si>
  <si>
    <t>Aliaksandr Matveyev Medicine Professional Corporation</t>
  </si>
  <si>
    <t>Issued Date:  Jun 02 2014</t>
  </si>
  <si>
    <t>Dr. A. Matveyev (CPSO# 87222)</t>
  </si>
  <si>
    <t>Quinte Health Care,Belleville General Hospital,Department of Psychiatry,265 Dundas Street East,Belleville ON  K8N 5A9,(613) 969-7400</t>
  </si>
  <si>
    <t>50389</t>
  </si>
  <si>
    <t xml:space="preserve">Active Member as of 15 Jul 1981 </t>
  </si>
  <si>
    <t xml:space="preserve">Independent Practice as of 18 Jun 1984 </t>
  </si>
  <si>
    <t>Emory University, 1980</t>
  </si>
  <si>
    <t>Department of Psychiatry,Hospital for Sick Children,555 University Avenue,Toronto ON  M5G 1X8</t>
  </si>
  <si>
    <t>(416) 813-6936</t>
  </si>
  <si>
    <t>First certificate of registration issued: Postgraduate Education Certificate||Effective:   15 Jul 1981
Transfer of class of registration to: Independent Practice Certificate||Effective:   18 Jun 1984</t>
  </si>
  <si>
    <t>56634</t>
  </si>
  <si>
    <t xml:space="preserve">Active Member as of 03 Apr 1986 </t>
  </si>
  <si>
    <t xml:space="preserve">Independent Practice as of 15 Aug 1986 </t>
  </si>
  <si>
    <t>National University of Ireland, 1977</t>
  </si>
  <si>
    <t>Consent and Capacity Board,151 Bloor St West,10th Floor,Toronto ON  M5S 2T5</t>
  </si>
  <si>
    <t>4163274142</t>
  </si>
  <si>
    <t>Psychiatry||Effective: 14 Nov 1989||RCPSC Specialist</t>
  </si>
  <si>
    <t>First certificate of registration issued: Academic Practice Certificate||Effective:   03 Apr 1986
Transfer of class of registration to: Independent Practice Certificate||Effective:   15 Aug 1986</t>
  </si>
  <si>
    <t>Dr. Martina Power Medicine Professional Corporation</t>
  </si>
  <si>
    <t>Issued Date:  May 29 2008</t>
  </si>
  <si>
    <t>Dr. A. Power (CPSO# 56634)</t>
  </si>
  <si>
    <t>151 Bloor Street West,10th Floor,Toronto ON  M5S 2T5,(416) 327-4142</t>
  </si>
  <si>
    <t>101532</t>
  </si>
  <si>
    <t>St George's University of Grenada, 2013</t>
  </si>
  <si>
    <t>University of Toronto, 01 Jul 2013  to 22 Sep 2013|Assessment Verification Period - Psychiatry
University of Toronto, 23 Sep 2013  to 30 Jun 2014|PostGrad Yr 1 - Psychiatry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
University of Toronto, 01 Aug 2018  to 30 Jun 2019|Clinical Fellow - Psychiatry</t>
  </si>
  <si>
    <t>First certificate of registration issued: Pre Entry Assessment Program Certificate||Effective:   01 Jul 2013
Transfer of class of registration to: Postgraduate Education Certificate||Effective:   23 Sep 2013
Transfer of class of registration to: Independent Practice Certificate||Effective:   30 Jun 2018</t>
  </si>
  <si>
    <t>70325</t>
  </si>
  <si>
    <t xml:space="preserve">Active Member as of 22 Jan 2003 </t>
  </si>
  <si>
    <t xml:space="preserve">Independent Practice as of 22 Jan 2003 </t>
  </si>
  <si>
    <t>University of Toronto, 1996</t>
  </si>
  <si>
    <t>Women's College Hospital,7th Floor,Department of Psychiatry,76 Grenville Street,Toronto ON  M5S 1B2</t>
  </si>
  <si>
    <t>Godden Street,Collingwood ON  L9Y 4S5,Canada,County:County of Simcoe,Electoral District:05</t>
  </si>
  <si>
    <t>Women's College Hospital:Toronto</t>
  </si>
  <si>
    <t>Psychiatry||Effective: 05 Jun 2002||RCPSC Specialist</t>
  </si>
  <si>
    <t>University of Toronto, 01 Jul 1996  to 30 Jun 1997|PostGrad Yr 1 - Psychiatry
University of Toronto, 01 Jul 1997  to 30 Jun 1998|PostGrad Yr 2 - Psychiatry
University of Toronto, 01 Jul 1998  to 30 Jun 1999|PostGrad Yr 3 - Psychiatry
University of Toronto, 01 Jul 1999  to 30 Jun 2000|PostGrad Yr 4 - Psychiatry
University of Toronto, 01 Jul 2000  to 30 Jun 2001|PostGrad Yr 5 - Psychiatry</t>
  </si>
  <si>
    <t>First certificate of registration issued: Postgraduate Education Certificate||Effective:   01 Jul 1996
Expired: Terms and conditions of certificate of registration||Expiry:      30 Jun 2001
Subsequent certificate of registration issued: Restricted certificate||Effective:   13 Sep 2001
Terms and conditions amended by Registration Committee||Effective:   11 Sep 2002
Expired: Terms and conditions imposed on certificate by Registration Committee||Effective:   22 Jan 2003
Subsequent certificate of registration Issued: Independent Practice Certificate||Effective:   22 Jan 2003</t>
  </si>
  <si>
    <t>86616</t>
  </si>
  <si>
    <t xml:space="preserve">Active Member as of 01 Jul 2007 </t>
  </si>
  <si>
    <t xml:space="preserve">Restricted as of 01 Jul 2007 </t>
  </si>
  <si>
    <t>English, French, German, Romanian</t>
  </si>
  <si>
    <t>Institute Medicine, Pharmacy,Timisoara, 1985</t>
  </si>
  <si>
    <t>Kingston General Hospital,Burr4,76 Stuart S,Kingston ON  K7L 2V7</t>
  </si>
  <si>
    <t>(613) 548-3232</t>
  </si>
  <si>
    <t>(613) 548 9601</t>
  </si>
  <si>
    <t>Kingston Health Sciences Centre:Kingston
Providence Care Hospital:Kingston</t>
  </si>
  <si>
    <t>Psychiatry||Effective: 27 Nov 2013||RCPSC Specialist</t>
  </si>
  <si>
    <t>First certificate of registration issued: Restricted certificate||Effective:   01 Jul 2007
Terms and conditions imposed on certificate by Registration Committee||Effective:   01 Jul 2007
Expiry date attached to certificate of registration.||Expiry Date: 30 Jun 2010
Terms and conditions amended by Registration Committee||Effective:   15 Dec 2011
Terms and conditions amended by Registration Committee||Effective:   01 Jul 2013
Expiry date removed from certificate of registration.||Effective:   01 Jul 2013</t>
  </si>
  <si>
    <t>Alina Marin Medicine Professional Corporation</t>
  </si>
  <si>
    <t>Issued Date:  Nov 28 2007</t>
  </si>
  <si>
    <t>Dr. A. Marin (CPSO# 86616)</t>
  </si>
  <si>
    <t>Hotel Dieu Hospital,Department of Psychiatry,166 Brock Street,Kingston ON  K7L 5G2,(613) 544-3400</t>
  </si>
  <si>
    <t>76079</t>
  </si>
  <si>
    <t xml:space="preserve">Active Member as of 01 Jul 2001 </t>
  </si>
  <si>
    <t xml:space="preserve">Independent Practice as of 26 Jun 2007 </t>
  </si>
  <si>
    <t>McMaster University, 2001</t>
  </si>
  <si>
    <t>St. Joseph's Healthcare Hamilton,Anxiety Treatment &amp; Research Clinic,Level 1, Block 1,100 West 5th Street,Hamilton ON  L8N 3K7</t>
  </si>
  <si>
    <t>(905) 522-1155 Ext. 35379</t>
  </si>
  <si>
    <t>St Joseph's Healthcare System,Hamilton:Hamilton</t>
  </si>
  <si>
    <t>Psychiatry||Effective: 25 Apr 2007||RCPSC Specialist</t>
  </si>
  <si>
    <t>McMaster University, 01 Jul 2001  to 30 Jun 2002|PostGrad Yr 1 - Psychiatry
McMaster University, 01 Jul 2002  to 30 Jun 2003|PostGrad Yr 2 - Psychiatry
McMaster University, 01 Jul 2003  to 30 Jun 2004|PostGrad Yr 3 - Psychiatry
McMaster University, 01 Jul 2004  to 30 Jun 2005|PostGrad Yr 4 - Psychiatry
McMaster University, 01 Jul 2005  to 30 Jun 2006|PostGrad Yr 5 - Psychiatry
McMaster University, 01 Jul 2006  to 24 Apr 2007|PostGrad Yr 5 - Psychiatry
McMaster University, 25 Apr 2007  to 30 Jun 2007|Clinical Fellow - Psychiatry
McMaster University, 01 Jul 2007  to 30 Jun 2008|Clinical Fellow - Psychiatry</t>
  </si>
  <si>
    <t>First certificate of registration issued: Postgraduate Education Certificate||Effective:   01 Jul 2001
Transfer of class of registration to: Independent Practice Certificate||Effective:   26 Jun 2007</t>
  </si>
  <si>
    <t>Dr. A. R. Brotea Medicine Professional Corporation</t>
  </si>
  <si>
    <t>Issued Date:  May 26 2014</t>
  </si>
  <si>
    <t>Dr. A. Brotea (CPSO# 76079)</t>
  </si>
  <si>
    <t>St. Joseph's Healthcare,100 West 5th Street,Level 1 Block B,Hamilton ON  L8N 3K7,(905) 522-1155
50 Charlton Avenue East,50 Charlton Avenue East,Hamilton ON  L8N 4A6,(905) 522-1155</t>
  </si>
  <si>
    <t>76667</t>
  </si>
  <si>
    <t xml:space="preserve">Active Member as of 28 Sep 2007 </t>
  </si>
  <si>
    <t xml:space="preserve">Independent Practice as of 28 Sep 2007 </t>
  </si>
  <si>
    <t>University of Calgary, 2001</t>
  </si>
  <si>
    <t>CAMH,1001 Queen Street West,Toronto ON  M6J 1H4</t>
  </si>
  <si>
    <t>416 535 8501 Ext. 32881</t>
  </si>
  <si>
    <t>Psychiatry||Effective: 30 Jun 2006||RCPSC Specialist</t>
  </si>
  <si>
    <t>University of Toronto, 01 Jul 2001  to 30 Jun 2002|PostGrad Yr 1 - Psychiatry
University of Toronto, 01 Jul 2002  to 30 Jun 2003|PostGrad Yr 2 - Psychiatry
University of Toronto, 01 Jul 2003  to 30 Jun 2004|PostGrad Yr 3 - Psychiatry
University of Toronto, 01 Jul 2004  to 30 Jun 2005|PostGrad Yr 4 - Psychiatry
University of Toronto, 01 Jul 2005  to 30 Jun 2006|PostGrad Yr 5 - Psychiatry
University of Toronto, 01 Oct 2007  to 30 Jun 2008|Clinical Fellow - Psychiatry
University of Toronto, 01 Jul 2008  to 31 Dec 2008|Clinical Fellow - Psychiatry</t>
  </si>
  <si>
    <t>First certificate of registration issued: Postgraduate Education Certificate||Effective:   01 Jul 2001
Expired: Terms and conditions of certificate of registration||Expiry:      30 Jun 2006
Subsequent certificate of registration Issued: Independent Practice Certificate||Effective:   28 Sep 2007</t>
  </si>
  <si>
    <t>Alina Iosif Medicine Professional Corporation</t>
  </si>
  <si>
    <t>Issued Date:  Sep 07 2011</t>
  </si>
  <si>
    <t>Dr. A. Iosif (CPSO# 76667)</t>
  </si>
  <si>
    <t>CAMH,1001 Queen Street West,Toronto ON  M6J 1H4,(416) 535-8501</t>
  </si>
  <si>
    <t>62006</t>
  </si>
  <si>
    <t xml:space="preserve">Active Member as of 01 Jul 1990 </t>
  </si>
  <si>
    <t xml:space="preserve">Independent Practice as of 27 Nov 1990 </t>
  </si>
  <si>
    <t>University of Saskatchewan, 1989</t>
  </si>
  <si>
    <t>Trillium Health Partners,Clinical Administration Building,15 Bronte College Court,7th Floor, 7-52,Mississauga ON  L5B 0E7</t>
  </si>
  <si>
    <t>(905) 848-7580 Ext. 3061</t>
  </si>
  <si>
    <t>Royal Ottawa Health Care Group:Ottawa
Trillium Health Partners,Mississauga Hospital:Mississauga
Trillium Health Partners,The Credit Valley Hospital:Mississauga</t>
  </si>
  <si>
    <t>University of Ottawa, 01 Jul 1993  to 30 Jun 1994|Resident 4 - Psychiatry</t>
  </si>
  <si>
    <t>First certificate of registration issued: Postgraduate Education Certificate||Effective:   01 Jul 1990
Transfer of class of registration to: Independent Practice Certificate||Effective:   27 Nov 1990</t>
  </si>
  <si>
    <t>Alison D. Freeland Medicine Professional Corporation</t>
  </si>
  <si>
    <t>Issued Date:  Nov 16 2006</t>
  </si>
  <si>
    <t>Dr. A. Freeland (CPSO# 62006)</t>
  </si>
  <si>
    <t>Trillium Health Partners,Clinical Administration Building,7th Floor, 7-52,15 Bronte College Court,Mississauga ON  L5B 0E7,(905) 848-7580</t>
  </si>
  <si>
    <t>81019</t>
  </si>
  <si>
    <t>University of Toronto, 2004</t>
  </si>
  <si>
    <t>Women's College Hospital,76 Grenville Street,Toronto ON  M5S 1B2</t>
  </si>
  <si>
    <t>Psychiatry||Effective: 30 Jun 2009||RCPSC Specialist
Child and Adolescent Psychiatry||Effective: 23 Sep 2014||RCPSC Specialist</t>
  </si>
  <si>
    <t>33630</t>
  </si>
  <si>
    <t xml:space="preserve">Active Member as of 04 Aug 1982 </t>
  </si>
  <si>
    <t xml:space="preserve">Independent Practice as of 04 Aug 1982 </t>
  </si>
  <si>
    <t>McMaster University, 1981</t>
  </si>
  <si>
    <t>2802 - 199 Richmond St W,Toronto ON  M5V 0H4</t>
  </si>
  <si>
    <t>(905) 780-1470</t>
  </si>
  <si>
    <t>First certificate of registration issued: Independent Practice Certificate||Effective:   04 Aug 1982</t>
  </si>
  <si>
    <t>Allan B. Steingart Medicine Professional Corporation</t>
  </si>
  <si>
    <t>Issued Date:  Nov 08 2007</t>
  </si>
  <si>
    <t>Dr. A. Steingart (CPSO# 33630)</t>
  </si>
  <si>
    <t>2802 - 199 Richmond Street West,Toronto ON  M5V 0H4,(905) 780-1470</t>
  </si>
  <si>
    <t>32447</t>
  </si>
  <si>
    <t xml:space="preserve">Active Member as of 16 Jun 1981 </t>
  </si>
  <si>
    <t xml:space="preserve">Independent Practice as of 16 Jun 1981 </t>
  </si>
  <si>
    <t>The University of Manitoba, 1977</t>
  </si>
  <si>
    <t>Michael Garron Hospital,Outpatient Psychiatry Department,825 Coxwell Avenue,5th Floor,Toronto ON  M4C 3E7</t>
  </si>
  <si>
    <t>(416) 469-6206</t>
  </si>
  <si>
    <t>(416) 469-6805</t>
  </si>
  <si>
    <t>Michael Garron Hospital - Toronto East Health Network:Toronto</t>
  </si>
  <si>
    <t>Psychiatry||Effective: 08 Jun 1981||RCPSC Specialist</t>
  </si>
  <si>
    <t>First certificate of registration issued: Postgraduate Education Certificate||Effective:   13 Jun 1977
Transfer of class of registration to: Independent Practice Certificate||Effective:   16 Jun 1981</t>
  </si>
  <si>
    <t>61725</t>
  </si>
  <si>
    <t xml:space="preserve">Active Member as of 28 Sep 1989 </t>
  </si>
  <si>
    <t xml:space="preserve">Independent Practice as of 28 Sep 1989 </t>
  </si>
  <si>
    <t>The University of Manitoba, 1985</t>
  </si>
  <si>
    <t>Department of Psychiatry,Mount Sinai Hospital,600 University Avenue,Toronto ON  M5G 1X5</t>
  </si>
  <si>
    <t>(416) 586-4800 Ext. 3204</t>
  </si>
  <si>
    <t>(416) 586-5970</t>
  </si>
  <si>
    <t>Mount Sinai Hospital:Toronto</t>
  </si>
  <si>
    <t>Family Medicine||Effective: 01 Jul 1988||CFPC Specialist
Psychiatry||Effective: 14 Nov 1990||RCPSC Specialist</t>
  </si>
  <si>
    <t>First certificate of registration issued: Independent Practice Certificate||Effective:   28 Sep 1989</t>
  </si>
  <si>
    <t>19381</t>
  </si>
  <si>
    <t xml:space="preserve">Active Member as of 08 Jan 1965 </t>
  </si>
  <si>
    <t xml:space="preserve">Independent Practice as of 08 Jan 1965 </t>
  </si>
  <si>
    <t>University of Toronto, 1963</t>
  </si>
  <si>
    <t>Rosedale Medical Centre,Suite 605,600 Sherbourne St,Toronto ON  M4X 1W4</t>
  </si>
  <si>
    <t>(416) 789-3458</t>
  </si>
  <si>
    <t>(416) 789-5168</t>
  </si>
  <si>
    <t>Psychiatry||Effective: 04 Dec 1969||RCPSC Specialist</t>
  </si>
  <si>
    <t>First certificate of registration issued: Postgraduate Education Certificate||Effective:   22 Jun 1963
Transfer of class of registration to: Independent Practice Certificate||Effective:   08 Jan 1965</t>
  </si>
  <si>
    <t>30745</t>
  </si>
  <si>
    <t xml:space="preserve">Active Member as of 14 Jun 1979 </t>
  </si>
  <si>
    <t xml:space="preserve">Independent Practice as of 14 Jun 1979 </t>
  </si>
  <si>
    <t>University of Toronto, 1978</t>
  </si>
  <si>
    <t>Centre for Addiction and,Mental Health,Room 806,250 College Street,Toronto ON  M5T 1R8</t>
  </si>
  <si>
    <t>(416) 535-8501 Ext. 34980</t>
  </si>
  <si>
    <t>(416) 979-6834</t>
  </si>
  <si>
    <t>First certificate of registration issued: Postgraduate Education Certificate||Effective:   12 Jun 1978
Transfer of class of registration to: Independent Practice Certificate||Effective:   14 Jun 1979</t>
  </si>
  <si>
    <t>57656</t>
  </si>
  <si>
    <t xml:space="preserve">Active Member as of 11 Aug 1986 </t>
  </si>
  <si>
    <t>The University of Manitoba, 1975</t>
  </si>
  <si>
    <t>4430 Bathurst Street,Suite 308,Downsview ON  M3H 3S3</t>
  </si>
  <si>
    <t>(416) 638-7939</t>
  </si>
  <si>
    <t>(416) 638-8527</t>
  </si>
  <si>
    <t>Psychiatry||Effective: 26 Nov 1979||RCPSC Specialist</t>
  </si>
  <si>
    <t>First certificate of registration issued: Independent Practice Certificate||Effective:   11 Aug 1986</t>
  </si>
  <si>
    <t>Berkal Medicine Professional Corporation</t>
  </si>
  <si>
    <t>Issued Date:  Nov 06 2006</t>
  </si>
  <si>
    <t>Dr. A. Berkal (CPSO# 57656)</t>
  </si>
  <si>
    <t>4430 Bathurst Street,Suite 308,Toronto ON  M3H 3S3,(416) 638-7939</t>
  </si>
  <si>
    <t>73847</t>
  </si>
  <si>
    <t xml:space="preserve">Independent Practice as of 30 Jun 2005 </t>
  </si>
  <si>
    <t>McMaster University, 1999</t>
  </si>
  <si>
    <t>Centre for Addiction and Mental Hlt,NPOP, Room 825,250 College Street,Toronto ON  M5G 1X5</t>
  </si>
  <si>
    <t>(416) 535-8501 Ext. 30318</t>
  </si>
  <si>
    <t>(416) 979-6902</t>
  </si>
  <si>
    <t>Psychiatry||Effective: 30 Jun 2005||RCPSC Specialist</t>
  </si>
  <si>
    <t>University of Toronto, 01 Jul 1999  to 30 Jun 2000|PostGrad Yr 1 - Psychiatry
University of Toronto, 01 Jul 2000  to 30 Jun 2001|PostGrad Yr 2 - Psychiatry
University of Toronto, 01 Jul 2001  to 30 Jun 2002|PostGrad Yr 3 - Psychiatry
University of Toronto, 01 Jul 2002  to 30 Jun 2003|PostGrad Yr 3 - Psychiatry
University of Toronto, 01 Jul 2003  to 30 Jun 2004|PostGrad Yr 4 - Psychiatry
University of Toronto, 01 Jul 2004  to 30 Jun 2005|PostGrad Yr 5 - Psychiatry</t>
  </si>
  <si>
    <t>First certificate of registration issued: Postgraduate Education Certificate||Effective:   01 Jul 1999
Transfer of class of registration to: Independent Practice Certificate||Effective:   30 Jun 2005</t>
  </si>
  <si>
    <t>74382</t>
  </si>
  <si>
    <t xml:space="preserve">Active Member as of 28 Oct 1999 </t>
  </si>
  <si>
    <t xml:space="preserve">Independent Practice as of 28 Oct 1999 </t>
  </si>
  <si>
    <t>English, Malayalam</t>
  </si>
  <si>
    <t>University of Kerala, 1975</t>
  </si>
  <si>
    <t>Third Floor,115 Maclean Place,Welland ON  L3B 5X9</t>
  </si>
  <si>
    <t>(905) 714-7772</t>
  </si>
  <si>
    <t>(905) 714-1695</t>
  </si>
  <si>
    <t>Niagara Health System Greater Niagara Site:Niagara Falls
Niagara Health System,St Catharines General Site:St Catharines
Niagara Health System,Welland County General Site:Welland</t>
  </si>
  <si>
    <t>Psychiatry||Effective: 18 Nov 1994||RCPSC Specialist</t>
  </si>
  <si>
    <t>First certificate of registration issued: Independent Practice Certificate||Effective:   28 Oct 1999</t>
  </si>
  <si>
    <t>Dr. A. Pallen Medicine Professional Corporation</t>
  </si>
  <si>
    <t>Issued Date:  Aug 07 2003</t>
  </si>
  <si>
    <t>Dr. A. Pallen (CPSO# 74382),Dr. A. Walters (CPSO# 89214)</t>
  </si>
  <si>
    <t>115 MacLean Place,Welland ON  L3B 5X9,(905) 714-7772</t>
  </si>
  <si>
    <t>84477</t>
  </si>
  <si>
    <t xml:space="preserve">Active Member as of 26 Jul 2011 </t>
  </si>
  <si>
    <t xml:space="preserve">Independent Practice as of 26 Jul 2011 </t>
  </si>
  <si>
    <t>Dalhousie University, 2006</t>
  </si>
  <si>
    <t>Centre for Addiction and,Mental Health (CAMH),Bell Gateway Building,100 Stokes Street,Toronto ON  M6J 1H4</t>
  </si>
  <si>
    <t>(416) 535-8501</t>
  </si>
  <si>
    <t>(416) 979-6853</t>
  </si>
  <si>
    <t>First certificate of registration issued: Postgraduate Education Certificate||Effective:   01 Jul 2006
Expired: Terms and conditions of certificate of registration||Expiry:      30 Jun 2011
Subsequent certificate of registration Issued: Independent Practice Certificate||Effective:   26 Jul 2011</t>
  </si>
  <si>
    <t>96072</t>
  </si>
  <si>
    <t xml:space="preserve">Active Member as of 01 Jul 2011 </t>
  </si>
  <si>
    <t>The University of Manitoba, 2011</t>
  </si>
  <si>
    <t>Centre for Addiction and,Mental Health,80 Workman Way,Toronto ON  M6G 4A3</t>
  </si>
  <si>
    <t>416-535-8501</t>
  </si>
  <si>
    <t>Psychiatry||Effective: 30 Jun 2016||RCPSC Specialist
Child and Adolescent Psychiatry||Effective: 26 Sep 2017||RCPSC Specialist</t>
  </si>
  <si>
    <t>University of Toronto, 01 Jul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Paediatric Psychiatry
University of Toronto, 01 Jul 2016  to 30 Jun 2017|PostGrad Yr 6 - Paediatric Psychiatry</t>
  </si>
  <si>
    <t>First certificate of registration issued: Postgraduate Education Certificate||Effective:   01 Jul 2011
Transfer of class of registration to: Independent Practice Certificate||Effective:   30 Jun 2017</t>
  </si>
  <si>
    <t>Dr. Amanda Sawyer Medicine Professional Corporation</t>
  </si>
  <si>
    <t>Issued Date:  Jul 04 2017</t>
  </si>
  <si>
    <t>Dr. A. Sawyer (CPSO# 96072)</t>
  </si>
  <si>
    <t>Centre for Addiction and Mental Health,80 Workman Way,Toronto ON  M6J 1H4,(416) 535-8501</t>
  </si>
  <si>
    <t>91440</t>
  </si>
  <si>
    <t xml:space="preserve">Active Member as of 17 Jul 2012 </t>
  </si>
  <si>
    <t xml:space="preserve">Independent Practice as of 17 Jul 2012 </t>
  </si>
  <si>
    <t>Sunnybrook Health Sciences Centre,M4 Clinic M4 138,2075 Bayview Avenue,Toronto ON  M4N 3M5</t>
  </si>
  <si>
    <t>(416) 480-5367</t>
  </si>
  <si>
    <t>(416) 480-5616</t>
  </si>
  <si>
    <t>Psychiatry||Effective: 31 May 2012||RCPSC Specialist</t>
  </si>
  <si>
    <t>University of Toronto, 01 Jul 2009  to 30 Jun 2010|PostGrad Yr 3 - Psychiatry
University of Toronto, 01 Jul 2010  to 30 Jun 2011|PostGrad Yr 4 - Psychiatry
University of Toronto, 01 Jul 2011  to 30 Jun 2012|PostGrad Yr 5 - Psychiatry</t>
  </si>
  <si>
    <t>First certificate of registration issued: Postgraduate Education Certificate||Effective:   01 Jul 2009
Expired: Terms and conditions of certificate of registration||Expiry:      30 Jun 2012
Subsequent certificate of registration Issued: Independent Practice Certificate||Effective:   17 Jul 2012</t>
  </si>
  <si>
    <t>100336</t>
  </si>
  <si>
    <t xml:space="preserve">Active Member as of 06 Jul 2018 </t>
  </si>
  <si>
    <t xml:space="preserve">Independent Practice as of 06 Jul 2018 </t>
  </si>
  <si>
    <t>Queen's University, 2013</t>
  </si>
  <si>
    <t>Ontario Shores Centre for,Mental Health Sciences,700 Gordon St,Whitby ON  L1N 5S9</t>
  </si>
  <si>
    <t>9054304055 Ext. 6270</t>
  </si>
  <si>
    <t>First certificate of registration issued: Postgraduate Education Certificate||Effective:   01 Jul 2013
Expired: Terms and conditions of certificate of registration||Expiry:      30 Jun 2018
Subsequent certificate of registration Issued: Independent Practice Certificate||Effective:   06 Jul 2018</t>
  </si>
  <si>
    <t>32412</t>
  </si>
  <si>
    <t xml:space="preserve">Active Member as of 11 Jun 1981 </t>
  </si>
  <si>
    <t xml:space="preserve">Independent Practice as of 11 Jun 1981 </t>
  </si>
  <si>
    <t>Bihar University, 1960</t>
  </si>
  <si>
    <t>1299 Waterside Way,Kingston ON  K7K 7J8</t>
  </si>
  <si>
    <t>(613) 544-1356 Ext. 2221</t>
  </si>
  <si>
    <t>Psychiatry||Effective: 08 Dec 1970||RCPSC Specialist</t>
  </si>
  <si>
    <t>First certificate of registration issued: Temporary Employment Practice Certificate||Effective:   11 Jun 1971
Transfer of class of registration to: Independent Practice Certificate||Effective:   11 Jun 1981</t>
  </si>
  <si>
    <t>Amarendra Singh Medicine Professional Corporation</t>
  </si>
  <si>
    <t>Inactive: Sep 14 2012</t>
  </si>
  <si>
    <t>81230</t>
  </si>
  <si>
    <t xml:space="preserve">Active Member as of 08 Jul 2011 </t>
  </si>
  <si>
    <t xml:space="preserve">Independent Practice as of 08 Jul 2011 </t>
  </si>
  <si>
    <t>595 Montreal Road, Suite 305,Ottawa ON  K1K 4L2</t>
  </si>
  <si>
    <t>613-680-8777</t>
  </si>
  <si>
    <t>613-680-8599</t>
  </si>
  <si>
    <t>Ottawa Hospital,General Site:Ottawa
Royal Ottawa Health Care Group:Ottawa</t>
  </si>
  <si>
    <t>Psychiatry||Effective: 15 May 2011||RCPSC Specialist</t>
  </si>
  <si>
    <t>University of Ottawa, 01 Jul 2004  to 30 Jun 2005|PostGrad Yr 1 - Psychiatry
University of Ottawa, 01 Jul 2005  to 30 Jun 2006|PostGrad Yr 2 - Psychiatry
University of Ottawa, 01 Jul 2006  to 30 Jun 2007|PostGrad Yr 3 - Psychiatry
University of Ottawa, 01 Jul 2007  to 28 Apr 2008|PostGrad Yr 3 - Psychiatry
University of Ottawa, 29 Apr 2008  to 24 Sep 2008|PostGrad Yr 4 - Psychiatry
University of Ottawa, 25 Sep 2008  to 30 Jun 2009|PostGrad Yr 4 - Psychiatry
University of Ottawa, 01 Jul 2009  to 28 Feb 2010|PostGrad Yr 4 - Psychiatry
University of Ottawa, 01 Mar 2010  to 30 Jun 2010|PostGrad Yr 5 - Psychiatry
University of Ottawa, 01 Jul 2010  to 30 Jun 2011|PostGrad Yr 5 - Psychiatry</t>
  </si>
  <si>
    <t>First certificate of registration issued: Postgraduate Education Certificate||Effective:   01 Jul 2004
Expired: Terms and conditions of certificate of registration||Expiry:      30 Jun 2011
Subsequent certificate of registration Issued: Independent Practice Certificate||Effective:   08 Jul 2011</t>
  </si>
  <si>
    <t>C. E. Medicine Professional Corporation</t>
  </si>
  <si>
    <t>Issued Date:  Jul 25 2007</t>
  </si>
  <si>
    <t>Dr. C. E (CPSO# 66813),Dr. A. Mirzaei (CPSO# 81230)</t>
  </si>
  <si>
    <t>The Ottawa Hospital,501 Smyth Road,Ottawa ON  K1H 8L6,(613) 737-7700
The Ottawa Hospital,501 Smyth Road,Ottawa ON  K1H 8L6,(613) 737-770</t>
  </si>
  <si>
    <t>Ameneh Mirzaei Medicine Professional Corporation</t>
  </si>
  <si>
    <t>Issued Date:  Jul 20 2015</t>
  </si>
  <si>
    <t>Dr. A. Mirzaei (CPSO# 81230)</t>
  </si>
  <si>
    <t>305-595 Montreal Road,Ottawa ON  K1K 4L2,(613) 680-8777</t>
  </si>
  <si>
    <t>76957</t>
  </si>
  <si>
    <t xml:space="preserve">Active Member as of 08 Aug 2001 </t>
  </si>
  <si>
    <t xml:space="preserve">Independent Practice as of 30 Jun 2003 </t>
  </si>
  <si>
    <t>University of Baghdad, 1993</t>
  </si>
  <si>
    <t>St. Joseph's Health Care London,Parkwood Institute-Mental Health,PO BOX 5777, STN B,London, ON N6A 4V2,London ON  N6C 0A7</t>
  </si>
  <si>
    <t>(519) 455-5110 Ext. 47326</t>
  </si>
  <si>
    <t>(519) 455-7151</t>
  </si>
  <si>
    <t>50 Great Northern Road,Sault Ste Marie ON  P6B0A8,Canada,Phone:(705) 759-3434,County:Territorial District of Algoma,Electoral District:08
800 Commissioners Rd E,London ON  N6A5W9,Canada,Phone:(519) 685-8500,County:County of Middlesex,Electoral District:02</t>
  </si>
  <si>
    <t>London Health Sciences Centre Victoria Hospital:London
Sault Area Hospital:Sault Ste Marie
St Joseph's Health Care-St Joseph's Site,London:London</t>
  </si>
  <si>
    <t>Psychiatry||Effective: 30 Jun 2003||RCPSC Specialist</t>
  </si>
  <si>
    <t>The University of Western Ontario, 01 Aug 2001  to 31 Jul 2002|PostGrad Yr 4 - Psychiatry
The University of Western Ontario, 01 Aug 2002  to 31 Jul 2003|PostGrad Yr 5 - Psychiatry</t>
  </si>
  <si>
    <t>First certificate of registration issued: Postgraduate Education Certificate||Effective:   08 Aug 2001
Transfer of class of registration to: Independent Practice Certificate||Effective:   30 Jun 2003</t>
  </si>
  <si>
    <t>Burhan Medicine Professional Corporation</t>
  </si>
  <si>
    <t>Issued Date:  Mar 26 2009</t>
  </si>
  <si>
    <t>Dr. A. Burhan (CPSO# 76957)</t>
  </si>
  <si>
    <t>Geriatric Psychiatry Program,Suite F2-342,550 Wellington Road,London ON  N6C 0A7,(519) 455-5110</t>
  </si>
  <si>
    <t>75385</t>
  </si>
  <si>
    <t>Queen's University, 1995</t>
  </si>
  <si>
    <t>Markham Stouffville Hospital,Outpatient Mental Health,381 Church Street,Markham ON  L3P 7P3</t>
  </si>
  <si>
    <t>(905) 472-7011</t>
  </si>
  <si>
    <t>(905) 472-7371</t>
  </si>
  <si>
    <t>Bellwood Health Services Inc.:Toronto
Markham Stouffville Hospital:Markham</t>
  </si>
  <si>
    <t>Psychiatry||Effective: 30 Jun 2000||RCPSC Specialist</t>
  </si>
  <si>
    <t>First certificate of registration issued: Independent Practice Certificate||Effective:   30 Jun 2000</t>
  </si>
  <si>
    <t>Amir Barsoum Medicine Professional Corporation</t>
  </si>
  <si>
    <t>Issued Date:  Jan 02 2014</t>
  </si>
  <si>
    <t>Dr. A. Barsoum (CPSO# 75385)</t>
  </si>
  <si>
    <t>Markham Stouffville Hospital,Outpatient Mental Health,381 Church Street,PO Box 1800,Markham ON  L3P 7P3,(905) 472-7021
175 Brentcliffe Road,175 Brentcliffe Road,East York ON  M4G 3Z1</t>
  </si>
  <si>
    <t>99424</t>
  </si>
  <si>
    <t xml:space="preserve">Active Member as of 01 Jul 2015 </t>
  </si>
  <si>
    <t xml:space="preserve">Restricted as of 01 Jul 2015 </t>
  </si>
  <si>
    <t>Ben Gurion University of the Negev, 2004</t>
  </si>
  <si>
    <t>Suite 1117,80 Workman Way,Toronto ON  M6J 1H4</t>
  </si>
  <si>
    <t>(416) 535-8501 Ext. 30927</t>
  </si>
  <si>
    <t>(416) 979-4996</t>
  </si>
  <si>
    <t>Israel</t>
  </si>
  <si>
    <t>Psychiatry||Effective: 01 Jul 2015||CPSO Recognized Specialist
Child and Adolescent Psychiatry||Effective: 01 Jul 2015||CPSO Recognized Specialist</t>
  </si>
  <si>
    <t>University of Toronto, 01 Sep 2012  to 23 Nov 2012|PEAP - Clinical Fellow - Psychiatry
University of Toronto, 24 Nov 2012  to 30 Jun 2013|Clinical Fellow - Psychiatry
University of Toronto, 01 Jul 2013  to 30 Jun 2014|Clinical Fellow - Psychiatry
University of Toronto, 01 Jul 2014  to 31 Aug 2014|Clinical Fellow - Psychiatry
University of Toronto, 01 Sep 2014  to 30 Jun 2015|Clinical Fellow - Psychiatry</t>
  </si>
  <si>
    <t>First certificate of registration issued: Pre Entry Assessment Program Certificate||Effective:   25 Sep 2012
Transfer of class of registration to: Postgraduate Education Certificate||Effective:   24 Nov 2012
Expired: Terms and conditions of certificate of registration||Expiry:      30 Jun 2015
Subsequent certificate of registration issued: Restricted certificate||Effective:   01 Jul 2015
Expiry date attached to certificate of registration.||Expiry Date: 30 Jun 2022</t>
  </si>
  <si>
    <t>Dr. Amit Rotem Medicine Professional Corporation</t>
  </si>
  <si>
    <t>Issued Date:  Aug 25 2016</t>
  </si>
  <si>
    <t>Dr. A. Rotem (CPSO# 99424)</t>
  </si>
  <si>
    <t>Centre for Addiction and Mental Health,80 Workman Way,Suite 1117,Toronto ON  M6J 1H4,(416) 535-8501</t>
  </si>
  <si>
    <t>68666</t>
  </si>
  <si>
    <t xml:space="preserve">Active Member as of 19 Jan 1995 </t>
  </si>
  <si>
    <t xml:space="preserve">Independent Practice as of 19 Jan 1995 </t>
  </si>
  <si>
    <t>Dayanand Medical College, 1981</t>
  </si>
  <si>
    <t>Unit 101,6935 120th Street,Delta BC  V3E 2A8</t>
  </si>
  <si>
    <t>(604) 599-4373</t>
  </si>
  <si>
    <t>British Columbia</t>
  </si>
  <si>
    <t>First certificate of registration issued: Independent Practice Certificate||Effective:   19 Jan 1995</t>
  </si>
  <si>
    <t>99955</t>
  </si>
  <si>
    <t xml:space="preserve">Active Member as of 06 Jun 2017 </t>
  </si>
  <si>
    <t xml:space="preserve">Independent Practice as of 06 Jun 2017 </t>
  </si>
  <si>
    <t>Bengali, English, Hindi</t>
  </si>
  <si>
    <t>University of Calcutta, 2004</t>
  </si>
  <si>
    <t>Brampton Civic Hospital,Department of Psychiatry,2100 Bovaird Drive East,Brampton ON  L6R 3J7</t>
  </si>
  <si>
    <t>(905) 494-2120</t>
  </si>
  <si>
    <t>Psychiatry||Effective: 03 May 2012||RCPSC Specialist</t>
  </si>
  <si>
    <t>First certificate of registration issued: Restricted certificate||Effective:   06 Mar 2013
Terms and conditions imposed on certificate by Registration Committee||Effective:   06 Mar 2013
Expiry date attached to certificate of registration.||Expiry Date: 27 Feb 2016
Terms and conditions amended by Registration Committee||Effective:   18 Sep 2014
Expired: Terms and conditions imposed on certificate by Registration Committee||Effective:   19 Nov 2015
Subsequent certificate of registration issued: Restricted certificate||Effective:   19 Nov 2015
Expired: Terms and conditions imposed on certificate by Registration Committee||Effective:   06 Jun 2017
Subsequent certificate of registration Issued: Independent Practice Certificate||Effective:   06 Jun 2017</t>
  </si>
  <si>
    <t>Dr. Amlan Das Medicine Professional Corporation</t>
  </si>
  <si>
    <t>Issued Date:  Jan 10 2014</t>
  </si>
  <si>
    <t>Dr. A. Das (CPSO# 99955)</t>
  </si>
  <si>
    <t>Brampton Civic Hospital,Department of Psychiatry,2100 Bovaird Drive East,Brampton ON  L6R 3J7,(905) 494-2120
90 Resolution Drive,90 Resolution Drive,Unit 2,Brampton ON  L6W 0A7,(416) 883-3877</t>
  </si>
  <si>
    <t>97864</t>
  </si>
  <si>
    <t>University of Ottawa, 2012</t>
  </si>
  <si>
    <t>416-979-6948</t>
  </si>
  <si>
    <t>University of Toronto,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Child and Adolescent Psychiatry
University of Toronto, 01 Jul 2017  to 30 Jun 2018|PostGrad Yr 6 - Child and Adolescent Psychiatry</t>
  </si>
  <si>
    <t>71591</t>
  </si>
  <si>
    <t xml:space="preserve">Active Member as of 01 Jul 1997 </t>
  </si>
  <si>
    <t xml:space="preserve">Independent Practice as of 30 Jun 2002 </t>
  </si>
  <si>
    <t>Cantonese, English</t>
  </si>
  <si>
    <t>McMaster University, 1997</t>
  </si>
  <si>
    <t>Department of Psychiatry,Sunnybrook HSC,2075 Bayview Avenue,Toronto ON  M4N 3M5</t>
  </si>
  <si>
    <t>(416) 480-4073</t>
  </si>
  <si>
    <t>(416) 480-6878</t>
  </si>
  <si>
    <t>Sunnybrook Health Sciences Centre:Toronto</t>
  </si>
  <si>
    <t>Psychiatry||Effective: 30 Jun 2002||RCPSC Specialist</t>
  </si>
  <si>
    <t>University of Toronto, 01 Jul 1997  to 30 Jun 1998|PostGrad Yr 1 - Psychiatry
University of Toronto, 01 Jul 1998  to 30 Jun 1999|PostGrad Yr 2 - Psychiatry
University of Toronto, 01 Jul 1999  to 30 Jun 2000|PostGrad Yr 3 - Psychiatry
University of Toronto, 01 Jul 2000  to 30 Jun 2001|PostGrad Yr 4 - Psychiatry
University of Toronto, 01 Jul 2001  to 30 Jun 2002|PostGrad Yr 5 - Psychiatry
University of Toronto, 01 Jul 2002  to 30 Jun 2003|Clinical Fellow - Psychiatry
University of Toronto, 01 Jul 2003  to 30 Jun 2004|Clinical Fellow - Psychiatry</t>
  </si>
  <si>
    <t>First certificate of registration issued: Postgraduate Education Certificate||Effective:   01 Jul 1997
Transfer of class of registration to: Independent Practice Certificate||Effective:   30 Jun 2002</t>
  </si>
  <si>
    <t>Amy Heung Yu Cheung Medicine Professional Corporation</t>
  </si>
  <si>
    <t>Issued Date:  Dec 05 2014</t>
  </si>
  <si>
    <t>Dr. A. Cheung (CPSO# 71591)</t>
  </si>
  <si>
    <t>Sunnybrook Health Sciences Centre,Department of Psychiatry,2075 Bayview Avenue,Toronto ON  M4N 3M5,(416) 480-4073</t>
  </si>
  <si>
    <t>98335</t>
  </si>
  <si>
    <t xml:space="preserve">Active Member as of 03 Jun 2018 </t>
  </si>
  <si>
    <t xml:space="preserve">Independent Practice as of 03 Jun 2018 </t>
  </si>
  <si>
    <t>Memorial University of Newfoundland, 2012</t>
  </si>
  <si>
    <t>Peterborough Regional Health Centre,1 Hospital Dr,Peterborough ON  K9J 7C6</t>
  </si>
  <si>
    <t>(705) 743-2121</t>
  </si>
  <si>
    <t>Psychiatry||Effective: 03 Jun 2018||RCPSC Specialist</t>
  </si>
  <si>
    <t>McMaster University, 01 Jul 2012  to 30 Jun 2013|PostGrad Yr 1 - Psychiatry
McMaster University, 01 Jul 2013  to 30 Jun 2014|PostGrad Yr 2 - Psychiatry
McMaster University, 01 Jul 2014  to 30 Jun 2015|PostGrad Yr 3 - Psychiatry
McMaster University, 01 Jul 2015  to 31 Dec 2015|PostGrad Yr 3 - Psychiatry
McMaster University, 01 Jan 2016  to 30 Jun 2016|PostGrad Yr 4 - Psychiatry
McMaster University, 01 Jul 2016  to 31 Dec 2016|PostGrad Yr 4 - Psychiatry
McMaster University, 01 Jan 2017  to 30 Jun 2017|PostGrad Yr 5 - Psychiatry
McMaster University, 01 Jul 2017  to 31 Dec 2017|PostGrad Yr 5 - Psychiatry
McMaster University, 01 Jan 2018  to 30 Jun 2018|PostGrad Yr 5 - Psychiatry</t>
  </si>
  <si>
    <t>First certificate of registration issued: Postgraduate Education Certificate||Effective:   01 Jul 2012
Expired: Terms and conditions of certificate of registration||Expiry:      30 Jun 2015
Subsequent certificate of registration issued: Restricted certificate||Effective:   01 Jul 2015
Expired: Terms and conditions imposed on certificate by Registration Committee||Effective:   30 Jun 2017
Subsequent certificate of registration Issued: Postgraduate Education Certificate||Effective:   01 Jul 2017
Expired: Terms and conditions of certificate of registration||Expiry:      04 Jan 2018
Subsequent certificate of registration issued: Restricted certificate||Effective:   04 Jan 2018
Expired: Terms and conditions imposed on certificate by Registration Committee||Effective:   03 Jun 2018
Subsequent certificate of registration Issued: Independent Practice Certificate||Effective:   03 Jun 2018</t>
  </si>
  <si>
    <t>58154</t>
  </si>
  <si>
    <t xml:space="preserve">Active Member as of 01 Jun 1987 </t>
  </si>
  <si>
    <t xml:space="preserve">Independent Practice as of 01 Jun 1987 </t>
  </si>
  <si>
    <t>McGill University, 1982</t>
  </si>
  <si>
    <t>20 Long Drive,Whitby ON  L1N 8E1</t>
  </si>
  <si>
    <t>(416) 855-9023</t>
  </si>
  <si>
    <t>Psychiatry||Effective: 01 Jun 1987||RCPSC Specialist</t>
  </si>
  <si>
    <t>First certificate of registration issued: Independent Practice Certificate||Effective:   01 Jun 1987</t>
  </si>
  <si>
    <t>Dr. Amy R. Goldwater Medicine Professional Corporation</t>
  </si>
  <si>
    <t>Issued Date:  Aug 28 2013</t>
  </si>
  <si>
    <t>Dr. A. Goldwater (CPSO# 58154)</t>
  </si>
  <si>
    <t>20 Long Drive,Whitby ON  L1N 8E1,(416) 855-9023</t>
  </si>
  <si>
    <t>98601</t>
  </si>
  <si>
    <t>Queen's University, 2012</t>
  </si>
  <si>
    <t>Psychiatry||Effective: 10 Aug 2018||RCPSC Specialist</t>
  </si>
  <si>
    <t>University of Toronto,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11 Aug 2016|PostGrad Yr 4 - Psychiatry
University of Toronto, 12 Aug 2016  to 30 Jun 2017|PostGrad Yr 5 - Psychiatry
University of Toronto, 01 Jul 2017  to 30 Jun 2018|PostGrad Yr 5 - Psychiatry
University of Toronto, 01 Jul 2018  to 10 Aug 2018|PostGrad Yr 5 - Psychiatry</t>
  </si>
  <si>
    <t>First certificate of registration issued: Postgraduate Education Certificate||Effective:   01 Jul 2012
Expired: Terms and conditions of certificate of registration||Expiry:      10 Aug 2018
Subsequent certificate of registration Issued: Independent Practice Certificate||Effective:   14 Aug 2018</t>
  </si>
  <si>
    <t>78695</t>
  </si>
  <si>
    <t xml:space="preserve">Active Member as of 24 Mar 2008 </t>
  </si>
  <si>
    <t xml:space="preserve">Independent Practice as of 24 Mar 2008 </t>
  </si>
  <si>
    <t>Institute Medicine, Pharmacy,Timisoara, 1995</t>
  </si>
  <si>
    <t>St Joseph's Health Care Hamilton,West 5th Campus,Geriatrics Room H101,100 West 5th Street,Hamilton ON  L8N 3K7</t>
  </si>
  <si>
    <t>(905) 522-1155 Ext. 36782</t>
  </si>
  <si>
    <t>Centre for Healthy Aging,Hamilton Health Sciences,St. Peter's Hospital Site,88 Maplewood Ave,Hamilton ON  L8M 1W9,Canada,Phone:(905) 549-6525,County:Regional Municipality of Hamilton-Wentworth,Electoral District:04</t>
  </si>
  <si>
    <t>Hamilton Health Sciences Corporation,St. Peter's Hospital:Hamilton
St Joseph's Centre for Mountain Health Services:Hamilton
St Joseph's Healthcare System,Hamilton:Hamilton</t>
  </si>
  <si>
    <t>Psychiatry||Effective: 01 Jan 2007||RCPSC Specialist</t>
  </si>
  <si>
    <t>University of Ottawa, 02 Dec 2002  to 02 Jun 2003|International Specialist Physician - Psychiatry
University of Ottawa, 03 Jun 2003  to 30 Jun 2003|PostGrad Yr 5 - Psychiatry
University of Ottawa, 01 Jul 2003  to 30 Jun 2004|PostGrad Yr 5 - Psychiatry
University of Ottawa, 01 Jul 2004  to 31 Jul 2004|PostGrad Yr 5 - Psychiatry</t>
  </si>
  <si>
    <t>First certificate of registration issued: Postgraduate Education Certificate||Effective:   02 Dec 2002
Expired: Terms and conditions of certificate of registration||Expiry:      31 Jul 2004
Subsequent certificate of registration issued: Restricted certificate||Effective:   01 Sep 2004
Terms and conditions amended by Registration Committee||Effective:   16 Feb 2007
Expired: Terms and conditions imposed on certificate by Registration Committee||Effective:   24 Mar 2008
Subsequent certificate of registration Issued: Independent Practice Certificate||Effective:   24 Mar 2008</t>
  </si>
  <si>
    <t>114212</t>
  </si>
  <si>
    <t xml:space="preserve">Active Member as of 31 Dec 2017 </t>
  </si>
  <si>
    <t xml:space="preserve">Restricted as of 31 Dec 2017 </t>
  </si>
  <si>
    <t>English, Urdu</t>
  </si>
  <si>
    <t>Dow University of Health Sciences, 2004</t>
  </si>
  <si>
    <t>80 Workman Way,Toronto ON  M6J 1H4</t>
  </si>
  <si>
    <t>416-535-8501 Ext. 36620</t>
  </si>
  <si>
    <t>USA - New York</t>
  </si>
  <si>
    <t>Child and Adolescent Psychiatry||Effective: 31 Dec 2017||CPSO Recognized Specialist</t>
  </si>
  <si>
    <t>First certificate of registration issued: Restricted certificate||Effective:   31 Dec 2017
Terms and conditions imposed on certificate by Registration Committee||Effective:   31 Dec 2017
Expiry date attached to certificate of registration.||Expiry Date: 30 Jun 2019</t>
  </si>
  <si>
    <t>Dr. A. Khizar Medicine Professional Corporation</t>
  </si>
  <si>
    <t>Issued Date:  Feb 28 2018</t>
  </si>
  <si>
    <t>Dr. A. Khizar (CPSO# 114212)</t>
  </si>
  <si>
    <t>80 Workman Way,Toronto ON  M6J 1H4,(416) 535-8501</t>
  </si>
  <si>
    <t>114420</t>
  </si>
  <si>
    <t xml:space="preserve">Active Member as of 29 Jan 2018 </t>
  </si>
  <si>
    <t xml:space="preserve">Restricted as of 29 Jan 2018 </t>
  </si>
  <si>
    <t>Universidade Federal Do Ceara, 2000</t>
  </si>
  <si>
    <t>Centre for Addiction,and Mental Health_x000D_
Toronto, ON_x000D_
M6J,1001 Queen St W,Toronto ON  M6J 1H4</t>
  </si>
  <si>
    <t>(416) 978-2011</t>
  </si>
  <si>
    <t>Psychiatry||Effective: 29 Jan 2018||CPSO Recognized Specialist</t>
  </si>
  <si>
    <t>First certificate of registration issued: Restricted certificate||Effective:   29 Jan 2018
Terms and conditions imposed on certificate by Registration Committee||Effective:   29 Jan 2018
Expiry date attached to certificate of registration.||Expiry Date: 02 Jan 2021</t>
  </si>
  <si>
    <t>31354</t>
  </si>
  <si>
    <t xml:space="preserve">Active Member as of 25 Feb 1980 </t>
  </si>
  <si>
    <t xml:space="preserve">Restricted as of 16 Jul 2014 </t>
  </si>
  <si>
    <t>Laval University, 1976</t>
  </si>
  <si>
    <t>Hopital  Pierre - Janet,20 Pharand,Gatineau QC  J9A 1K7</t>
  </si>
  <si>
    <t>(819) 776-8093</t>
  </si>
  <si>
    <t>(819) 771-7195</t>
  </si>
  <si>
    <t>Psychiatry||Effective: 06 Jun 1980||RCPSC Specialist</t>
  </si>
  <si>
    <t>First certificate of registration issued: Postgraduate Education Certificate||Effective:   01 Jul 1976
Transfer of class of registration to: Independent Practice Certificate||Effective:   25 Feb 1980
Transfer of class of certificate to: Restricted certificate||Effective:   16 Jul 2014
Terms and conditions imposed on certificate by Discipline Committee||Effective:   16 Jul 2014</t>
  </si>
  <si>
    <t>79482</t>
  </si>
  <si>
    <t xml:space="preserve">Independent Practice as of 30 Apr 2009 </t>
  </si>
  <si>
    <t>University of Toronto, 2003</t>
  </si>
  <si>
    <t>CAMH College Street Site Room G19,250 College Street,Toronto ON  M5T 1R8</t>
  </si>
  <si>
    <t>(416)535-8501 Ext. 34040</t>
  </si>
  <si>
    <t>Psychiatry||Effective: 30 Apr 2009||RCPSC Specialist</t>
  </si>
  <si>
    <t>University of Toronto, 01 Jul 2003  to 30 Jun 2004|PostGrad Yr 1 - Psychiatry
University of Toronto, 01 Jul 2004  to 30 Jun 2005|PostGrad Yr 2 - Psychiatry
University of Toronto, 01 Jul 2005  to 30 Jun 2006|PostGrad Yr 3 - Psychiatry
University of Toronto, 01 Jul 2006  to 30 Jun 2007|PostGrad Yr 4 - Psychiatry
University of Toronto, 01 Jul 2007  to 30 Jun 2008|PostGrad Yr 5 - Psychiatry
University of Toronto, 01 Jul 2008  to 30 Apr 2009|PostGrad Yr 5 - Psychiatry</t>
  </si>
  <si>
    <t>First certificate of registration issued: Postgraduate Education Certificate||Effective:   01 Jul 2003
Transfer of class of registration to: Independent Practice Certificate||Effective:   30 Apr 2009</t>
  </si>
  <si>
    <t>84666</t>
  </si>
  <si>
    <t>Toronto Rehab Institute,5th Floor,Room 105-3,550 University Avenue,Toronto ON  M5G 2A2</t>
  </si>
  <si>
    <t>(416) 597-3422 Ext. 3027</t>
  </si>
  <si>
    <t>(416) 597-1074</t>
  </si>
  <si>
    <t>Grey Bruce Health Services,Southampton Hospital:Southampton
University Health Network,Toronto Rehabilitation Institute:Toronto</t>
  </si>
  <si>
    <t>Psychiatry||Effective: 30 Jun 2011||RCPSC Specialist
Geriatric Psychiatry||Effective: 21 Sep 2015||RCPSC Specialist</t>
  </si>
  <si>
    <t>University of Toronto, 01 Jul 2006  to 30 Jun 2007|PostGrad Yr 1 - Psychiatry
University of Toronto, 01 Jul 2007  to 30 Jun 2008|PostGrad Yr 2 - Psychiatry
University of Toronto, 01 Jul 2008  to 30 Jun 2009|PostGrad Yr 3 - Psychiatry
University of Toronto, 01 Jul 2009  to 30 Jun 2010|PostGrad Yr 4 - Psychiatry
University of Toronto, 01 Jul 2010  to 30 Jun 2011|PostGrad Yr 5 - Psychiatry
University of Toronto, 01 Jul 2012  to 30 Apr 2013|Clinical Fellow - Geriatric Psychiatry</t>
  </si>
  <si>
    <t>73946</t>
  </si>
  <si>
    <t xml:space="preserve">Active Member as of 03 Aug 2005 </t>
  </si>
  <si>
    <t xml:space="preserve">Independent Practice as of 03 Aug 2005 </t>
  </si>
  <si>
    <t>Health &amp; Wellness Centre,Koffler Student Services Centre,214 College St., Main Floor, Rm 126,Toronto ON  M5T 2Z9</t>
  </si>
  <si>
    <t>(416) 978-8079</t>
  </si>
  <si>
    <t>(416) 978-7341</t>
  </si>
  <si>
    <t>CAMH,Bell Gateway Building, 4th floor,100 Stokes St,Toronto, ONTARIO,Toronto ON  M6J 1H4,Canada,Phone:(416) 535-8501 Ext. 33640,Fax:416 979 6853,County:City of Toronto,Electoral District:10</t>
  </si>
  <si>
    <t>Psychiatry||Effective: 31 Jul 2005||RCPSC Specialist</t>
  </si>
  <si>
    <t>University of Toronto, 01 Jul 1999  to 30 Jun 2000|PostGrad Yr 1 - Psychiatry
University of Toronto, 01 Jul 2000  to 30 Jun 2001|PostGrad Yr 2 - Psychiatry
University of Toronto, 01 Jul 2001  to 30 Jun 2002|PostGrad Yr 3 - Psychiatry
University of Toronto, 01 Jul 2002  to 30 Jun 2003|PostGrad Yr 3 - Psychiatry
University of Toronto, 01 Jul 2003  to 30 Jun 2004|PostGrad Yr 4 - Psychiatry
University of Toronto, 01 Jul 2004  to 30 Jun 2005|PostGrad Yr 5 - Psychiatry
University of Toronto, 01 Jul 2005  to 31 Jul 2005|PostGrad Yr 5 - Psychiatry
University of Toronto, 01 Aug 2005  to 30 Jun 2006|Clinical Fellow - Psychiatry</t>
  </si>
  <si>
    <t>First certificate of registration issued: Postgraduate Education Certificate||Effective:   01 Jul 1999
Transfer of class of registration to: Independent Practice Certificate||Effective:   03 Aug 2005</t>
  </si>
  <si>
    <t>Dr. Andrea Levinson Medicine Professional Corporation</t>
  </si>
  <si>
    <t>Issued Date:  Aug 19 2015</t>
  </si>
  <si>
    <t>Dr. A. Levinson (CPSO# 73946)</t>
  </si>
  <si>
    <t>Centre for Addiction and Mental Health,Bell Gateway Building - 4th Floor,100 Stokes Street,Toronto ON  M6J 1H4,(416) 535-8501
Health &amp; Wellness,Health &amp; Wellness,Koffler Student Services Centre,Main Floor-Room 126,214 College Street,Toronto ON  M5T 3A1,(416) 978-8079</t>
  </si>
  <si>
    <t>90846</t>
  </si>
  <si>
    <t xml:space="preserve">Active Member as of 23 Sep 2015 </t>
  </si>
  <si>
    <t xml:space="preserve">Independent Practice as of 23 Sep 2015 </t>
  </si>
  <si>
    <t>University of Toronto, 01 Jul 2009  to 30 Jun 2010|PostGrad Yr 1 - Psychiatry
University of Toronto, 01 Jul 2010  to 30 Jun 2011|PostGrad Yr 2 - Psychiatry
University of Toronto, 01 Jul 2011  to 30 Jun 2012|PostGrad Yr 3 - Psychiatry
University of Toronto, 01 Jul 2012  to 20 Jul 2012|PostGrad Yr 3 - Psychiatry
University of Toronto, 21 Jul 2012  to 30 Jun 2013|PostGrad Yr 4 - Psychiatry
University of Toronto, 01 Jul 2013  to 20 Jul 2013|PostGrad Yr 4 - Psychiatry
University of Toronto, 21 Jul 2013  to 30 Jun 2014|PostGrad Yr 5 - Psychiatry
University of Toronto, 01 Jul 2014  to 30 Jun 2015|PostGrad Yr 5 - Psychiatry</t>
  </si>
  <si>
    <t>First certificate of registration issued: Postgraduate Education Certificate||Effective:   01 Jul 2009
Expired: Terms and conditions of certificate of registration||Expiry:      30 Jun 2015
Subsequent certificate of registration Issued: Independent Practice Certificate||Effective:   23 Sep 2015</t>
  </si>
  <si>
    <t>78043</t>
  </si>
  <si>
    <t xml:space="preserve">Independent Practice as of 16 Oct 2007 </t>
  </si>
  <si>
    <t>McMaster University, 2002</t>
  </si>
  <si>
    <t>Royal Ottawa Mental Health Centre,Geriatric Psychiatry,1145 Carling Avenue,Ottawa ON  K1Z 7K4</t>
  </si>
  <si>
    <t>(613) 722-6521 Ext. 6637</t>
  </si>
  <si>
    <t>(613) 748-4995</t>
  </si>
  <si>
    <t>Montfort Hospital,Department of Psychiatry,713 Montreal Road,Ottawa ON  K1K 0T2,Canada,Phone:(613) 746-4621 Ext. 3908,Fax:(613) 748-4997,County:Regional Municipality of Ottawa-Carleton,Electoral District:07</t>
  </si>
  <si>
    <t>Hawkesbury &amp; District General Hospital:Hawkesbury
Montfort Hospital:Ottawa
North Bay Regional Health Centre:North Bay
Notre-Dame Hospital:Hearst
Ottawa Hospital,General Site:Ottawa
Royal Ottawa Health Care Group:Ottawa
Sensenbrenner Hospital:Kapuskasing</t>
  </si>
  <si>
    <t>Psychiatry||Effective: 30 Sep 2007||RCPSC Specialist</t>
  </si>
  <si>
    <t>McMaster University, 01 Jul 2002  to 30 Jun 2003|PostGrad Yr 1 - Psychiatry
McMaster University, 01 Jul 2003  to 30 Jun 2004|PostGrad Yr 2 - Psychiatry
McMaster University, 01 Jul 2004  to 30 Sep 2004|PostGrad Yr 2 - Psychiatry
McMaster University, 01 Oct 2004  to 30 Sep 2005|PostGrad Yr 3 - Psychiatry
McMaster University, 01 Oct 2005  to 30 Jun 2006|PostGrad Yr 4 - Psychiatry
McMaster University, 01 Jul 2006  to 30 Sep 2006|PostGrad Yr 4 - Psychiatry
McMaster University, 01 Oct 2006  to 30 Sep 2007|PostGrad Yr 5 - Psychiatry
University of Ottawa, 01 Oct 2007  to 31 Mar 2008|Clinical Fellow - Psychiatry</t>
  </si>
  <si>
    <t>First certificate of registration issued: Postgraduate Education Certificate||Effective:   01 Jul 2002
Transfer of class of registration to: Independent Practice Certificate||Effective:   16 Oct 2007</t>
  </si>
  <si>
    <t>Dr. Andrea Stewart Medicine Professional Corporation</t>
  </si>
  <si>
    <t>Issued Date:  Jul 19 2010</t>
  </si>
  <si>
    <t>Dr. A. Stewart (CPSO# 78043)</t>
  </si>
  <si>
    <t>1111 Ghislain Street,Hawkesbury ON  K6A 3E5
101 Progress Crescent,101 Progress Crescent,Kapuskasing ON  P5N 3H5,(705) 337-6111
29 Byng Avenue,29 Byng Avenue,Kapuskasing ON  P5N 1W6,(705) 335-8468
The Royal Ottawa Mental Health Centre,The Royal Ottawa Mental Health Centre,1145 Carling Avenue,Ottawa ON  K1Z 7K4,(613) 722-6521
501 Smyth Road,501 Smyth Road,Ottawa ON  K1H 8L6</t>
  </si>
  <si>
    <t>77640</t>
  </si>
  <si>
    <t xml:space="preserve">Active Member as of 06 Aug 2008 </t>
  </si>
  <si>
    <t xml:space="preserve">Independent Practice as of 06 Aug 2008 </t>
  </si>
  <si>
    <t>The University of Western Ontario, 2002</t>
  </si>
  <si>
    <t>Mount Sinai Hospital,Room 941A,600 University Avenue,Toronto ON  M5G 1X5</t>
  </si>
  <si>
    <t>(416) 586-4800 Ext. 4568</t>
  </si>
  <si>
    <t>(416) 586-8654</t>
  </si>
  <si>
    <t>University of Toronto, 01 Jul 2002  to 30 Jun 2003|PostGrad Yr 1 - Psychiatry
University of Toronto, 01 Jul 2003  to 30 Jun 2004|PostGrad Yr 2 - Psychiatry
University of Toronto, 01 Jul 2004  to 30 Jun 2005|PostGrad Yr 3 - Psychiatry
University of Toronto, 01 Jul 2005  to 30 Jun 2006|PostGrad Yr 4 - Psychiatry
University of Toronto, 01 Jul 2006  to 02 Jan 2007|PostGrad Yr 4 - Psychiatry
University of Toronto, 03 Jan 2007  to 30 Jun 2007|PostGrad Yr 5 - Psychiatry
University of Toronto, 01 Jul 2007  to 30 Jun 2008|PostGrad Yr 5 - Psychiatry</t>
  </si>
  <si>
    <t>First certificate of registration issued: Postgraduate Education Certificate||Effective:   01 Jul 2002
Expired: Terms and conditions of certificate of registration||Expiry:      30 Jun 2008
Subsequent certificate of registration Issued: Independent Practice Certificate||Effective:   06 Aug 2008</t>
  </si>
  <si>
    <t>87314</t>
  </si>
  <si>
    <t xml:space="preserve">Active Member as of 27 Jun 2011 </t>
  </si>
  <si>
    <t xml:space="preserve">Independent Practice as of 27 Jun 2011 </t>
  </si>
  <si>
    <t>Universidad Militar Nueva Granada, 1999</t>
  </si>
  <si>
    <t>Canadian Mental Health Association,80 Waterloo Avenue,Guelph ON  N1H0A1</t>
  </si>
  <si>
    <t>(519) 821-2060</t>
  </si>
  <si>
    <t>(519) 821-6139</t>
  </si>
  <si>
    <t>Guelph General Hospital,125 Delhi St.,Guelph ON  N1E 4J5,Canada,Phone:(519) 837-6440,Fax:(519) 837-6773,County:County of Wellington,Electoral District:03</t>
  </si>
  <si>
    <t>Guelph General Hospital:Guelph
Homewood Health Centre:Guelph</t>
  </si>
  <si>
    <t>Psychiatry||Effective: 31 May 2011||RCPSC Specialist</t>
  </si>
  <si>
    <t>McMaster University, 01 Jul 2007  to 23 Sep 2007|Assessment Verification Period - Psychiatry
McMaster University, 24 Sep 2007  to 30 Jun 2008|PostGrad Yr 2 - Psychiatry
McMaster University, 01 Jul 2008  to 30 Jun 2009|PostGrad Yr 3 - Psychiatry
McMaster University, 01 Jul 2009  to 21 Feb 2010|PostGrad Yr 3 - Psychiatry
McMaster University, 22 Feb 2010  to 31 Mar 2010|PostGrad Yr 4 - Psychiatry
McMaster University, 01 Apr 2010  to 30 Jun 2010|PostGrad Yr 5 - Psychiatry
McMaster University, 01 Jul 2010  to 31 May 2011|PostGrad Yr 5 - Psychiatry</t>
  </si>
  <si>
    <t>First certificate of registration issued: Pre Entry Assessment Program Certificate||Effective:   01 Jul 2007
Transfer of class of registration to: Postgraduate Education Certificate||Effective:   24 Sep 2007
Expired: Terms and conditions of certificate of registration||Expiry:      31 May 2011
Subsequent certificate of registration Issued: Independent Practice Certificate||Effective:   27 Jun 2011</t>
  </si>
  <si>
    <t>Dr. Andrea Alvarez Higuera Medicine Professional Corporation</t>
  </si>
  <si>
    <t>Issued Date:  Jun 03 2014</t>
  </si>
  <si>
    <t>Dr. A. Alvarez Higuera (CPSO# 87314)</t>
  </si>
  <si>
    <t>Homewood Health Centre,Comprehensive Psychiatric Care Unit,150 Delhi Street,Guelph ON  N1E 6K9,(519) 824-1010
Canadian Mental Health Association,Canadian Mental Health Association,80 Waterloo Avenue,Guelph ON  N1H 0A1,(519) 821-2060
The Wellness Collaborative,The Wellness Collaborative,Suites 403 &amp; 405,147 Wyndham Street North,Guelph ON  N1H 4E9,(519) 766-7786
Guelph General Hospital,Guelph General Hospital,125 Delhi Street,Guelph ON  N1E 4J5,(519) 824-1010</t>
  </si>
  <si>
    <t>115674</t>
  </si>
  <si>
    <t xml:space="preserve">Active Member as of 30 Jun 2018 </t>
  </si>
  <si>
    <t>University of Montreal, 2013</t>
  </si>
  <si>
    <t>Sunnybrook Health Sciences Centre,Department of Psychiatry,2075 Bayview Ave,Toronto ON  M4N 3M5</t>
  </si>
  <si>
    <t>(416) 480-6100</t>
  </si>
  <si>
    <t>University of Toronto, 04 Sep 2018  to 30 Jun 2019|Clinical Fellow - Psychiatry</t>
  </si>
  <si>
    <t>First certificate of registration issued: Independent Practice Certificate||Effective:   30 Jun 2018</t>
  </si>
  <si>
    <t>83548</t>
  </si>
  <si>
    <t xml:space="preserve">Active Member as of 05 Oct 2006 </t>
  </si>
  <si>
    <t>University of Sao Paulo, 1995</t>
  </si>
  <si>
    <t>Sunnybrook Hospital,2075 Bayview Ave,Toronto ON  M4N 3M5</t>
  </si>
  <si>
    <t>(416) 480-4624</t>
  </si>
  <si>
    <t>(416) 480-5144</t>
  </si>
  <si>
    <t>Brazil</t>
  </si>
  <si>
    <t>University of Toronto, 25 Jul 2005  to 14 Oct 2005|PEAP - Clinical Fellow - Psychiatry
University of Toronto, 15 Oct 2005  to 30 Jun 2006|Clinical Fellow - Psychiatry
McMaster University, 01 Jul 2006  to 14 Sep 2006|Assessment Verification Period - Psychiatry
McMaster University, 02 Oct 2006  to 30 Jun 2007|PostGrad Yr 2 - Psychiatry
McMaster University, 01 Jul 2007  to 30 Jun 2008|PostGrad Yr 3 - Psychiatry
McMaster University, 01 Jul 2008  to 30 Jun 2009|PostGrad Yr 5 - Psychiatry</t>
  </si>
  <si>
    <t>First certificate of registration issued: Pre Entry Assessment Program Certificate||Effective:   25 Jul 2005
Transfer of class of registration to: Postgraduate Education Certificate||Effective:   15 Oct 2005
Transfer of class of registration to: Pre Entry Assessment Program Certificate||Effective:   01 Jul 2006
Expired: Terms and conditions of certificate of registration||Expiry:      14 Sep 2006
Subsequent certificate of registration Issued: Postgraduate Education Certificate||Effective:   05 Oct 2006
Transfer of class of registration to: Independent Practice Certificate||Effective:   30 Jun 2009</t>
  </si>
  <si>
    <t>101733</t>
  </si>
  <si>
    <t xml:space="preserve">Active Member as of 15 Jul 2013 </t>
  </si>
  <si>
    <t xml:space="preserve">Restricted as of 15 Jul 2013 </t>
  </si>
  <si>
    <t>Bosnian, Croatian, English, Serbian</t>
  </si>
  <si>
    <t>University of Belgrade, 1997</t>
  </si>
  <si>
    <t>Oakville-Trafalgar Memorial Hosp.,Department of Psychiatry,3001 Hospital Gate,Oakville ON L6M0L8,Oakville ON  L6J 3L7</t>
  </si>
  <si>
    <t>(905) 815-5118</t>
  </si>
  <si>
    <t>(905) 815-5136</t>
  </si>
  <si>
    <t>USA - Maine</t>
  </si>
  <si>
    <t>Joseph Brant Hospital:Burlington</t>
  </si>
  <si>
    <t>Child and Adolescent Psychiatry||Effective: 15 Jul 2013||CPSO Recognized Specialist
Psychiatry||Effective: 15 Jul 2013||CPSO Recognized Specialist</t>
  </si>
  <si>
    <t>First certificate of registration issued: Restricted certificate||Effective:   15 Jul 2013
Terms and conditions imposed on certificate by Registration Committee||Effective:   15 Jul 2013
Expiry date attached to certificate of registration.||Expiry Date: 14 Jan 2015
Terms and conditions amended by Registration Committee||Effective:   16 Oct 2014
Expiry date removed from certificate of registration.||Effective:   16 Oct 2014</t>
  </si>
  <si>
    <t>Brajovic Medicine Professional Corporation</t>
  </si>
  <si>
    <t>Issued Date:  Jul 25 2013</t>
  </si>
  <si>
    <t>Dr. A. Brajovic (CPSO# 101733)</t>
  </si>
  <si>
    <t>Oakville Trafalgar Memorial Hospital,Department of Psychiatry,3001 Hospital Gate,Oakville ON  L6M 0L8,(905) 815-5118</t>
  </si>
  <si>
    <t>75270</t>
  </si>
  <si>
    <t xml:space="preserve">Active Member as of 16 Jun 2008 </t>
  </si>
  <si>
    <t xml:space="preserve">Independent Practice as of 16 Jun 2008 </t>
  </si>
  <si>
    <t>University of Toronto, 2000</t>
  </si>
  <si>
    <t>CAMH College Street Site,Suite 501,250 College Street,Toronto ON  M5T 1R8</t>
  </si>
  <si>
    <t>(416) 535-8501 Ext. 32841</t>
  </si>
  <si>
    <t>(416) 260-4216</t>
  </si>
  <si>
    <t>Psychiatry||Effective: 15 Jun 2008||RCPSC Specialist</t>
  </si>
  <si>
    <t>University of Toronto, 01 Jul 2000  to 30 Jun 2001|PostGrad Yr 1 - Internal Medicine
University of Toronto, 01 Jul 2001  to 30 Jun 2002|PostGrad Yr 2 - Internal Medicine
University of Toronto, 01 Jul 2002  to 31 Dec 2002|PostGrad Yr 2 - Internal Medicine
University of Toronto, 01 Jan 2003  to 31 Dec 2003|PostGrad Yr 2 - Diagnostic Radiology
University of Toronto, 01 Jan 2004  to 30 Jun 2004|PostGrad Yr 3 - Diagnostic Radiology
University of Toronto, 01 Jul 2004  to 30 Jun 2005|PostGrad Yr 4 - Diagnostic Radiology
University of Toronto, 01 Jul 2005  to 30 Jun 2006|PostGrad Yr 2 - Psychiatry
University of Toronto, 01 Jul 2006  to 08 Jan 2007|PostGrad Yr 3 - Psychiatry
University of Toronto, 09 Jan 2007  to 31 Mar 2007|PostGrad Yr 4 - Psychiatry
University of Toronto, 01 Apr 2007  to 31 Mar 2008|PostGrad Yr 5 - Psychiatry
University of Toronto, 01 Apr 2008  to 30 Jun 2008|PostGrad Yr 5 - Psychiatry</t>
  </si>
  <si>
    <t>First certificate of registration issued: Postgraduate Education Certificate||Effective:   01 Jul 2000
Expired: Terms and conditions of certificate of registration||Expiry:      15 Jun 2008
Subsequent certificate of registration Issued: Independent Practice Certificate||Effective:   16 Jun 2008</t>
  </si>
  <si>
    <t>Andrew Lustig Medicine Professional Corporation</t>
  </si>
  <si>
    <t>Issued Date:  Jan 28 2013</t>
  </si>
  <si>
    <t>Dr. A. Lustig (CPSO# 75270)</t>
  </si>
  <si>
    <t>CAMH College Street Site,Suite 501,250 College Street,Toronto ON  M5T 1R8,(416) 535-8501</t>
  </si>
  <si>
    <t>86470</t>
  </si>
  <si>
    <t xml:space="preserve">Independent Practice as of 30 Jun 2012 </t>
  </si>
  <si>
    <t>Dalhousie University, 2007</t>
  </si>
  <si>
    <t>St Josephs Health Centre,3rd Floor, Our Lady of Mercy Wing,Room 3L-234,30 The Queensway,Toronto ON  M6R 1B5</t>
  </si>
  <si>
    <t>(416) 530-6825</t>
  </si>
  <si>
    <t>(416) 530-6393</t>
  </si>
  <si>
    <t>700 University Ave,Room 8-924,Toronto AB  M5G 1Z5,Canada,Phone:416-586-4800 Ext. 1559,Fax:416-586-8596,County:Electoral District</t>
  </si>
  <si>
    <t>Mount Sinai Hospital:Toronto
St Joseph's Health Centre,Toronto:Toronto</t>
  </si>
  <si>
    <t>University of Toronto, 01 Jul 2007  to 30 Jun 2008|PostGrad Yr 1 - Psychiatry
University of Toronto, 01 Jul 2008  to 30 Jun 2009|PostGrad Yr 2 - Psychiatry
University of Toronto, 01 Jul 2009  to 30 Jun 2010|PostGrad Yr 3 - Psychiatry
University of Toronto, 01 Jul 2010  to 30 Jun 2011|PostGrad Yr 4 - Psychiatry
University of Toronto, 01 Jul 2011  to 30 Jun 2012|PostGrad Yr 5 - Psychiatry</t>
  </si>
  <si>
    <t>First certificate of registration issued: Postgraduate Education Certificate||Effective:   01 Jul 2007
Transfer of class of registration to: Independent Practice Certificate||Effective:   30 Jun 2012</t>
  </si>
  <si>
    <t>79071</t>
  </si>
  <si>
    <t>McMaster University, 2003</t>
  </si>
  <si>
    <t>Michael Garron Hospital,Department of Psychiatry,825 Coxwell Avenue,Toronto ON  M4C 3E7</t>
  </si>
  <si>
    <t>(416) 469-6580 Ext. 3231</t>
  </si>
  <si>
    <t>University of Toronto, 01 Jul 2003  to 30 Jun 2004|PostGrad Yr 1 - Psychiatry
University of Toronto, 01 Jul 2004  to 30 Jun 2005|PostGrad Yr 2 - Psychiatry
University of Toronto, 01 Jul 2005  to 30 Jun 2006|PostGrad Yr 3 - Psychiatry
University of Toronto, 01 Jul 2006  to 30 Jun 2007|PostGrad Yr 4 - Psychiatry
University of Toronto, 01 Jul 2007  to 30 Jun 2008|PostGrad Yr 5 - Psychiatry</t>
  </si>
  <si>
    <t>58346</t>
  </si>
  <si>
    <t xml:space="preserve">Active Member as of 15 Jun 1987 </t>
  </si>
  <si>
    <t xml:space="preserve">Independent Practice as of 26 Jul 1988 </t>
  </si>
  <si>
    <t>University of Ottawa, 1987</t>
  </si>
  <si>
    <t>(613) 722-6521 Ext. 6905</t>
  </si>
  <si>
    <t>(613) 798-2999</t>
  </si>
  <si>
    <t>Anson General Hospital:Iroquois Falls
Bingham Memorial Hospital:Matheson
Lady Minto Hospital:Cochrane
North Bay Regional Health Centre:North Bay
Ottawa Hospital,Civic Site:Ottawa
Ottawa Hospital,General Site:Ottawa
Queensway Carleton Hospital:Ottawa
Royal Ottawa Health Care Group:Ottawa
Temiskaming Hospital:New Liskeard
Timmins and District Hospital:Timmins</t>
  </si>
  <si>
    <t>Psychiatry||Effective: 29 May 1992||RCPSC Specialist
Geriatric Psychiatry||Effective: 14 Sep 2012||RCPSC Specialist</t>
  </si>
  <si>
    <t>University of Ottawa, 15 Jun 1987  to 14 Jun 1988|Other - Rotating Internship
University of Ottawa, 01 Jul 1988  to 30 Jun 1989|Resident 1 - Psychiatry
University of Ottawa, 01 Jul 1989  to 30 Jun 1990|Resident 2 - Psychiatry
University of Ottawa, 01 Jul 1990  to 30 Jun 1991|Resident 3 - Psychiatry
University of Ottawa, 01 Jul 1991  to 30 Jun 1992|Resident 4 - Psychiatry
University of Ottawa, 04 Aug 1992  to 31 Jul 1993|Clinical Fellow - Psychiatry</t>
  </si>
  <si>
    <t>First certificate of registration issued: Postgraduate Education Certificate||Effective:   15 Jun 1987
Transfer of class of registration to: Independent Practice Certificate||Effective:   26 Jul 1988</t>
  </si>
  <si>
    <t>Wiens Lewin Medicine Professional Corporation</t>
  </si>
  <si>
    <t>Issued Date:  Apr 27 2006</t>
  </si>
  <si>
    <t>Dr. L. Lewin (CPSO# 58356),Dr. A. Wiens (CPSO# 58346)</t>
  </si>
  <si>
    <t>Royal Ottawa Hospital,1145 Carling Avenue,Ottawa ON  K1Z 7K4,(613) 722-6521
Suite 207,Suite 207,770 Broadview Avenue,Ottawa ON  K2A 3Z3,(613) 224-1248</t>
  </si>
  <si>
    <t>86203</t>
  </si>
  <si>
    <t>The University of British Columbia, 2007</t>
  </si>
  <si>
    <t>Ontario Shores Centre for Mental,Health Sciences,FPRU,700 Gordon Street,Whitby ON  L1N 5S9</t>
  </si>
  <si>
    <t>(905) 668-5881 Ext. 6960</t>
  </si>
  <si>
    <t>(905) 665-2455</t>
  </si>
  <si>
    <t>Michael Garron Hospital,825 Coxwell Ave,Toronto,Toronto ON  M4C 3E7,Canada,Phone:416-461-8272,County:City of Toronto,Electoral District:10
Durham Mental Health Services,519 Brock St. S.,Whitby ON  L1N 4K8,Canada,Phone:905-666-0831,County:Regional Municipality of Durham,Electoral District:05</t>
  </si>
  <si>
    <t>Michael Garron Hospital - Toronto East Health Network:Toronto
Ontario Shores Centre for Mental Health Sciences:Whitby
Sault Area Hospital:Sault Ste Marie
Timmins and District Hospital:Timmins</t>
  </si>
  <si>
    <t>Psychiatry||Effective: 30 Jun 2012||RCPSC Specialist
Forensic Psychiatry||Effective: 26 Sep 2013||RCPSC Specialist</t>
  </si>
  <si>
    <t>University of Toronto, 01 Jul 2007  to 30 Jun 2008|PostGrad Yr 1 - Psychiatry
University of Toronto, 01 Jul 2008  to 30 Jun 2009|PostGrad Yr 2 - Psychiatry
University of Toronto, 01 Jul 2009  to 30 Jun 2010|PostGrad Yr 3 - Psychiatry
University of Toronto, 01 Jul 2010  to 30 Jun 2011|PostGrad Yr 4 - Psychiatry
University of Toronto, 01 Jul 2011  to 30 Jun 2012|PostGrad Yr 5 - Psychiatry
University of Toronto, 01 Jul 2012  to 30 Jun 2013|PostGrad Yr 6 - Psychiatry</t>
  </si>
  <si>
    <t>Dr. Andrew W. Morgan Medicine Professional Corporation</t>
  </si>
  <si>
    <t>Issued Date:  Dec 05 2013</t>
  </si>
  <si>
    <t>Dr. A. Morgan (CPSO# 86203)</t>
  </si>
  <si>
    <t>Durham Mental Health Services,519 Brock Street South,Whitby ON  L1N 4K8,(905) 666-0831
Ontario Shores,Ontario Shores,Forensic Psychiatry Division,700 Gordon Street,Whitby ON  L1N 5S9,(905) 430-4055
Corrections Canada,Corrections Canada,330 Keele Street,Toronto ON  M6P 2K7,(416) 762-8171
Michael Garron Hospital,Michael Garron Hospital,825 Coxwell Avenue,Toronto ON  M4C 3E7,(416) 461-8272</t>
  </si>
  <si>
    <t>83466</t>
  </si>
  <si>
    <t xml:space="preserve">Active Member as of 20 Jul 2011 </t>
  </si>
  <si>
    <t xml:space="preserve">Independent Practice as of 20 Jul 2011 </t>
  </si>
  <si>
    <t>Odessa Medical University, 1994</t>
  </si>
  <si>
    <t>70 Colony Farm Road,Coquitlam BC  V3C5X9</t>
  </si>
  <si>
    <t>(604) 524-7700 Ext. 337911</t>
  </si>
  <si>
    <t>Psychiatry||Effective: 03 May 2011||RCPSC Specialist
Forensic Psychiatry||Effective: 23 Sep 2014||RCPSC Specialist</t>
  </si>
  <si>
    <t>McMaster University, 01 Jul 2005  to 15 Sep 2005|Assessment Verification Period - Psychiatry
McMaster University, 16 Sep 2005  to 30 Jun 2006|PostGrad Yr 2 - Psychiatry
McMaster University, 01 Jul 2006  to 30 Jun 2007|PostGrad Yr 3 - Psychiatry
McMaster University, 01 Jul 2007  to 30 Jun 2008|PostGrad Yr 4 - Psychiatry
McMaster University, 01 Jul 2008  to 30 Jun 2009|PostGrad Yr 5 - Psychiatry</t>
  </si>
  <si>
    <t>First certificate of registration issued: Pre Entry Assessment Program Certificate||Effective:   05 Jul 2005
Transfer of class of registration to: Postgraduate Education Certificate||Effective:   19 Sep 2005
Expired: Terms and conditions of certificate of registration||Expiry:      30 Jun 2009
Subsequent certificate of registration issued: Restricted certificate||Effective:   18 Aug 2009
Expired: Terms and conditions imposed on certificate by Registration Committee||Effective:   20 Jul 2011
Subsequent certificate of registration Issued: Independent Practice Certificate||Effective:   20 Jul 2011</t>
  </si>
  <si>
    <t>92491</t>
  </si>
  <si>
    <t xml:space="preserve">Active Member as of 20 Jan 2011 </t>
  </si>
  <si>
    <t xml:space="preserve">Restricted as of 20 Jan 2011 </t>
  </si>
  <si>
    <t>English, Russian, Ukrainian</t>
  </si>
  <si>
    <t>Kharkov Medical University, 2002</t>
  </si>
  <si>
    <t>CAMH Addiction Medicine Services,100 Stokes Street,Toronto ON  M6J 1H4</t>
  </si>
  <si>
    <t>(416) 535-8501 Ext. 36019</t>
  </si>
  <si>
    <t>(416) 595-6821</t>
  </si>
  <si>
    <t>University of Toronto, 20 Jan 2010  to 13 Apr 2010|PEAP - Clinical Fellow - Psychiatry
University of Toronto, 14 Apr 2010  to 31 Dec 2010|Clinical Fellow - Psychiatry</t>
  </si>
  <si>
    <t>First certificate of registration issued: Pre Entry Assessment Program Certificate||Effective:   10 Feb 2010
Transfer of class of registration to: Postgraduate Education Certificate||Effective:   14 Apr 2010
Expired: Terms and conditions of certificate of registration||Expiry:      31 Dec 2010
Subsequent certificate of registration issued: Restricted certificate||Effective:   20 Jan 2011
Terms and conditions amended by Registration Committee||Effective:   16 Nov 2017
Expiry date attached to certificate of registration||Expiry Date: 19 Jan 2020</t>
  </si>
  <si>
    <t>73818</t>
  </si>
  <si>
    <t xml:space="preserve">Active Member as of 28 Jun 1999 </t>
  </si>
  <si>
    <t xml:space="preserve">Independent Practice as of 28 Jun 1999 </t>
  </si>
  <si>
    <t>English, Polish</t>
  </si>
  <si>
    <t>Academy of Medicine, Warsaw, 1978</t>
  </si>
  <si>
    <t>Niagara Health System SCO,o/p Mental Health,1200 Fourth Avenue,St Catharines ON  L2S 0A9</t>
  </si>
  <si>
    <t>(905) 378-4647 Ext. 46460</t>
  </si>
  <si>
    <t>(905) 3971904</t>
  </si>
  <si>
    <t>Niagara Health System,St Catharines General Site:St Catharines</t>
  </si>
  <si>
    <t>First certificate of registration issued: Independent Practice Certificate||Effective:   28 Jun 1999</t>
  </si>
  <si>
    <t>Dr. Andrzej Zebrowski Medicine Professional Corporation</t>
  </si>
  <si>
    <t>Issued Date:  Sep 17 2014</t>
  </si>
  <si>
    <t>Dr. A. Zebrowski (CPSO# 73818)</t>
  </si>
  <si>
    <t>Niagara Health System SCO,o/p Mental Health,1200 Fourth Avenue,St Catharines ON  L2S 0A9,(905) 378-4647</t>
  </si>
  <si>
    <t>68014</t>
  </si>
  <si>
    <t xml:space="preserve">Active Member as of 01 Jul 1994 </t>
  </si>
  <si>
    <t xml:space="preserve">Independent Practice as of 30 Jun 1999 </t>
  </si>
  <si>
    <t>University of Toronto, 1994</t>
  </si>
  <si>
    <t>TDH - Mental Health Dept.,700 Ross Ave. East,Timmins ON  P4N 8P2</t>
  </si>
  <si>
    <t>(705) 267-6315</t>
  </si>
  <si>
    <t>(705) 264-6525</t>
  </si>
  <si>
    <t>Suite 201,330 2nd Avenue,Timmins ON  P4N 8A4,Canada,Phone:(705) 267-8100,County:Territorial District of Cochrane,Electoral District:08
750 Great Northern Road,Sault Ste Marie ON  P6B 0A8,Canada,Phone:(705) 759-3434 Ext. 4600,County:Territorial District of Algoma,Electoral District:08</t>
  </si>
  <si>
    <t>Sault Area Hospital:Sault Ste Marie
Timmins and District Hospital:Timmins</t>
  </si>
  <si>
    <t>Psychiatry||Effective: 30 Jun 1999||RCPSC Specialist</t>
  </si>
  <si>
    <t>University of Toronto, 01 Jul 1994  to 30 Jun 1995|PostGrad Yr 1 - Psychiatry
University of Toronto, 01 Jul 1995  to 30 Jun 1996|Resident 1 - Psychiatry
University of Toronto, 01 Jul 1996  to 30 Jun 1997|PostGrad Yr 3 - Psychiatry
University of Toronto, 01 Jul 1997  to 30 Jun 1998|PostGrad Yr 4 - Psychiatry
University of Toronto, 01 Jul 1998  to 30 Jun 1999|PostGrad Yr 5 - Psychiatry</t>
  </si>
  <si>
    <t>First certificate of registration issued: Postgraduate Education Certificate||Effective:   01 Jul 1994
Transfer of class of registration to: Independent Practice Certificate||Effective:   30 Jun 1999</t>
  </si>
  <si>
    <t>A. Cheok Medicine Professional Corporation</t>
  </si>
  <si>
    <t>Issued Date:  Feb 10 2011</t>
  </si>
  <si>
    <t>Dr. A. Cheok (CPSO# 68014)</t>
  </si>
  <si>
    <t>TDH - Mental Health Department,700 Ross Avenue East,Timmins ON  P4N 8P2,(705) 267-6315
201 - 330 2nd Avenue,201 - 330 2nd Avenue,Timmins ON  P4N 8A4,(705) 267-8100
750 Great Northern Road,750 Great Northern Road,Sault Ste Marie ON  P6B 0A8,(705) 759-3434</t>
  </si>
  <si>
    <t>94593</t>
  </si>
  <si>
    <t xml:space="preserve">Active Member as of 26 Jul 2013 </t>
  </si>
  <si>
    <t xml:space="preserve">Restricted as of 26 Jul 2013 </t>
  </si>
  <si>
    <t>Bulgarian, English, Russian</t>
  </si>
  <si>
    <t>Medical Academy  Sofia, 1984</t>
  </si>
  <si>
    <t>Lakeridge Health Oshawa,Department of Psychiatry,1 Hospital Court,Oshawa ON  L1G 2B9</t>
  </si>
  <si>
    <t>(905) 576-8711</t>
  </si>
  <si>
    <t>Lakeridge Health,Oshawa General Site:Oshawa</t>
  </si>
  <si>
    <t>Psychiatry||Effective: 26 Jul 2013||CPSO Recognized Specialist</t>
  </si>
  <si>
    <t>First certificate of registration issued: Restricted certificate||Effective:   17 Nov 2010
Terms and conditions imposed on certificate by Registration Committee||Effective:   17 Nov 2010
Expiry date attached to certificate of registration.||Expiry Date: 16 Nov 2013
Expired: Terms and conditions imposed on certificate by Registration Committee||Effective:   26 Jul 2013
Subsequent certificate of registration issued: Restricted certificate||Effective:   26 Jul 2013
Terms and conditions amended by Registration Committee||Effective:   05 Sep 2014
Terms and conditions amended by Registration Committee||Effective:   21 May 2015
Terms and conditions amended by Registration Committee||Effective:   21 May 2015</t>
  </si>
  <si>
    <t>A. Raviele Medicine Professional Corporation</t>
  </si>
  <si>
    <t>Issued Date:  Apr 12 2011</t>
  </si>
  <si>
    <t>Dr. A. Raviele (CPSO# 94593)</t>
  </si>
  <si>
    <t>Lakeridge Health Oshawa,Department of Psychiatry,1 Hospital Court,Oshawa ON  L1G 2B9,(905) 433-4345</t>
  </si>
  <si>
    <t>93266</t>
  </si>
  <si>
    <t>Northern Ontario School Of Medicine, 2010</t>
  </si>
  <si>
    <t>CAMH, Geriatric Mental Health,Outpatient Clinics,Ground Floor, Labatt Entrance,80 Workman Way,Toronto ON  M6J 1H4</t>
  </si>
  <si>
    <t>(416) 583-1296</t>
  </si>
  <si>
    <t>St Michael's Hospital,30 Bond Street,Toronto ON  M5B 1W8,Canada,Phone:(416) 864-5320,Fax:(416) 864-5480,County:City of Toronto,Electoral District:10</t>
  </si>
  <si>
    <t>Centre for Addiction &amp; Mental Health,Queen Street Site:Toronto
St Michael's Hospital:Toronto</t>
  </si>
  <si>
    <t>Psychiatry||Effective: 30 Jun 2015||RCPSC Specialist
Geriatric Psychiatry||Effective: 27 Sep 2016||RCPSC Specialist</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</si>
  <si>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Geriatric Psychiatry
University of Toronto, 01 Jul 2015  to 30 Jun 2016|PostGrad Yr 6 - Geriatric Psychiatry</t>
  </si>
  <si>
    <t>First certificate of registration issued: Postgraduate Education Certificate||Effective:   01 Jul 2010
Transfer of class of registration to: Independent Practice Certificate||Effective:   30 Jun 2015</t>
  </si>
  <si>
    <t>Dr. Angela Christine Golas Medicine Professional Corporation</t>
  </si>
  <si>
    <t>Issued Date:  Jun 29 2017</t>
  </si>
  <si>
    <t>Dr. A. Golas (CPSO# 93266)</t>
  </si>
  <si>
    <t>CAMH, Geriatric Mental Health,Outpatient Clinics,Ground Floor, Labatt Entrance,80 Workman Way,Toronto ON  M6J 1H4,(416) 535-8501</t>
  </si>
  <si>
    <t>90794</t>
  </si>
  <si>
    <t>MATCH (Multidisciplinary Access To,Care and Housing program),c/o Inner City Health Associates,59 Adelaide St. E. 2nd Floor,Toronto ON  M5C 1K5</t>
  </si>
  <si>
    <t>416-591-4411</t>
  </si>
  <si>
    <t>416-640-2072</t>
  </si>
  <si>
    <t>TS Medical Centre,692 Euclid Ave,Toronto ON  M6G 2T9,Canada,Phone:416-901-9020 Ext. 316,Fax:(416) 901-7217,County:City of Toronto,Electoral District:10</t>
  </si>
  <si>
    <t>Mount Sinai Hospital:Toronto
St Michael's Hospital:Toronto</t>
  </si>
  <si>
    <t>66555</t>
  </si>
  <si>
    <t xml:space="preserve">Active Member as of 26 Oct 1998 </t>
  </si>
  <si>
    <t xml:space="preserve">Independent Practice as of 26 Oct 1998 </t>
  </si>
  <si>
    <t>University of Saskatchewan, 1982</t>
  </si>
  <si>
    <t>Suite 204,700 March Road,Kanata ON  K2K 2V9</t>
  </si>
  <si>
    <t>(613) 271-7056</t>
  </si>
  <si>
    <t>Psychiatry||Effective: 11 Jun 1998||RCPSC Specialist</t>
  </si>
  <si>
    <t>University of Ottawa, 01 Jul 1993  to 30 Jun 1994|Resident 1 - Psychiatry
University of Ottawa, 01 Jul 1994  to 30 Jun 1995|Resident 2 - Psychiatry
University of Ottawa, 01 Jul 1995  to 30 Jun 1996|Resident 3 - Psychiatry
University of Ottawa, 01 Jul 1996  to 30 Jun 1997|Resident 4 - Psychiatry</t>
  </si>
  <si>
    <t>First certificate of registration issued: Postgraduate Education Certificate||Effective:   01 Jul 1993
Expired: Terms and conditions of certificate of registration||Expiry:      30 Jun 1997
Subsequent certificate of registration issued: Restricted certificate||Effective:   07 Nov 1997
Expired: Terms and conditions imposed on certificate by Registration Committee||Effective:   26 Oct 1998
Subsequent certificate of registration Issued: Independent Practice Certificate||Effective:   26 Oct 1998</t>
  </si>
  <si>
    <t>77136</t>
  </si>
  <si>
    <t xml:space="preserve">Active Member as of 01 Nov 2001 </t>
  </si>
  <si>
    <t xml:space="preserve">Independent Practice as of 21 Jan 2003 </t>
  </si>
  <si>
    <t>English, German, Romanian</t>
  </si>
  <si>
    <t>Institute Medicine, Pharmacy, Bucharest, 1992</t>
  </si>
  <si>
    <t>Oberbergklinik,Oberberg 1,Hornberg 78132,Germany</t>
  </si>
  <si>
    <t>+49(0)7833792 Ext. 233</t>
  </si>
  <si>
    <t>+(49)783379282</t>
  </si>
  <si>
    <t>Germany
USA - Massachusetts</t>
  </si>
  <si>
    <t>Psychiatry||Effective: 31 Oct 2002||RCPSC Specialist</t>
  </si>
  <si>
    <t>University of Toronto, 01 Nov 2001  to 31 Oct 2002|PostGrad Yr 5 - Psychiatry
University of Toronto, 01 Nov 2002  to 31 Oct 2003|Clinical Fellow - Psychiatry</t>
  </si>
  <si>
    <t>First certificate of registration issued: Postgraduate Education Certificate||Effective:   01 Nov 2001
Transfer of class of registration to: Independent Practice Certificate||Effective:   21 Jan 2003</t>
  </si>
  <si>
    <t>85670</t>
  </si>
  <si>
    <t xml:space="preserve">Active Member as of 04 May 2009 </t>
  </si>
  <si>
    <t xml:space="preserve">Independent Practice as of 04 May 2009 </t>
  </si>
  <si>
    <t>University of The East Philippines, 1991</t>
  </si>
  <si>
    <t>Health Sciences North,680 Kirkwood Drive,Sudbury ON  P3E 1X3</t>
  </si>
  <si>
    <t>(705) 675-5900 Ext. 8036</t>
  </si>
  <si>
    <t>(705) 671-3031</t>
  </si>
  <si>
    <t>USA - Ohio</t>
  </si>
  <si>
    <t>Health Sciences North:Sudbury</t>
  </si>
  <si>
    <t>Psychiatry||Effective: 16 Apr 2008||RCPSC Specialist
Child and Adolescent Psychiatry||Effective: 26 Sep 2013||RCPSC Specialist</t>
  </si>
  <si>
    <t>First certificate of registration issued: Restricted certificate||Effective:   05 Oct 2006
Terms and conditions imposed on certificate by Registration Committee||Effective:   05 Oct 2006
Expiry date attached to certificate of registration.||Expiry Date: 04 Oct 2009
Terms and conditions amended by Registration Committee||Effective:   20 Aug 2007
Expired: Terms and conditions imposed on certificate by Registration Committee||Effective:   04 May 2009
Subsequent certificate of registration Issued: Independent Practice Certificate||Effective:   04 May 2009</t>
  </si>
  <si>
    <t>Angelita Sanchez Medicine Professional Corporation</t>
  </si>
  <si>
    <t>Issued Date:  Jul 16 2008</t>
  </si>
  <si>
    <t>Dr. A. Sanchez (CPSO# 85670)</t>
  </si>
  <si>
    <t>Sudbury Regional Hospital,680 Kirkwood Drive,Sudbury ON  P3E 1X3,(705) 675-5900
41 Ramsey Lake Road,41 Ramsey Lake Road,Sudbury ON  P3E 5J1,(705) 522-2200</t>
  </si>
  <si>
    <t>90377</t>
  </si>
  <si>
    <t xml:space="preserve">Active Member as of 19 Jul 2011 </t>
  </si>
  <si>
    <t xml:space="preserve">Independent Practice as of 19 Jul 2011 </t>
  </si>
  <si>
    <t>McMaster University, 2005</t>
  </si>
  <si>
    <t>Waypoint Centre for Mental Health,Care,500 Church Street,Penetanguishene ON  L9M 1G3</t>
  </si>
  <si>
    <t>(705) 549-3181 Ext. 3037</t>
  </si>
  <si>
    <t>(705) 549-5265</t>
  </si>
  <si>
    <t>Waypoint Centre for Mental Health Care:Penetanguishene</t>
  </si>
  <si>
    <t>Psychiatry||Effective: 04 May 2011||RCPSC Specialist</t>
  </si>
  <si>
    <t>Northern Ontario School Of Medicine, 03 May 2009  to 30 Jun 2009|Elective Trainee - Psychiatry</t>
  </si>
  <si>
    <t>First certificate of registration issued: Postgraduate Education Certificate||Effective:   03 May 2009
Expired: Terms and conditions of certificate of registration||Expiry:      30 Jun 2009
Subsequent certificate of registration Issued: Independent Practice Certificate||Effective:   19 Jul 2011</t>
  </si>
  <si>
    <t>74155</t>
  </si>
  <si>
    <t xml:space="preserve">Active Member as of 19 Jul 1999 </t>
  </si>
  <si>
    <t xml:space="preserve">Independent Practice as of 19 Jul 1999 </t>
  </si>
  <si>
    <t>Mysore University, 1984</t>
  </si>
  <si>
    <t>Health Sciences North,Kirkwood Place,680 Kirkwood Drive,Sudbury ON  P3E 1X3</t>
  </si>
  <si>
    <t>(705) 675-5900 Ext. 8234</t>
  </si>
  <si>
    <t>Sudbury Jail,181 Elm Street,Sudbury,Sudbury ON  P3C 1T8,Canada,Phone:(705) 564-4150 Ext. 218,Fax:(705) 564-4343,County:Terr.District/Regional Municipality of Sudbury,Electoral District:08
Nadmadwin Clinic,16 Complex Drive,Wikwemikong,Wikwemikong ON  P0P 2J0,Canada,Phone:(705) 859-2330,Fax:(705) 859-2035,County:Territorial District of Manitoulin,Electoral District:08</t>
  </si>
  <si>
    <t>Psychiatry||Effective: 06 Jun 1997||RCPSC Specialist</t>
  </si>
  <si>
    <t>First certificate of registration issued: Independent Practice Certificate||Effective:   19 Jul 1999</t>
  </si>
  <si>
    <t>Anil Joseph Medicine Professional Corporation</t>
  </si>
  <si>
    <t>Issued Date:  Dec 06 2004</t>
  </si>
  <si>
    <t>Dr. A. Joseph (CPSO# 74155)</t>
  </si>
  <si>
    <t>Sudbury Algoma Hospital,680 Kirkwood Avenue,Sudbury ON  P3E 1X3,(705) 675-5900</t>
  </si>
  <si>
    <t>79188</t>
  </si>
  <si>
    <t xml:space="preserve">Active Member as of 25 Jun 2009 </t>
  </si>
  <si>
    <t xml:space="preserve">Independent Practice as of 25 Jun 2009 </t>
  </si>
  <si>
    <t>Queen's University, 2003</t>
  </si>
  <si>
    <t>Humber River Hospital,1235 Wilson St.,Toronto ON  M3M 0B2</t>
  </si>
  <si>
    <t>(416) 242-1000</t>
  </si>
  <si>
    <t>(416) 242-1025</t>
  </si>
  <si>
    <t>Humber River Hospital,Wilson Site:Toronto</t>
  </si>
  <si>
    <t>First certificate of registration issued: Postgraduate Education Certificate||Effective:   01 Jul 2003
Expired: Terms and conditions of certificate of registration||Expiry:      30 Jun 2008
Subsequent certificate of registration Issued: Independent Practice Certificate||Effective:   25 Jun 2009</t>
  </si>
  <si>
    <t>Rajani Adno Medicine Professional Corporation</t>
  </si>
  <si>
    <t>Inactive: May 27 2010</t>
  </si>
  <si>
    <t>26491</t>
  </si>
  <si>
    <t xml:space="preserve">Active Member as of 18 Jun 1974 </t>
  </si>
  <si>
    <t xml:space="preserve">Independent Practice as of 18 Jun 1974 </t>
  </si>
  <si>
    <t>Consent and Capacity Board,151 Bloor St. West,10th Floor,Toronto ON  M5S 2T5</t>
  </si>
  <si>
    <t>(416) 327-4142</t>
  </si>
  <si>
    <t>(416) 327-4207</t>
  </si>
  <si>
    <t>Psychiatry||Effective: 08 Jun 1982||RCPSC Specialist</t>
  </si>
  <si>
    <t>First certificate of registration issued: Postgraduate Education Certificate||Effective:   18 Jun 1973
Transfer of class of registration to: Independent Practice Certificate||Effective:   18 Jun 1974</t>
  </si>
  <si>
    <t>72675</t>
  </si>
  <si>
    <t xml:space="preserve">Active Member as of 07 Oct 2003 </t>
  </si>
  <si>
    <t xml:space="preserve">Independent Practice as of 16 Sep 2004 </t>
  </si>
  <si>
    <t>Dalhousie University, 1998</t>
  </si>
  <si>
    <t>Suite 304,790 Bay Street,Toronto ON  M5G 1N8</t>
  </si>
  <si>
    <t>(416) 801-1004</t>
  </si>
  <si>
    <t>(416) 977-0974</t>
  </si>
  <si>
    <t>Psychiatry||Effective: 04 Jun 2004||RCPSC Specialist</t>
  </si>
  <si>
    <t>Queen's University, 01 Jul 1998  to 30 Jun 1999|PostGrad Yr 1 - Psychiatry
Queen's University, 01 Jul 1999  to 30 Jun 2000|PostGrad Yr 2 - Psychiatry
Queen's University, 01 Jul 2000  to 30 Jun 2001|PostGrad Yr 3 - Psychiatry
Queen's University, 01 Jul 2001  to 30 Jun 2002|PostGrad Yr 4 - Psychiatry
Queen's University, 01 Jul 2002  to 30 Jun 2003|PostGrad Yr 5 - Psychiatry
University of Toronto, 01 Aug 2003  to 30 Jun 2004|Clinical Fellow - Psychiatry
University of Toronto, 01 Jul 2004  to 30 Jun 2005|Clinical Fellow - Psychiatry</t>
  </si>
  <si>
    <t>First certificate of registration issued: Postgraduate Education Certificate||Effective:   01 Jul 1998
Expired: Terms and conditions of certificate of registration||Expiry:      30 Jun 2003
Subsequent certificate of registration Issued: Postgraduate Education Certificate||Effective:   07 Oct 2003
Transfer of class of registration to: Independent Practice Certificate||Effective:   16 Sep 2004</t>
  </si>
  <si>
    <t>A. Vohra Medicine Professional Corporation</t>
  </si>
  <si>
    <t>Issued Date:  May 27 2011</t>
  </si>
  <si>
    <t>Dr. A. Vohra (CPSO# 72675)</t>
  </si>
  <si>
    <t>Suite 304,790 Bay Street,Toronto ON  M5G 1N8,(416) 801-1004</t>
  </si>
  <si>
    <t>89748</t>
  </si>
  <si>
    <t xml:space="preserve">Active Member as of 01 Sep 2008 </t>
  </si>
  <si>
    <t>Santosh Medical College, 2005</t>
  </si>
  <si>
    <t>Cambridge memorial Hospital,700 Coronation Blvd.,Cambridge ON  N1R3G2</t>
  </si>
  <si>
    <t>(519) 6212330 Ext. 5218</t>
  </si>
  <si>
    <t>Cambridge Memorial Hospital:Cambridge
Grand River Hospital Corporation,Kitchener Waterloo Site:Kitchener</t>
  </si>
  <si>
    <t>McMaster University, 01 Sep 2008  to 24 Nov 2008|Assessment Verification Period - Family Medicine
McMaster University, 25 Nov 2008  to 30 Jun 2009|PostGrad Yr 1 - Family Medicine
McMaster University, 01 Jul 2009  to 31 Aug 2009|PostGrad Yr 1 - Psychiatry
McMaster University, 01 Sep 2009  to 31 Aug 2010|PostGrad Yr 2 - Psychiatry
McMaster University, 01 Sep 2010  to 31 Aug 2011|PostGrad Yr 3 - Psychiatry
McMaster University, 01 Sep 2011  to 31 Aug 2012|PostGrad Yr 4 - Psychiatry
McMaster University, 01 Sep 2012  to 30 Jun 2013|PostGrad Yr 4 - Psychiatry
McMaster University, 01 Jul 2013  to 30 Jun 2014|PostGrad Yr 5 - Psychiatry</t>
  </si>
  <si>
    <t>First certificate of registration issued: Pre Entry Assessment Program Certificate||Effective:   01 Sep 2008
Transfer of class of registration to: Postgraduate Education Certificate||Effective:   25 Nov 2008
Transfer of class of registration to: Independent Practice Certificate||Effective:   30 Jun 2014</t>
  </si>
  <si>
    <t>Dr. Anjali Sharma Medicine Professional Corporation</t>
  </si>
  <si>
    <t>Issued Date:  Aug 04 2015</t>
  </si>
  <si>
    <t>Dr. A. Sharma (CPSO# 89748)</t>
  </si>
  <si>
    <t>150 Delhi Street,Guelph ON  N1E 4J4
Cambridge Memorial Hospital,Cambridge Memorial Hospital,700 Coronation Boulevard,Cambridge ON  N1R 3G2,(519) 740-4900</t>
  </si>
  <si>
    <t>84905</t>
  </si>
  <si>
    <t xml:space="preserve">Active Member as of 05 Jan 2007 </t>
  </si>
  <si>
    <t xml:space="preserve">Independent Practice as of 05 Jan 2007 </t>
  </si>
  <si>
    <t>Karnatak University Dharwar, 1998</t>
  </si>
  <si>
    <t>Orillia Soldier's Memorial Hospital,170 Colborne Street West,Orillia ON  L3V 2Z3</t>
  </si>
  <si>
    <t>(705) 325-2201 Ext. 6415</t>
  </si>
  <si>
    <t>Waypoint Centre for Mental Health C,500 Church street,Penetanguishene ON  L9M 1G3,Canada,Phone:1-877-341-4729,County:County of Simcoe,Electoral District:05</t>
  </si>
  <si>
    <t>Psychiatry||Effective: 31 Dec 2006||RCPSC Specialist</t>
  </si>
  <si>
    <t>University of Toronto, 04 Jul 2006  to 16 Oct 2006|Elective Trainee - Psychiatry
University of Toronto, 18 Oct 2006  to 31 Dec 2006|Elective Trainee - Psychiatry</t>
  </si>
  <si>
    <t>First certificate of registration issued: Postgraduate Education Certificate||Effective:   04 Jul 2006
Expired: Terms and conditions of certificate of registration||Expiry:      16 Oct 2006
Subsequent certificate of registration Issued: Postgraduate Education Certificate||Effective:   18 Oct 2006
Expired: Terms and conditions of certificate of registration||Expiry:      31 Dec 2006
Subsequent certificate of registration Issued: Independent Practice Certificate||Effective:   05 Jan 2007</t>
  </si>
  <si>
    <t>Anjana Chawla Medicine Professional Corporation</t>
  </si>
  <si>
    <t>Issued Date:  Jul 22 2008</t>
  </si>
  <si>
    <t>Dr. A. Chawla (CPSO# 84905)</t>
  </si>
  <si>
    <t>Orillia Soldier's Memorial Hospital,170 Colborne Street West,Orillia ON  L3V 2Z3,(705) 325-2201
Waypoint Center For Mental Health,Waypoint Center For Mental Health,Health Care,500 Church Street,Penetanguishene ON  L9M 1G3,(705) 549-3181</t>
  </si>
  <si>
    <t>58161</t>
  </si>
  <si>
    <t xml:space="preserve">Independent Practice as of 15 Aug 1988 </t>
  </si>
  <si>
    <t>Hinsberger, Ann Deborah (used until: 28 Feb 2002 )</t>
  </si>
  <si>
    <t>The University of Western Ontario, 1987</t>
  </si>
  <si>
    <t>Waypoint Centre for M H C,500 Church Street,Penetanguishene ON  L9M 1G3</t>
  </si>
  <si>
    <t>(705) 549-3181</t>
  </si>
  <si>
    <t>Psychiatry||Effective: 29 May 1992||RCPSC Specialist</t>
  </si>
  <si>
    <t>The University of Western Ontario, 15 Jun 1987  to 14 Jun 1988|Other - Rotating Internship
The University of Western Ontario, 01 Jul 1988  to 30 Jun 1989|Resident 1 - Psychiatry
The University of Western Ontario, 01 Jul 1989  to 30 Jun 1990|Resident 2 - Psychiatry
The University of Western Ontario, 01 Jul 1990  to 30 Jun 1991|Resident 3 - Psychiatry
The University of Western Ontario, 01 Jul 1991  to 30 Jun 1992|Resident 4 - Psychiatry</t>
  </si>
  <si>
    <t>First certificate of registration issued: Postgraduate Education Certificate||Effective:   15 Jun 1987
Transfer of class of registration to: Independent Practice Certificate||Effective:   15 Aug 1988</t>
  </si>
  <si>
    <t>Ann Jones Medicine Professional Corporation</t>
  </si>
  <si>
    <t>Issued Date:  May 25 2016</t>
  </si>
  <si>
    <t>Dr. A. Jones (CPSO# 58161)</t>
  </si>
  <si>
    <t>Waypoint Centre for M H C,500 Church Street,Penetanguishene ON  L9M 1G3,(705) 549-3181</t>
  </si>
  <si>
    <t>64957</t>
  </si>
  <si>
    <t>Lubojanska, Anna Ewa (used until: 15 Jun 1993 )</t>
  </si>
  <si>
    <t>The University of Western Ontario, 1992</t>
  </si>
  <si>
    <t>Sault Area Hospital,750 Great Northern Road,Sault Ste Marie ON  P6B 0A8</t>
  </si>
  <si>
    <t>(705) 759-3434 Ext. 4615</t>
  </si>
  <si>
    <t>7052563494</t>
  </si>
  <si>
    <t>Sault Area Hospital:Sault Ste Marie</t>
  </si>
  <si>
    <t>University of Toronto, 01 Jul 2001  to 30 Jun 2002|PostGrad Yr 2 - Psychiatry
University of Toronto, 01 Jul 2002  to 30 Jun 2003|PostGrad Yr 3 - Psychiatry
University of Toronto, 01 Jul 2003  to 30 Jun 2004|PostGrad Yr 4 - Psychiatry
University of Toronto, 01 Jul 2004  to 30 Jun 2005|PostGrad Yr 5 - Psychiatry</t>
  </si>
  <si>
    <t>Rogers Medicine Professional Corporation</t>
  </si>
  <si>
    <t>Issued Date:  Nov 26 2013</t>
  </si>
  <si>
    <t>Dr. A. Rogers (CPSO# 64957)</t>
  </si>
  <si>
    <t>Sault Area Hospital,750 Great Northern Road,Sault Ste Marie ON  P6B 0A8,(705) 759-3434</t>
  </si>
  <si>
    <t>71405</t>
  </si>
  <si>
    <t xml:space="preserve">Active Member as of 07 Jan 2003 </t>
  </si>
  <si>
    <t xml:space="preserve">Independent Practice as of 07 Jan 2003 </t>
  </si>
  <si>
    <t>University of Toronto, 1997</t>
  </si>
  <si>
    <t>University Health Network,Toronto General Hospital,Department of Psychiatry 8 Easton N,200 Elizabeth Street,Toronto ON  M5G 2C4</t>
  </si>
  <si>
    <t>(416) 340-4305</t>
  </si>
  <si>
    <t>University Health Network,Toronto General Hospital Site:Toronto
University Health Network,Toronto Western Hospital Site:Toronto</t>
  </si>
  <si>
    <t>Psychiatry||Effective: 31 Dec 2002||RCPSC Specialist</t>
  </si>
  <si>
    <t>University of Toronto, 01 Jul 1997  to 30 Jun 1998|PostGrad Yr 1 - Psychiatry
University of Toronto, 01 Jul 1998  to 30 Jun 1999|PostGrad Yr 2 - Psychiatry
University of Toronto, 01 Jul 1999  to 30 Jun 2000|PostGrad Yr 3 - Psychiatry
University of Toronto, 01 Jul 2000  to 30 Jun 2001|PostGrad Yr 4 - Psychiatry
University of Toronto, 01 Jul 2001  to 30 Jun 2002|PostGrad Yr 4 - Psychiatry
University of Toronto, 01 Jul 2002  to 31 Dec 2002|PostGrad Yr 5 - Psychiatry</t>
  </si>
  <si>
    <t>First certificate of registration issued: Postgraduate Education Certificate||Effective:   01 Jul 1997
Expired: Terms and conditions of certificate of registration||Expiry:      31 Dec 2002
Subsequent certificate of registration Issued: Independent Practice Certificate||Effective:   07 Jan 2003</t>
  </si>
  <si>
    <t>51488</t>
  </si>
  <si>
    <t xml:space="preserve">Active Member as of 29 Nov 1985 </t>
  </si>
  <si>
    <t xml:space="preserve">Independent Practice as of 29 Nov 1985 </t>
  </si>
  <si>
    <t>McMaster University, 1982</t>
  </si>
  <si>
    <t>9 Edgar Avenue,Toronto ON  M4W 2B1</t>
  </si>
  <si>
    <t>647-888-2113</t>
  </si>
  <si>
    <t>Psychiatry||Effective: 16 Nov 1987||RCPSC Specialist</t>
  </si>
  <si>
    <t>First certificate of registration issued: Postgraduate Education Certificate||Effective:   01 Jul 1982
Expired: Terms and conditions of certificate of registration||Expiry:      30 Jun 1983
Subsequent certificate of registration Issued: Independent Practice Certificate||Effective:   29 Nov 1985</t>
  </si>
  <si>
    <t>Reisman Medicine Professional Corporation</t>
  </si>
  <si>
    <t>Issued Date:  Dec 16 2010</t>
  </si>
  <si>
    <t>Dr. P. Kalman (CPSO# 30729),Dr. A. Reisman (CPSO# 51488)</t>
  </si>
  <si>
    <t>9 Edgar Avenue,Toronto ON  M4W 2B1,(416) 323-9089</t>
  </si>
  <si>
    <t>58555</t>
  </si>
  <si>
    <t xml:space="preserve">Active Member as of 11 Oct 1988 </t>
  </si>
  <si>
    <t xml:space="preserve">Independent Practice as of 11 Oct 1988 </t>
  </si>
  <si>
    <t>P.O. Box 1052,Waterdown,Hamilton ON  L0R 2H0</t>
  </si>
  <si>
    <t>(905) 7953500</t>
  </si>
  <si>
    <t>Psychiatry||Effective: 15 Aug 1995||RCPSC Specialist</t>
  </si>
  <si>
    <t>First certificate of registration issued: Postgraduate Education Certificate||Effective:   01 Jul 1987
Expired: Terms and conditions of certificate of registration||Expiry:      30 Jun 1988
Subsequent certificate of registration Issued: Independent Practice Certificate||Effective:   11 Oct 1988</t>
  </si>
  <si>
    <t>101594</t>
  </si>
  <si>
    <t xml:space="preserve">Active Member as of 16 Aug 2018 </t>
  </si>
  <si>
    <t xml:space="preserve">Independent Practice as of 16 Aug 2018 </t>
  </si>
  <si>
    <t>University of Ottawa, 2013</t>
  </si>
  <si>
    <t>UHN Toronto Western Hospital,Department of Psychiatry,399 Bathurst St,Toronto ON  M5T 2S6</t>
  </si>
  <si>
    <t>University of Ottawa, 01 Jul 2013  to 30 Jun 2014|PostGrad Yr 1 - Psychiatry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t>
  </si>
  <si>
    <t>First certificate of registration issued: Postgraduate Education Certificate||Effective:   01 Jul 2013
Expired: Terms and conditions of certificate of registration||Expiry:      30 Jun 2018
Subsequent certificate of registration Issued: Independent Practice Certificate||Effective:   16 Aug 2018</t>
  </si>
  <si>
    <t>90734</t>
  </si>
  <si>
    <t xml:space="preserve">Active Member as of 19 Jun 2015 </t>
  </si>
  <si>
    <t xml:space="preserve">Independent Practice as of 19 Jun 2015 </t>
  </si>
  <si>
    <t>University of Calgary, 2009</t>
  </si>
  <si>
    <t>502-245 Fairview Mall Dr.,Toronto ON  M2J 4T1</t>
  </si>
  <si>
    <t>(647) 648-6095</t>
  </si>
  <si>
    <t>Seneca College Health Centre,1750 Finch Ave East,Toronto ON  M2J 2X5,Canada,Phone:416-491-5050 Ext. 22965,County:City of Toronto,Electoral District:10
265 Yorkland Blvd,Unit 403,Toronto ON  M2J 5C7,Canada,Phone:416-229-2399,Fax:416-229-9771,County:City of Toronto,Electoral District:10</t>
  </si>
  <si>
    <t>Psychiatry||Effective: 19 May 2015||RCPSC Specialist</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</si>
  <si>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19 May 2014|PostGrad Yr 4 - Psychiatry
University of Toronto, 20 May 2014  to 30 Jun 2014|PostGrad Yr 5 - Psychiatry
University of Toronto, 01 Jul 2014  to 19 May 2015|PostGrad Yr 5 - Psychiatry</t>
  </si>
  <si>
    <t>First certificate of registration issued: Postgraduate Education Certificate||Effective:   01 Jul 2009
Expired: Terms and conditions of certificate of registration||Expiry:      15 Sep 2014
Subsequent certificate of registration issued: Restricted certificate||Effective:   15 Sep 2014
Expired: Terms and conditions imposed on certificate by Registration Committee||Effective:   19 May 2015
Subsequent certificate of registration Issued: Independent Practice Certificate||Effective:   19 Jun 2015</t>
  </si>
  <si>
    <t>65138</t>
  </si>
  <si>
    <t xml:space="preserve">Active Member as of 01 Jul 1992 </t>
  </si>
  <si>
    <t xml:space="preserve">Independent Practice as of 26 Oct 1992 </t>
  </si>
  <si>
    <t>University of Calgary, 1991</t>
  </si>
  <si>
    <t>Student Wellness Services,146 Stuart Street,LaSalle Building,Kingston, Ontario,Kingston ON  K7L 3N6</t>
  </si>
  <si>
    <t>613-533-2508</t>
  </si>
  <si>
    <t>Mood Disorders Centre of Ottawa,University of Ottawa Health Service,1 Nicholas Street Suite 302,Ottawa ON  K1N 7B7,Canada,Phone:(613) 526-3091,Fax:(613) 526-3092,County:Regional Municipality of Ottawa-Carleton,Electoral District:07</t>
  </si>
  <si>
    <t>Kingston Health Sciences Centre:Kingston</t>
  </si>
  <si>
    <t>University of Ottawa, 01 Jul 1995  to 30 Jun 1996|Clinical Fellow - Psychiatry
University of Ottawa, 01 Jul 1996  to 30 Jun 1997|Clinical Fellow - Psychiatry</t>
  </si>
  <si>
    <t>First certificate of registration issued: Postgraduate Education Certificate||Effective:   01 Jul 1992
Transfer of class of registration to: Independent Practice Certificate||Effective:   26 Oct 1992</t>
  </si>
  <si>
    <t>50707</t>
  </si>
  <si>
    <t xml:space="preserve">Active Member as of 22 Jul 1980 </t>
  </si>
  <si>
    <t xml:space="preserve">Independent Practice as of 10 Jul 1984 </t>
  </si>
  <si>
    <t>University of Dublin, 1979</t>
  </si>
  <si>
    <t>The Geriatric Psychiatry Program,Outpatient Department,Royal Ottawa Mental Health Centre,1145 Carling Aveenue,Ottawa ON  K1Z 7K4</t>
  </si>
  <si>
    <t>33 Somerset St West,Ottawa ON  K2P 0H3,Canada,Phone:(613) 569-0867,County:Regional Municipality of Ottawa-Carleton,Electoral District:07</t>
  </si>
  <si>
    <t>Bruyere Continuing Care-Elisabeth Bruyere Site:Ottawa
Royal Ottawa Health Care Group:Ottawa</t>
  </si>
  <si>
    <t>Psychiatry||Effective: 05 Jun 1984||RCPSC Specialist</t>
  </si>
  <si>
    <t>First certificate of registration issued: Postgraduate Education Certificate||Effective:   22 Jul 1980
Transfer of class of registration to: Independent Practice Certificate||Effective:   10 Jul 1984</t>
  </si>
  <si>
    <t>A.D.M. Hennessy Medicine Professional Corporation</t>
  </si>
  <si>
    <t>Issued Date:  Sep 02 2014</t>
  </si>
  <si>
    <t>Dr. A. Hennessy (CPSO# 50707)</t>
  </si>
  <si>
    <t>33 Somerset Street West,Ottawa ON  K2P 0H3
The Geriatric Psychiatry Program,The Geriatric Psychiatry Program,Outpatient Department,Royal Ottawa Mental Health Centre,1145 Carling Avenue,Ottawa ON  K1Z 7K4,(613) 722-6521</t>
  </si>
  <si>
    <t>67000</t>
  </si>
  <si>
    <t xml:space="preserve">Active Member as of 02 Jul 1998 </t>
  </si>
  <si>
    <t xml:space="preserve">Independent Practice as of 02 Jul 1998 </t>
  </si>
  <si>
    <t>University of Ottawa, 1993</t>
  </si>
  <si>
    <t>Waypoint Center for Mental Health,500 Church Street,Penetanguishene ON  L9M 1G3</t>
  </si>
  <si>
    <t>(705) 526-0567</t>
  </si>
  <si>
    <t>(705) 526-2462</t>
  </si>
  <si>
    <t>University of Toronto, 01 Jul 1993  to 30 Jun 1994|PostGrad Yr 1 - Psychiatry
University of Toronto, 01 Jul 1994  to 30 Jun 1995|Resident 1 - Psychiatry
University of Toronto, 01 Jul 1995  to 30 Jun 1996|Resident 2 - Psychiatry
University of Toronto, 01 Jul 1996  to 30 Jun 1997|Resident 3 - Psychiatry
University of Toronto, 01 Jul 1997  to 30 Jun 1998|Resident 4 - Psychiatry</t>
  </si>
  <si>
    <t>First certificate of registration issued: Postgraduate Education Certificate||Effective:   01 Jul 1993
Expired: Terms and conditions of certificate of registration||Expiry:      30 Jun 1998
Subsequent certificate of registration Issued: Independent Practice Certificate||Effective:   02 Jul 1998</t>
  </si>
  <si>
    <t>60209</t>
  </si>
  <si>
    <t xml:space="preserve">Active Member as of 04 Aug 1988 </t>
  </si>
  <si>
    <t xml:space="preserve">Independent Practice as of 04 Aug 1988 </t>
  </si>
  <si>
    <t>University of Montreal, 1981</t>
  </si>
  <si>
    <t>31 C F H S C,C F B Borden,P O Box 1000 Station Main,Borden ON  L0M 1C0</t>
  </si>
  <si>
    <t>(705) 424-1200 Ext. 7869</t>
  </si>
  <si>
    <t>(705) 423-7503</t>
  </si>
  <si>
    <t>7 Lovers Court,Barrie ON  L4N 7S4,Canada,Phone:(705) 727-6463,Fax:(705) 721-6463,County:County of Simcoe,Electoral District:05</t>
  </si>
  <si>
    <t>Psychiatry||Effective: 03 Jun 1985||RCPSC Specialist</t>
  </si>
  <si>
    <t>First certificate of registration issued: Independent Practice Certificate||Effective:   04 Aug 1988</t>
  </si>
  <si>
    <t>Anne Labonte Medicine Professional Corporation</t>
  </si>
  <si>
    <t>Issued Date:  Feb 14 2011</t>
  </si>
  <si>
    <t>Dr. A. Labonte (CPSO# 60209)</t>
  </si>
  <si>
    <t>31 C F H S C,C F B Borden,P O Box 1000 Station Main,Borden ON  L0M 1C0,(705) 424-1200
7 Lovers Court,7 Lovers Court,Barrie ON  L4N 7S4,(705) 727-6463</t>
  </si>
  <si>
    <t>62404</t>
  </si>
  <si>
    <t xml:space="preserve">Active Member as of 11 Jun 1990 </t>
  </si>
  <si>
    <t xml:space="preserve">Independent Practice as of 12 Jul 1991 </t>
  </si>
  <si>
    <t>McMaster University, 1990</t>
  </si>
  <si>
    <t>CMHA, EM ACT TEAM, Suite 500,1200 Markham Road,Toronto ON  M1H 3C3</t>
  </si>
  <si>
    <t>(416) 759-7957 Ext. 3209</t>
  </si>
  <si>
    <t>(416) 289-6843</t>
  </si>
  <si>
    <t>8th Floor, NYGH,4001 Leslie Street,Toronto Ontario,M4G 1Z8,Toronto ON  M2K 1E1,Canada,Phone:(416) 756-6320,Fax:(416) 756-3144,County:City of Toronto,Electoral District:10</t>
  </si>
  <si>
    <t>Psychiatry||Effective: 15 Nov 1996||RCPSC Specialist</t>
  </si>
  <si>
    <t>University of Toronto, 01 Jul 1995  to 30 Jun 1996|Resident 4 - Psychiatry
University of Toronto, 01 Jul 1996  to 15 Nov 1996|Resident 4 - Psychiatry</t>
  </si>
  <si>
    <t>First certificate of registration issued: Postgraduate Education Certificate||Effective:   11 Jun 1990
Transfer of class of registration to: Independent Practice Certificate||Effective:   12 Jul 1991</t>
  </si>
  <si>
    <t>Dr. Anne Ferguson Medicine Professional Corporation</t>
  </si>
  <si>
    <t>Issued Date:  May 14 2010</t>
  </si>
  <si>
    <t>Dr. A. Ferguson (CPSO# 62404)</t>
  </si>
  <si>
    <t>North York General Hospital,4001 Leslie Street,8th Floor,North York ON  M2K 1E1,(416) 756-6320
C M H A East Metro Act Team,C M H A East Metro Act Team,Suite 500,1200 Markham Road,Toronto ON  M1H 3C3,(416) 789-7957</t>
  </si>
  <si>
    <t>31424</t>
  </si>
  <si>
    <t xml:space="preserve">Active Member as of 21 Apr 1980 </t>
  </si>
  <si>
    <t xml:space="preserve">Independent Practice as of 21 Apr 1980 </t>
  </si>
  <si>
    <t>442 Markham Street,Toronto ON  M6G 2L2</t>
  </si>
  <si>
    <t>(416) 538-3891</t>
  </si>
  <si>
    <t>(416) 538-0022</t>
  </si>
  <si>
    <t>First certificate of registration issued: Independent Practice Certificate||Effective:   21 Apr 1980</t>
  </si>
  <si>
    <t>Dr. Anne Shepherd Medicine Professional Corporation</t>
  </si>
  <si>
    <t>Dr. A. Shepherd (CPSO# 31424)</t>
  </si>
  <si>
    <t>442 Markham Street,Toronto ON  M6G 2L2,(416) 538-3891</t>
  </si>
  <si>
    <t>58618</t>
  </si>
  <si>
    <t xml:space="preserve">Active Member as of 14 Aug 2008 </t>
  </si>
  <si>
    <t xml:space="preserve">Independent Practice as of 14 Aug 2008 </t>
  </si>
  <si>
    <t>McMaster University, 1987</t>
  </si>
  <si>
    <t>Suite 700,1235 Bay Street,Toronto ON  M4W 3R1</t>
  </si>
  <si>
    <t>(416) 762-3939</t>
  </si>
  <si>
    <t>Psychiatry||Effective: 28 May 1992||RCPSC Specialist</t>
  </si>
  <si>
    <t>McMaster University, 01 Jul 1978  to 30 Jun 1988|Other - Internal Medicine
McMaster University, 01 Jul 1988  to 30 Jun 1989|Resident 1 - Psychiatry
McMaster University, 01 Jul 1989  to 30 Jun 1990|Resident 2 - Psychiatry
McMaster University, 01 Jul 1990  to 30 Jun 1991|Resident 3 - Psychiatry
McMaster University, 01 Jul 1991  to 31 Dec 1991|Resident 4 - Psychiatry</t>
  </si>
  <si>
    <t>First certificate of registration issued: Postgraduate Education Certificate||Effective:   01 Jul 1987
Transfer of class of registration to: Independent Practice Certificate||Effective:   22 Jun 1989
Expired: Failure to Renew Membership||Expiry:      11 Aug 2006
Subsequent certificate of registration Issued: Independent Practice Certificate||Effective:   15 Aug 2006
Expired: Failure to Renew Membership||Expiry:      09 Aug 2008
Subsequent certificate of registration Issued: Independent Practice Certificate||Effective:   14 Aug 2008</t>
  </si>
  <si>
    <t>27589</t>
  </si>
  <si>
    <t xml:space="preserve">Active Member as of 17 Jul 1975 </t>
  </si>
  <si>
    <t xml:space="preserve">Independent Practice as of 17 Jul 1975 </t>
  </si>
  <si>
    <t>University of Ottawa, 1974</t>
  </si>
  <si>
    <t>40 Matheson Blvd West,Mississauga ON  L5R 1C5</t>
  </si>
  <si>
    <t>905-890-0708 Ext. 20355</t>
  </si>
  <si>
    <t>Psychiatry||Effective: 19 Nov 1979||RCPSC Specialist
Child and Adolescent Psychiatry||Effective: 26 Sep 2013||RCPSC Specialist</t>
  </si>
  <si>
    <t>First certificate of registration issued: Postgraduate Education Certificate||Effective:   15 Jun 1974
Transfer of class of registration to: Independent Practice Certificate||Effective:   17 Jul 1975</t>
  </si>
  <si>
    <t>D'Iorio Medicine Professional Corporation</t>
  </si>
  <si>
    <t>Issued Date:  Aug 27 2007</t>
  </si>
  <si>
    <t>Dr. A. D'Iorio (CPSO# 27589)</t>
  </si>
  <si>
    <t>40 Matheson Boulevard West,Mississauga ON  L5R 1C5,(905) 890-0708</t>
  </si>
  <si>
    <t>52733</t>
  </si>
  <si>
    <t xml:space="preserve">Active Member as of 01 Jul 1983 </t>
  </si>
  <si>
    <t xml:space="preserve">Independent Practice as of 17 Oct 1985 </t>
  </si>
  <si>
    <t>English, Lithuanian</t>
  </si>
  <si>
    <t>McMaster University, 1983</t>
  </si>
  <si>
    <t>Community Mental Health,459 Hume Street,Collingwood ON  L9Y 1W9</t>
  </si>
  <si>
    <t>(705) 444-6600</t>
  </si>
  <si>
    <t>(705) 444-5131</t>
  </si>
  <si>
    <t>USA - Michigan
USA - Ohio</t>
  </si>
  <si>
    <t>Collingwood General and Marine Hospital:Collingwood</t>
  </si>
  <si>
    <t>First certificate of registration issued: Postgraduate Education Certificate||Effective:   01 Jul 1983
Transfer of class of registration to: Independent Practice Certificate||Effective:   17 Oct 1985</t>
  </si>
  <si>
    <t>51112</t>
  </si>
  <si>
    <t xml:space="preserve">Active Member as of 26 Jul 1985 </t>
  </si>
  <si>
    <t xml:space="preserve">Independent Practice as of 26 Jul 1985 </t>
  </si>
  <si>
    <t>La Forte-Clarke, Anne Rosemary (used until: 06 Sep 1983 )</t>
  </si>
  <si>
    <t>University of the West Indies, 1980</t>
  </si>
  <si>
    <t>Suite B,373 Vidal Street South,Sarnia ON  N7T 2V3</t>
  </si>
  <si>
    <t>(519) 332-1117</t>
  </si>
  <si>
    <t>(519) 332-1119</t>
  </si>
  <si>
    <t>USA - Pennsylvania</t>
  </si>
  <si>
    <t>First certificate of registration issued: Postgraduate Education Certificate||Effective:   01 Jul 1981
Expired: Terms and conditions of certificate of registration||Expiry:      30 Jun 1985
Subsequent certificate of registration Issued: Independent Practice Certificate||Effective:   26 Jul 1985</t>
  </si>
  <si>
    <t>La Forte Medicine Professional Corporation</t>
  </si>
  <si>
    <t>Issued Date:  Feb 13 2009</t>
  </si>
  <si>
    <t>Dr. A. Laforte (CPSO# 51112)</t>
  </si>
  <si>
    <t>440 Lydia Street,Sarnia ON  N7T 6P6
Suite B,Suite B,373 Vidal Street South,Sarnia ON  N7T 2V3,(519) 332-1117</t>
  </si>
  <si>
    <t>50120</t>
  </si>
  <si>
    <t xml:space="preserve">Active Member as of 17 Jul 1987 </t>
  </si>
  <si>
    <t xml:space="preserve">Independent Practice as of 17 Jul 1987 </t>
  </si>
  <si>
    <t>The University of British Columbia, 1982</t>
  </si>
  <si>
    <t>Clinical Genetics Research Program,Centre for Addiction,and Mental Health,33 Russell Street,Toronto ON  M5S 2S1</t>
  </si>
  <si>
    <t>(416) 535-8501 Ext. 32731</t>
  </si>
  <si>
    <t>(416) 535-7199</t>
  </si>
  <si>
    <t>Toronto General Hospital,200 Elizabeth Street,8NU - Room 802,Toronto ON  M5G 2C4,Canada,Phone:(416) 340-5145,Fax:(416) 340-5004,County:City of Toronto,Electoral District:10</t>
  </si>
  <si>
    <t>New Brunswick
Prince Edward Island</t>
  </si>
  <si>
    <t>Centre for Addiction &amp; Mental Health,- Russell Street Site:Toronto
University Health Network,Toronto General Hospital Site:Toronto</t>
  </si>
  <si>
    <t>First certificate of registration issued: Postgraduate Education Certificate||Effective:   14 Jun 1982
Expired: Terms and conditions of certificate of registration||Expiry:      13 Jun 1983
Subsequent certificate of registration Issued: Independent Practice Certificate||Effective:   17 Jul 1987</t>
  </si>
  <si>
    <t>67388</t>
  </si>
  <si>
    <t xml:space="preserve">Active Member as of 13 Aug 1993 </t>
  </si>
  <si>
    <t xml:space="preserve">Independent Practice as of 13 Aug 1993 </t>
  </si>
  <si>
    <t>University of Toronto, 1991</t>
  </si>
  <si>
    <t>University of Ottawa Hlth Services,Suite 302,1 Nicholas Street,Ottawa ON  K1N 6N5</t>
  </si>
  <si>
    <t>(613) 564-3950 Ext. 2</t>
  </si>
  <si>
    <t>(613) 564-6627</t>
  </si>
  <si>
    <t>Psychiatry||Effective: 30 Jun 1997||RCPSC Specialist</t>
  </si>
  <si>
    <t>First certificate of registration issued: Independent Practice Certificate||Effective:   13 Aug 1993</t>
  </si>
  <si>
    <t>110485</t>
  </si>
  <si>
    <t xml:space="preserve">Active Member as of 07 Jul 2016 </t>
  </si>
  <si>
    <t xml:space="preserve">Independent Practice as of 07 Jul 2016 </t>
  </si>
  <si>
    <t>English, French, Spanish</t>
  </si>
  <si>
    <t>University of Montreal, 2011</t>
  </si>
  <si>
    <t>University of Toronto, 18 Jul 2016  to 30 Jun 2017|Clinical Fellow - Psychiatry
University of Toronto, 01 Jul 2017  to 17 Jul 2017|Clinical Fellow - Psychiatry</t>
  </si>
  <si>
    <t>First certificate of registration issued: Independent Practice Certificate||Effective:   07 Jul 2016</t>
  </si>
  <si>
    <t>87702</t>
  </si>
  <si>
    <t xml:space="preserve">Active Member as of 12 Sep 2008 </t>
  </si>
  <si>
    <t xml:space="preserve">Independent Practice as of 12 Sep 2008 </t>
  </si>
  <si>
    <t>Iran Univ.of Med Sciences &amp; Hlth Service, 1986</t>
  </si>
  <si>
    <t>Peterborough Regional Health Centre,Department of Psychiatry,1 Hospital Drive,Peterborough ON  K9J 7C6</t>
  </si>
  <si>
    <t>(705) 876-5028</t>
  </si>
  <si>
    <t>(705) 876-5013</t>
  </si>
  <si>
    <t>USA - Pennsylvania
USA - West Virginia</t>
  </si>
  <si>
    <t>Peterborough Regional Health Centre:Peterborough</t>
  </si>
  <si>
    <t>Psychiatry||Effective: 14 Apr 2008||RCPSC Specialist
Geriatric Psychiatry||Effective: 21 Sep 2015||RCPSC Specialist</t>
  </si>
  <si>
    <t>First certificate of registration issued: Restricted certificate||Effective:   12 Sep 2007
Terms and conditions imposed on certificate by Registration Committee||Effective:   12 Sep 2007
Expiry date attached to certificate of registration.||Expiry Date: 05 Sep 2010
Expired: Terms and conditions imposed on certificate by Registration Committee||Effective:   12 Sep 2008
Subsequent certificate of registration Issued: Independent Practice Certificate||Effective:   12 Sep 2008</t>
  </si>
  <si>
    <t>A. Adel Medicine Professional Corporation</t>
  </si>
  <si>
    <t>Issued Date:  Jul 03 2009</t>
  </si>
  <si>
    <t>Dr. A. Adel (CPSO# 87702)</t>
  </si>
  <si>
    <t>Peterborough Regional Health Centre,Department of Psychiatry,1 Hospital Drive,Peterborough ON  K9J 7C6,(705) 876-5028</t>
  </si>
  <si>
    <t>113533</t>
  </si>
  <si>
    <t xml:space="preserve">Active Member as of 01 Aug 2017 </t>
  </si>
  <si>
    <t xml:space="preserve">Restricted as of 01 Aug 2017 </t>
  </si>
  <si>
    <t>Dr. N.T.R University of Health Sciences, 2002</t>
  </si>
  <si>
    <t>Maryvale Adolescent and,Family Services,3640 Wells Street,Windsor ON  N9C 1T9</t>
  </si>
  <si>
    <t>Windsor Regional Hospital,1030 Ouellette Avenue,Windsor ON  N9A 1E1,Canada,County:County of Essex,Electoral District:01</t>
  </si>
  <si>
    <t>Windsor Regional Hospital,Metropolitan Site:Windsor
Windsor Regional Hospital,Ouellette Campus:Windsor</t>
  </si>
  <si>
    <t>Child and Adolescent Psychiatry||Effective: 01 Aug 2017||CPSO Recognized Specialist</t>
  </si>
  <si>
    <t>First certificate of registration issued: Restricted certificate||Effective:   01 Aug 2017
Terms and conditions imposed on certificate by Registration Committee||Effective:   01 Aug 2017
Expiry date attached to certificate of registration.||Expiry Date: 31 Jan 2019</t>
  </si>
  <si>
    <t>Mohammed Anseruddin Medicine Professional Corporation</t>
  </si>
  <si>
    <t>Issued Date:  Sep 19 2018</t>
  </si>
  <si>
    <t>Dr. A. Mohammed (CPSO# 113533)</t>
  </si>
  <si>
    <t>Maryvale Adolescent and Family Services,3640 Wells Street,Windsor ON  N9C 1T9,(519) 258-0484
Windsor Regional Hospital,Windsor Regional Hospital,1030 Ouellette Avenue,Windsor ON  N9A 1E1,(519) 254-5577</t>
  </si>
  <si>
    <t>117034</t>
  </si>
  <si>
    <t xml:space="preserve">Active Member as of 01 Oct 2018 </t>
  </si>
  <si>
    <t xml:space="preserve">Restricted as of 01 Oct 2018 </t>
  </si>
  <si>
    <t>State Univ of New York at Buffalo, 2011</t>
  </si>
  <si>
    <t>CMHA Waterloo Wellington,80 Waterloo Ave,Guelph ON  N1H 0A1</t>
  </si>
  <si>
    <t>CMHA Waterloo Wellington,1 - 485 Silvercreek Pkwy N,Guelph ON  N1H 7K5,Canada,County:County of Wellington,Electoral District:03
CMHA Waterloo Wellington,67 King St E,Kitchener ON  N2G 2K4,Canada,County:Regional Municipality of Waterloo,Electoral District:03</t>
  </si>
  <si>
    <t>Psychiatry||Effective: 01 Oct 2018||CPSO Recognized Specialist</t>
  </si>
  <si>
    <t>First certificate of registration issued: Restricted certificate||Effective:   01 Oct 2018
Terms and conditions imposed on certificate by Registration Committee||Effective:   01 Oct 2018
Expiry date attached to certificate of registration.||Expiry Date: 31 Mar 2020</t>
  </si>
  <si>
    <t>57760</t>
  </si>
  <si>
    <t xml:space="preserve">Active Member as of 16 Oct 1986 </t>
  </si>
  <si>
    <t xml:space="preserve">Independent Practice as of 28 Dec 1989 </t>
  </si>
  <si>
    <t>University of London, 1970</t>
  </si>
  <si>
    <t>875 Main St East,Hamilton ON  L8M 1M2</t>
  </si>
  <si>
    <t>(905) 528-0353</t>
  </si>
  <si>
    <t>First certificate of registration issued: Academic Practice Certificate||Effective:   16 Oct 1986
Transfer of class of registration to: Independent Practice Certificate||Effective:   28 Dec 1989</t>
  </si>
  <si>
    <t>105452</t>
  </si>
  <si>
    <t xml:space="preserve">Active Member as of 05 Oct 2016 </t>
  </si>
  <si>
    <t xml:space="preserve">Independent Practice as of 05 Oct 2016 </t>
  </si>
  <si>
    <t>English, Igbo</t>
  </si>
  <si>
    <t>NNAMDI AZIKIWE UNIVERSITY, 2001</t>
  </si>
  <si>
    <t>Chatham Kent Health Alliance,80 Grand Avenue West,Chatham ON  N7M 5L9</t>
  </si>
  <si>
    <t>5193516144 Ext. 5744</t>
  </si>
  <si>
    <t>5193510450</t>
  </si>
  <si>
    <t>1800 8th St E,,Owen Sound,Owen Sound ON  N4K 6M9,Canada,Phone:5193762121,County:County of Grey,Electoral District:03</t>
  </si>
  <si>
    <t>Ireland
New Brunswick
Nigeria</t>
  </si>
  <si>
    <t>Chatham-Kent Health Alliance:Chatham
Grey Bruce Health Services,Owen Sound:Owen Sound</t>
  </si>
  <si>
    <t>Psychiatry||Effective: 13 May 2014||RCPSC Specialist</t>
  </si>
  <si>
    <t>First certificate of registration issued: Restricted certificate||Effective:   05 Feb 2015
Terms and conditions imposed on certificate by Registration Committee||Effective:   05 Feb 2015
Expiry date attached to certificate of registration.||Expiry Date: 01 Feb 2018
Expired: Terms and conditions imposed on certificate by Registration Committee||Effective:   04 Oct 2016
Subsequent certificate of registration Issued: Independent Practice Certificate||Effective:   05 Oct 2016</t>
  </si>
  <si>
    <t>Dr. Anthony Anago Medicine Professional Corporation</t>
  </si>
  <si>
    <t>Issued Date:  May 22 2015</t>
  </si>
  <si>
    <t>Dr. A. Anago (CPSO# 105452)</t>
  </si>
  <si>
    <t>1800 8th Street East,Owen Sound ON  N4K 6M9,(519) 376-2121
Chatham-Ketn Health Alliance,Chatham-Ketn Health Alliance,80 Grand Avenue West,Chatham ON  N7M 5L9,(519) 352-6400</t>
  </si>
  <si>
    <t>112968</t>
  </si>
  <si>
    <t xml:space="preserve">Active Member as of 21 Jun 2017 </t>
  </si>
  <si>
    <t xml:space="preserve">Restricted as of 21 Jun 2017 </t>
  </si>
  <si>
    <t>University of Benin, 1993</t>
  </si>
  <si>
    <t>Brockville Mental Health Centre,PO Box 1050,1804 Highway 2 East,Brockville ON  K6V 5T1</t>
  </si>
  <si>
    <t>1145,Carling Avenue,Ottawa ON  K1Z 7K4,Canada,Phone:(613) 722-6521,County:Regional Municipality of Ottawa-Carleton,Electoral District:07</t>
  </si>
  <si>
    <t>Psychiatry||Effective: 21 Jun 2017||CPSO Recognized Specialist
Forensic Psychiatry||Effective: 21 Jun 2017||CPSO Recognized Specialist</t>
  </si>
  <si>
    <t>First certificate of registration issued: Restricted certificate||Effective:   21 Jun 2017
Terms and conditions imposed on certificate by Registration Committee||Effective:   21 Jun 2017
Expiry date attached to certificate of registration.||Expiry Date: 19 May 2018
Terms and conditions amended by Registration Committee||Effective:   15 Aug 2017
Expiry date attached to certificate of registration||Expiry Date: 08 Jun 2022</t>
  </si>
  <si>
    <t>66979</t>
  </si>
  <si>
    <t xml:space="preserve">Independent Practice as of 14 Feb 1997 </t>
  </si>
  <si>
    <t>University of Witwatersrand, 1980</t>
  </si>
  <si>
    <t>Department of Psychiatry,Sunnybrook Health Sciences Centre,2075 Bayview Avenue,Room FG 16,North York ON  M4N 3M5</t>
  </si>
  <si>
    <t>(416) 480-4097</t>
  </si>
  <si>
    <t>(416) 480-4613</t>
  </si>
  <si>
    <t>Psychiatry||Effective: 07 Nov 1996||RCPSC Specialist</t>
  </si>
  <si>
    <t>First certificate of registration issued: Academic Practice Certificate||Effective:   01 Jul 1993
Expiry date removed from certificate of registration.||Effective:   21 Jan 1997
Transfer of class of registration to: Independent Practice Certificate||Effective:   14 Feb 1997</t>
  </si>
  <si>
    <t>A. Feinstein Medicine Professional Corporation</t>
  </si>
  <si>
    <t>Issued Date:  Feb 02 2010</t>
  </si>
  <si>
    <t>Dr. A. Feinstein (CPSO# 66979)</t>
  </si>
  <si>
    <t>Sunnybrook Health Sciences Centre,Department of Psychiatry,2075 Bayview Avenue,Room FG16,Toronto ON  M4N 3M5,(416) 480-4216</t>
  </si>
  <si>
    <t>55988</t>
  </si>
  <si>
    <t xml:space="preserve">Active Member as of 01 Jul 1985 </t>
  </si>
  <si>
    <t>University of Western Australia, 1983</t>
  </si>
  <si>
    <t>Sunnybrook Health Sciences Centre,Room FG 08,2075 Bayview Avenue,Toronto ON  M4N 3M5</t>
  </si>
  <si>
    <t>(416) 480-5307</t>
  </si>
  <si>
    <t>(416) 480-6022</t>
  </si>
  <si>
    <t>Psychiatry||Effective: 30 May 1989||RCPSC Specialist</t>
  </si>
  <si>
    <t>First certificate of registration issued: Postgraduate Education Certificate||Effective:   01 Jul 1985
Transfer of class of registration to: Independent Practice Certificate||Effective:   28 Dec 1989
Expiry date attached to certificate of registration.||Expiry Date: 15 Jul 1992</t>
  </si>
  <si>
    <t>L. Giancola and A. Levitt Medicine Professional Corporation</t>
  </si>
  <si>
    <t>Issued Date:  Dec 23 2011</t>
  </si>
  <si>
    <t>Dr. L. Giancola (CPSO# 63514),Dr. A. Levitt (CPSO# 55988)</t>
  </si>
  <si>
    <t>2401 Yonge Street,Suite 210,Toronto ON  M4P 3H1,(416) 485-9044
Suite FG03,Suite FG03,2075 Bayview Avenue,Toronto ON  M4N 3M5,(416) 480-5307
607 Brair Hill Avenue,607 Brair Hill Avenue,Toronto ON  M5N 1N4,(416) 782-3922</t>
  </si>
  <si>
    <t>71511</t>
  </si>
  <si>
    <t>McMaster University,MDCL3117,1280 Main Street West,Hamilton ON  L8S 4L8</t>
  </si>
  <si>
    <t>(905) 525-9140 Ext. 26525</t>
  </si>
  <si>
    <t>(905) 546-0349</t>
  </si>
  <si>
    <t>Hamilton Health Sciences Centre McMaster &amp; Childrens Hosp,McMaster &amp; Children's Hospital:Hamilton
Hamilton Health Sciences Corporation,St. Peter's Hospital:Hamilton
Hamilton Health Sciences,Chedoke Hospital Site:Hamilton
Hamilton Health Sciences,General Site:Hamilton
Hamilton Health Sciences,Juravinski Hospital and Cancer Centre:Hamilton
St Joseph's Centre for Mountain Health Services:Hamilton
St Joseph's Healthcare System,Hamilton:Hamilton</t>
  </si>
  <si>
    <t>McMaster University, 01 Jul 1997  to 30 Jun 1998|PostGrad Yr 1 - Psychiatry
McMaster University, 01 Jul 1998  to 30 Jun 1999|PostGrad Yr 2 - Psychiatry
McMaster University, 01 Jul 1999  to 30 Jun 2000|PostGrad Yr 3 - Psychiatry
McMaster University, 01 Jul 2000  to 30 Jun 2001|PostGrad Yr 4 - Psychiatry
McMaster University, 01 Jul 2001  to 30 Jun 2002|PostGrad Yr 5 - Psychiatry
McMaster University, 01 Jul 2002  to 30 Jun 2003|Clinical Fellow - Psychiatry
McMaster University, 01 Jul 2003  to 30 Jun 2004|Clinical Fellow - Psychiatry</t>
  </si>
  <si>
    <t>82107</t>
  </si>
  <si>
    <t xml:space="preserve">Active Member as of 24 Dec 2004 </t>
  </si>
  <si>
    <t xml:space="preserve">Independent Practice as of 24 Dec 2004 </t>
  </si>
  <si>
    <t>Memorial University of Newfoundland, 1997</t>
  </si>
  <si>
    <t>C H E O,Department of Psychiatry,401 Smyth Road,Ottawa ON  K1H 8L1</t>
  </si>
  <si>
    <t>(613) 737-7600 Ext. 2683</t>
  </si>
  <si>
    <t>(613) 737-2257</t>
  </si>
  <si>
    <t>Children's Hospital of Eastern Ontario:Ottawa
Royal Ottawa Health Care Group:Ottawa</t>
  </si>
  <si>
    <t>Psychiatry||Effective: 25 Jun 2002||RCPSC Specialist</t>
  </si>
  <si>
    <t>First certificate of registration issued: Independent Practice Certificate||Effective:   24 Dec 2004</t>
  </si>
  <si>
    <t>A. Baksh Medicine Professional Corporation</t>
  </si>
  <si>
    <t>Issued Date:  Dec 18 2014</t>
  </si>
  <si>
    <t>Dr. A. Baksh (CPSO# 82107)</t>
  </si>
  <si>
    <t>C H E O,Department of Psychiatry,401 Smyth Road,Ottawa ON  K1H 8L1,(613) 737-7600</t>
  </si>
  <si>
    <t>72531</t>
  </si>
  <si>
    <t>Seli, Antonia (used until: 17 Jun 2003 )</t>
  </si>
  <si>
    <t>McMaster University, 1998</t>
  </si>
  <si>
    <t>Halton Healthcare,Oakville Trafalgar Memorial Hosp,3001 Hospital Gate,Oakville ON  L6M 0L8</t>
  </si>
  <si>
    <t>(905) 845-2571 Ext. 4805</t>
  </si>
  <si>
    <t>(905) 845-6419</t>
  </si>
  <si>
    <t>Oakville Trafalgar Memorial Hospital:Oakville</t>
  </si>
  <si>
    <t>University of Toronto, 01 Jul 1998  to 30 Jun 1999|PostGrad Yr 1 - Psychiatry
University of Toronto, 01 Jul 1999  to 30 Jun 2000|PostGrad Yr 2 - Psychiatry
University of Toronto, 01 Jul 2000  to 30 Jun 2001|PostGrad Yr 3 - Psychiatry
University of Toronto, 01 Jul 2001  to 30 Jun 2002|PostGrad Yr 4 - Psychiatry
University of Toronto, 01 Jul 2002  to 30 Jun 2003|PostGrad Yr 5 - Psychiatry</t>
  </si>
  <si>
    <t>First certificate of registration issued: Postgraduate Education Certificate||Effective:   01 Jul 1998
Transfer of class of registration to: Independent Practice Certificate||Effective:   30 Jun 2003</t>
  </si>
  <si>
    <t>Dr. A. Seli Uzelac Medicine Professional Corporation</t>
  </si>
  <si>
    <t>Issued Date:  Feb 29 2012</t>
  </si>
  <si>
    <t>Dr. A. Seli Uzelac (CPSO# 72531)</t>
  </si>
  <si>
    <t>Oakville Trafalgar Memorial Hospital,Halton Healthcare,3001 Hospital Gate,Oakville ON  L6M 0L8,(905) 845-2571</t>
  </si>
  <si>
    <t>91300</t>
  </si>
  <si>
    <t>Gomel State Medical Institute, 1998</t>
  </si>
  <si>
    <t>Quinte Health Care,265 Dundas Street East,Belleville ON  K8N 5A9</t>
  </si>
  <si>
    <t>(613) 969-8448</t>
  </si>
  <si>
    <t>Queen's University, 01 Jul 2009  to 22 Sep 2009|Assessment Verification Period - Psychiatry
Queen's University, 23 Sep 2009  to 30 Jun 2010|PostGrad Yr 1 - Psychiatry
Queen's University, 01 Jul 2010  to 30 Jun 2011|PostGrad Yr 2 - Psychiatry
Queen's University, 01 Jul 2011  to 30 Jun 2012|PostGrad Yr 3 - Psychiatry
Queen's University, 01 Jul 2012  to 30 Jun 2013|PostGrad Yr 4 - Psychiatry
Queen's University, 01 Jul 2013  to 30 Jun 2014|PostGrad Yr 5 - Psychiatry</t>
  </si>
  <si>
    <t>First certificate of registration issued: Pre Entry Assessment Program Certificate||Effective:   01 Jul 2009
Transfer of class of registration to: Postgraduate Education Certificate||Effective:   23 Sep 2009
Transfer of class of registration to: Independent Practice Certificate||Effective:   30 Jun 2014</t>
  </si>
  <si>
    <t>Antonina Stakheiko Medicine Professional Corporation</t>
  </si>
  <si>
    <t>Issued Date:  Dec 22 2014</t>
  </si>
  <si>
    <t>Dr. A. Stakheiko (CPSO# 91300)</t>
  </si>
  <si>
    <t>Quinte Health Care,265 Dundas Street East,Belleville ON  K8N 5A9,(613) 969-7400</t>
  </si>
  <si>
    <t>58101</t>
  </si>
  <si>
    <t xml:space="preserve">Independent Practice as of 10 Aug 1988 </t>
  </si>
  <si>
    <t>English, Italian</t>
  </si>
  <si>
    <t>University of Toronto, 1987</t>
  </si>
  <si>
    <t>Hospital For Sick Children,Toronto ON  M5G 1X8</t>
  </si>
  <si>
    <t>(416) 813-2188</t>
  </si>
  <si>
    <t>(416) 813-2189</t>
  </si>
  <si>
    <t>University of Toronto, 15 Jun 1987  to 13 Jun 1988|Other - Rotating Internship
University of Toronto, 01 Jul 1988  to 30 Jun 1989|Resident 1 - Psychiatry
University of Toronto, 01 Jul 1989  to 30 Jun 1990|Resident 2 - Psychiatry
University of Toronto, 01 Jul 1990  to 30 Jun 1991|Resident 3 - Psychiatry
University of Toronto, 01 Jul 1991  to 30 Jun 1992|Resident 4 - Psychiatry
University of Toronto, 01 Jul 1992  to 30 Jun 1993|Clinical Fellow - Psychiatry</t>
  </si>
  <si>
    <t>First certificate of registration issued: Postgraduate Education Certificate||Effective:   15 Jun 1987
Transfer of class of registration to: Independent Practice Certificate||Effective:   10 Aug 1988</t>
  </si>
  <si>
    <t>Antonio Pignatiello Medicine Professional Corporation</t>
  </si>
  <si>
    <t>Issued Date:  Oct 15 2015</t>
  </si>
  <si>
    <t>Dr. A. Pignatiello (CPSO# 58101)</t>
  </si>
  <si>
    <t>Hospital for Sick Children,555 University Avenue,Toronto ON  M5G 1X8,(416) 813-2188</t>
  </si>
  <si>
    <t>85894</t>
  </si>
  <si>
    <t xml:space="preserve">Active Member as of 29 Jan 2007 </t>
  </si>
  <si>
    <t xml:space="preserve">Restricted as of 29 Jan 2007 </t>
  </si>
  <si>
    <t>English, Malayalam, Tamil</t>
  </si>
  <si>
    <t>University of Madras, 1977</t>
  </si>
  <si>
    <t>Unit 6,1401 Plains Road East,Burlington ON  L7R 3P9</t>
  </si>
  <si>
    <t>(905) 333-4262</t>
  </si>
  <si>
    <t>(905) 333-9262</t>
  </si>
  <si>
    <t>Psychiatry||Effective: 29 Jan 2007||CPSO Recognized Specialist</t>
  </si>
  <si>
    <t>First certificate of registration issued: Restricted certificate||Effective:   29 Jan 2007
Terms and conditions imposed on certificate by Registration Committee||Effective:   29 Jan 2007
Expiry date attached to certificate of registration.||Expiry Date: 28 Jul 2008
Terms and conditions amended by Registration Committee||Effective:   07 May 2008
Terms and conditions amended by Registration Committee||Effective:   07 Aug 2009
Expiry date removed from certificate of registration.||Effective:   07 Aug 2009</t>
  </si>
  <si>
    <t>Amaladoss Medicine Professional Corporation</t>
  </si>
  <si>
    <t>Issued Date:  Mar 02 2007</t>
  </si>
  <si>
    <t>Dr. A. Amaladoss (CPSO# 85894)</t>
  </si>
  <si>
    <t>Unit 6,1401 Plains Road East,Burlington ON  L7R 3P9,(905) 333-4262
2192 Argon Court,2192 Argon Court,Burlington ON  L7R 4E6,(905) 633-7019
Joseph Brant Hospital,Joseph Brant Hospital,1182 Northshore Boulevard East,Lower Level,Burlington ON  L7S 1C5,(905) 637-2586</t>
  </si>
  <si>
    <t>104523</t>
  </si>
  <si>
    <t xml:space="preserve">Active Member as of 02 Jul 2014 </t>
  </si>
  <si>
    <t xml:space="preserve">Restricted as of 02 Jul 2014 </t>
  </si>
  <si>
    <t>Bengali, English, Hindi, Oriya</t>
  </si>
  <si>
    <t>Utkal University, 1998</t>
  </si>
  <si>
    <t>Adult Neurodevelopmental Services,CAMH,Unit 4-3,1001 Queen Street West,Toronto ON  M6J 1H4</t>
  </si>
  <si>
    <t>(416) 535-8501 Ext. 30727</t>
  </si>
  <si>
    <t>Surrey Place Centre,2 Surrey Place,Toronto ON  M5S 2C2,Canada,Phone:(416) 925-5141 Ext. 2313,Fax:(416) 925-3402,County:City of Toronto,Electoral District:10</t>
  </si>
  <si>
    <t>India
United Kingdom</t>
  </si>
  <si>
    <t>Psychiatry||Effective: 02 Jul 2014||CPSO Recognized Specialist</t>
  </si>
  <si>
    <t>First certificate of registration issued: Restricted certificate||Effective:   02 Jul 2014
Terms and conditions imposed on certificate by Registration Committee||Effective:   02 Jul 2014
Expiry date attached to certificate of registration.||Expiry Date: 31 Aug 2014
Terms and conditions amended by Registration Committee||Effective:   08 Oct 2014
Terms and conditions amended by Registration Committee||Effective:   27 Jul 2016
Terms and conditions amended by Registration Committee||Effective:   04 Aug 2017
Expiry date attached to certificate of registration||Expiry Date: 01 Jul 2021</t>
  </si>
  <si>
    <t>Dr. Anupam Thakur Medicine Professional Corporation</t>
  </si>
  <si>
    <t>Issued Date:  Apr 05 2017</t>
  </si>
  <si>
    <t>Dr. A. Thakur (CPSO# 104523)</t>
  </si>
  <si>
    <t>Adult Neurodevelopmental Services,CAMH,4-3 - 1001 Queen Street West,Toronto ON  M6J 1H4,(416) 535-8501
Surrey Place Centre,Surrey Place Centre,2 Surrey Place,Toronto ON  M5S 2C2,(416) 925-5141</t>
  </si>
  <si>
    <t>114171</t>
  </si>
  <si>
    <t xml:space="preserve">Active Member as of 23 Nov 2017 </t>
  </si>
  <si>
    <t xml:space="preserve">Independent Practice as of 23 Nov 2017 </t>
  </si>
  <si>
    <t>500 CHURCH STREET,Penetanguishene ON  L9M 1G3</t>
  </si>
  <si>
    <t>7055493181</t>
  </si>
  <si>
    <t>Psychiatry||Effective: 10 May 2016||RCPSC Specialist
Geriatric Psychiatry||Effective: 26 Sep 2017||RCPSC Specialist</t>
  </si>
  <si>
    <t>First certificate of registration issued: Independent Practice Certificate||Effective:   23 Nov 2017</t>
  </si>
  <si>
    <t>87159</t>
  </si>
  <si>
    <t>University of Delhi, 2005</t>
  </si>
  <si>
    <t>Complex Mental Illness Program,CAMH,250 College Street - Room 721,Toronto ON  M5T 1R8</t>
  </si>
  <si>
    <t>(416) 535-8501 Ext. 34362</t>
  </si>
  <si>
    <t>416-260-4197</t>
  </si>
  <si>
    <t>University of Toronto, 01 Jul 2007  to 30 Jun 2008|PostGrad Yr 1 - Orthopedic Surgery
University of Toronto, 01 Jul 2008  to 30 Jun 2009|PostGrad Yr 2 - Orthopedic Surgery
University of Toronto, 01 Jul 2009  to 30 Jun 2010|PostGrad Yr 3 - Orthopedic Surgery
University of Toronto, 01 Jul 2010  to 30 Jun 2011|PostGrad Yr 3 - Orthopedic Surgery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t>
  </si>
  <si>
    <t>First certificate of registration issued: Postgraduate Education Certificate||Effective:   01 Jul 2007
Transfer of class of registration to: Independent Practice Certificate||Effective:   30 Jun 2015</t>
  </si>
  <si>
    <t>Dr. Anvesh Roy Medicine Professional Corporation</t>
  </si>
  <si>
    <t>Issued Date:  Jul 30 2015</t>
  </si>
  <si>
    <t>Dr. A. Roy (CPSO# 87159)</t>
  </si>
  <si>
    <t>Complex Mental Illness Program,CAMH,Suite 713,250 College Street,Toronto ON  M5T 1R8,(416) 535-8501
Suite 2,Suite 2,1001 Queen Street West,Toronto ON  M6J 1H4,(416) 535-8501</t>
  </si>
  <si>
    <t>54486</t>
  </si>
  <si>
    <t xml:space="preserve">Independent Practice as of 23 Jul 1986 </t>
  </si>
  <si>
    <t>English, Hindi, Marathi</t>
  </si>
  <si>
    <t>University of Pune, 1968</t>
  </si>
  <si>
    <t>Psychiatry||Effective: 11 Jun 1986||RCPSC Specialist</t>
  </si>
  <si>
    <t>First certificate of registration issued: Postgraduate Education Certificate||Effective:   01 Jul 1984
Transfer of class of registration to: Independent Practice Certificate||Effective:   23 Jul 1986</t>
  </si>
  <si>
    <t>91313</t>
  </si>
  <si>
    <t xml:space="preserve">Active Member as of 27 Aug 2014 </t>
  </si>
  <si>
    <t xml:space="preserve">Independent Practice as of 27 Aug 2014 </t>
  </si>
  <si>
    <t>English, Tamil</t>
  </si>
  <si>
    <t>Kasturba Medical College, 2007</t>
  </si>
  <si>
    <t>700 Gordon Street,Ontario Shores Centre,Department of Geriatric Psychiatry,Whitby ON  L1N 5S9</t>
  </si>
  <si>
    <t>(905) 668-5881</t>
  </si>
  <si>
    <t>Psychiatry||Effective: 30 Jun 2014||RCPSC Specialist
Geriatric Psychiatry||Effective: 27 Sep 2016||RCPSC Specialist</t>
  </si>
  <si>
    <t>The University of Western Ontario, 01 Jul 2009  to 21 Sep 2009|Assessment Verification Period - Psychiatry
The University of Western Ontario, 22 Sep 2009  to 30 Jun 2010|PostGrad Yr 1 - Psychiatry
The University of Western Ontario, 01 Jul 2010  to 30 Jun 2011|PostGrad Yr 2 - Psychiatry
The University of Western Ontario, 01 Jul 2011  to 30 Jun 2012|PostGrad Yr 3 - Psychiatry
The University of Western Ontario, 01 Jul 2012  to 30 Jun 2013|PostGrad Yr 4 - Psychiatry
The University of Western Ontario, 01 Jul 2013  to 30 Jun 2014|PostGrad Yr 5 - Psychiatry</t>
  </si>
  <si>
    <t>First certificate of registration issued: Pre Entry Assessment Program Certificate||Effective:   01 Jul 2009
Transfer of class of registration to: Postgraduate Education Certificate||Effective:   22 Sep 2009
Expired: Terms and conditions of certificate of registration||Expiry:      30 Jun 2014
Subsequent certificate of registration Issued: Independent Practice Certificate||Effective:   27 Aug 2014</t>
  </si>
  <si>
    <t>Dr. Arany Shanmugalingam Medicine Professional Corporation</t>
  </si>
  <si>
    <t>Issued Date:  Aug 23 2016</t>
  </si>
  <si>
    <t>Dr. A. Shanmugalingam (CPSO# 91313)</t>
  </si>
  <si>
    <t>Department of Geriatric Psychiatry,700 Gordon Street,Whitby ON  L1N 5S9</t>
  </si>
  <si>
    <t>99724</t>
  </si>
  <si>
    <t xml:space="preserve">Active Member as of 20 Dec 2012 </t>
  </si>
  <si>
    <t xml:space="preserve">Independent Practice as of 20 Dec 2012 </t>
  </si>
  <si>
    <t>McGill University, 2007</t>
  </si>
  <si>
    <t>St Michael Hospital,Carter Wing, Room 17-025,30 Bond Street,Toronto ON  M5B 1W8</t>
  </si>
  <si>
    <t>(416) 864-6060 Ext. 2836</t>
  </si>
  <si>
    <t>North Bay Regional Health Centre:North Bay
St Michael's Hospital:Toronto</t>
  </si>
  <si>
    <t>First certificate of registration issued: Independent Practice Certificate||Effective:   20 Dec 2012</t>
  </si>
  <si>
    <t>95658</t>
  </si>
  <si>
    <t>English, Gujarati, Hindi</t>
  </si>
  <si>
    <t>Baroda University, 1990</t>
  </si>
  <si>
    <t>Hotel Dieu Hospital,Department of Psychiatry,5 Room 548,166 Brock Street,Kingston ON  K7L 5G2</t>
  </si>
  <si>
    <t>(613) 544-3400</t>
  </si>
  <si>
    <t>Queen's University, 01 Jul 2011  to 22 Sep 2011|Assessment Verification Period - Psychiatry
Queen's University, 23 Sep 2011  to 30 Jun 2012|PostGrad Yr 1 - Psychiatry
Queen's University, 01 Jul 2012  to 30 Jun 2013|PostGrad Yr 2 - Psychiatry
Queen's University, 01 Jul 2013  to 30 Jun 2014|PostGrad Yr 3 - Psychiatry
Queen's University, 01 Jul 2014  to 30 Jun 2015|PostGrad Yr 4 - Psychiatry
Queen's University, 01 Jul 2015  to 30 Jun 2016|PostGrad Yr 5 - Psychiatry</t>
  </si>
  <si>
    <t>First certificate of registration issued: Pre Entry Assessment Program Certificate||Effective:   01 Jul 2011
Transfer of class of registration to: Postgraduate Education Certificate||Effective:   23 Sep 2011
Transfer of class of registration to: Independent Practice Certificate||Effective:   30 Jun 2016</t>
  </si>
  <si>
    <t>Archana Patel Medicine Professional Corporation</t>
  </si>
  <si>
    <t>Issued Date:  Oct 17 2016</t>
  </si>
  <si>
    <t>Dr. A. Patel (CPSO# 95658)</t>
  </si>
  <si>
    <t>Hotel Dieu Hospital,Department of Psychiatry,5 Room 548,166 Brock Street,Kingston ON  K7L 5G2,(613) 544-3400</t>
  </si>
  <si>
    <t>59611</t>
  </si>
  <si>
    <t xml:space="preserve">Active Member as of 13 Jun 1988 </t>
  </si>
  <si>
    <t xml:space="preserve">Independent Practice as of 11 Oct 1989 </t>
  </si>
  <si>
    <t>University of Toronto, 1988</t>
  </si>
  <si>
    <t>Suite FG-24A,2075 Bayview Avenue,Toronto ON  M4N 3M5</t>
  </si>
  <si>
    <t>(416) 480-5031</t>
  </si>
  <si>
    <t>(416) 480-5070</t>
  </si>
  <si>
    <t>Sunnybrook Health Sciences Centre,Holland Orthopaedic &amp; Arthritic Centre:Toronto</t>
  </si>
  <si>
    <t>Psychiatry||Effective: 30 Jun 1993||RCPSC Specialist</t>
  </si>
  <si>
    <t>University of Toronto, 13 Jun 1988  to 12 Jun 1989|Other - Comprehensive Internship
University of Toronto, 01 Jul 1989  to 30 Jun 1990|Resident 1 - Psychiatry
University of Toronto, 01 Jul 1990  to 30 Jun 1991|Resident 2 - Psychiatry
University of Toronto, 01 Jul 1991  to 30 Jun 1992|Resident 3 - Psychiatry
University of Toronto, 01 Jul 1992  to 30 Jun 1993|Resident 4 - Psychiatry
University of Toronto, 01 Jul 1993  to 30 Jun 1994|Clinical Fellow - Psychiatry</t>
  </si>
  <si>
    <t>First certificate of registration issued: Postgraduate Education Certificate||Effective:   13 Jun 1988
Transfer of class of registration to: Independent Practice Certificate||Effective:   11 Oct 1989</t>
  </si>
  <si>
    <t>Dr. Ari Zaretsky Medicine Professional Corporation</t>
  </si>
  <si>
    <t>Issued Date:  Aug 13 2012</t>
  </si>
  <si>
    <t>Dr. A. Zaretsky (CPSO# 59611)</t>
  </si>
  <si>
    <t>Room FG-24A,2075 Bayview Avenue,Toronto ON  M4N 3M5,(416) 480-5031</t>
  </si>
  <si>
    <t>111266</t>
  </si>
  <si>
    <t>Tehran University of Medical Sciences, 2005</t>
  </si>
  <si>
    <t>Scarborough Hospital,Kennedy Road Clinic,Mental Health Outpatient Program,J - 1225 Kennedy Rd,Scarborough ON  M1P 4Y1</t>
  </si>
  <si>
    <t>(416) 431-8135</t>
  </si>
  <si>
    <t>Scarborough Hospital,General Site:Toronto</t>
  </si>
  <si>
    <t>University of Toronto, 16 Jan 2017  to 07 Apr 2017|Elective Trainee - Psychiatry
University of Toronto, 25 Sep 2017  to 17 Nov 2017|Elective Trainee - Psychiatry</t>
  </si>
  <si>
    <t>First certificate of registration issued: Postgraduate Education Certificate||Effective:   16 Jan 2017
Expired: Terms and conditions of certificate of registration||Expiry:      07 Apr 2017
Subsequent certificate of registration Issued: Postgraduate Education Certificate||Effective:   25 Sep 2017
Expired: Terms and conditions of certificate of registration||Expiry:      17 Nov 2017
Subsequent certificate of registration Issued: Independent Practice Certificate||Effective:   30 Jun 2018</t>
  </si>
  <si>
    <t>Dr. Arian Behzadi Medicine Professional Corporation</t>
  </si>
  <si>
    <t>Issued Date:  Jul 30 2018</t>
  </si>
  <si>
    <t>Dr. A. Behzadi (CPSO# 111266)</t>
  </si>
  <si>
    <t>Scarborough Hospital - Kennedy Road Clinic,Community Mental Health Outpatient Program,J - 1225 Kennedy Road,Toronto ON  M1P 4Y1,(416) 431-8135
3050 Lawrence Avenue East,3050 Lawrence Avenue East,Scarborough ON  M1P 2V5,(416) 438-2911</t>
  </si>
  <si>
    <t>95553</t>
  </si>
  <si>
    <t>Northern Ontario School Of Medicine, 2011</t>
  </si>
  <si>
    <t>(416) 5358501 Ext. 30868</t>
  </si>
  <si>
    <t>1440 Bathurst Street,Toronto ON  M5R3J3,Canada,Phone:4166545437,Fax:6476892371,County:City of Toronto,Electoral District:10</t>
  </si>
  <si>
    <t>Thunder Bay Regional Health Sciences Centre:Thunder Bay</t>
  </si>
  <si>
    <t>University of Toronto, 01 Jul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Child and Adolescent Psychiatry
University of Toronto, 01 Jul 2016  to 30 Jun 2017|PostGrad Yr 5 - Child and Adolescent Psychiatry
University of Toronto, 01 Jul 2017  to 30 Jun 2018|PostGrad Yr 6 - Child and Adolescent Psychiatry</t>
  </si>
  <si>
    <t>Dr. A. St. Jacques Medicine Professional Corporation</t>
  </si>
  <si>
    <t>Issued Date:  Apr 23 2018</t>
  </si>
  <si>
    <t>Dr. A. St. Jacques (CPSO# 95553)</t>
  </si>
  <si>
    <t>Postgraduate Medical Education,University of Toronto,602-500 University Avenue,Toronto ON  M5G 1V7,(416) 535-8501</t>
  </si>
  <si>
    <t>90401</t>
  </si>
  <si>
    <t xml:space="preserve">Active Member as of 03 Dec 2009 </t>
  </si>
  <si>
    <t xml:space="preserve">Restricted as of 03 Dec 2009 </t>
  </si>
  <si>
    <t>Michoacan Univ of San Nicolas de Hidalgo, 1996</t>
  </si>
  <si>
    <t>CAMH,GPD and RIC,250 College Street,Toronto ON  M5T 1R8</t>
  </si>
  <si>
    <t>(416) 535-8501 Ext. 34834</t>
  </si>
  <si>
    <t>Psychiatry||Effective: 03 Dec 2009||CPSO Recognized Specialist</t>
  </si>
  <si>
    <t>University of Toronto, 01 May 2009  to 12 Jul 2009|PEAP - Clinical Fellow - Psychiatry
University of Toronto, 13 Jul 2009  to 30 Nov 2009|Clinical Fellow - Psychiatry</t>
  </si>
  <si>
    <t>First certificate of registration issued: Pre Entry Assessment Program Certificate||Effective:   01 May 2009
Transfer of class of registration to: Postgraduate Education Certificate||Effective:   13 Jul 2009
Expired: Terms and conditions of certificate of registration||Expiry:      30 Nov 2009
Subsequent certificate of registration issued: Restricted certificate||Effective:   03 Dec 2009
Terms and conditions amended by Registration Committee||Effective:   29 Aug 2013
Expiry date removed from certificate of registration.||Effective:   29 Aug 2013</t>
  </si>
  <si>
    <t>Graff Guerrero Medicine Professional Corporation</t>
  </si>
  <si>
    <t>Issued Date:  May 29 2013</t>
  </si>
  <si>
    <t>Dr. A. Graff Guerrero (CPSO# 90401)</t>
  </si>
  <si>
    <t>CAMH,GMHP and RIC,250 College Street,Toronto ON  M5T 1R8,(416) 535-8501</t>
  </si>
  <si>
    <t>72279</t>
  </si>
  <si>
    <t xml:space="preserve">Active Member as of 13 Apr 2004 </t>
  </si>
  <si>
    <t xml:space="preserve">Independent Practice as of 13 Apr 2004 </t>
  </si>
  <si>
    <t>(416) 586-4800 Ext. 5131</t>
  </si>
  <si>
    <t>Psychiatry||Effective: 30 Sep 2003||RCPSC Specialist</t>
  </si>
  <si>
    <t>University of Toronto, 01 Jul 1998  to 30 Jun 1999|PostGrad Yr 1 - Psychiatry
University of Toronto, 01 Jul 1999  to 30 Jun 2000|PostGrad Yr 2 - Psychiatry
University of Toronto, 01 Jul 2000  to 30 Jun 2001|PostGrad Yr 3 - Psychiatry
University of Toronto, 01 Jul 2001  to 30 Jun 2002|PostGrad Yr 4 - Psychiatry
University of Toronto, 01 Jul 2002  to 30 Jun 2003|PostGrad Yr 5 - Psychiatry
University of Toronto, 01 Jul 2003  to 30 Sep 2003|PostGrad Yr 5 - Psychiatry</t>
  </si>
  <si>
    <t>First certificate of registration issued: Postgraduate Education Certificate||Effective:   01 Jul 1998
Expired: Terms and conditions of certificate of registration||Expiry:      30 Sep 2003
Subsequent certificate of registration Issued: Independent Practice Certificate||Effective:   13 Apr 2004</t>
  </si>
  <si>
    <t>83099</t>
  </si>
  <si>
    <t xml:space="preserve">Active Member as of 01 Jul 2005 </t>
  </si>
  <si>
    <t xml:space="preserve">Independent Practice as of 30 Jun 2010 </t>
  </si>
  <si>
    <t>The University of Western Ontario, 2005</t>
  </si>
  <si>
    <t>Trillium Health Partners -,Mississauga Site,100 Queensway Drive,Mississauga ON  L5B 1B8</t>
  </si>
  <si>
    <t>905-848-7580</t>
  </si>
  <si>
    <t>905-804-7786</t>
  </si>
  <si>
    <t>Psychiatry||Effective: 30 Jun 2010||RCPSC Specialist</t>
  </si>
  <si>
    <t>University of Toronto, 01 Jul 2005  to 30 Jun 2006|PostGrad Yr 1 - Psychiatry
University of Toronto, 01 Jul 2006  to 30 Jun 2007|PostGrad Yr 2 - Psychiatry
University of Toronto, 01 Jul 2007  to 30 Jun 2008|PostGrad Yr 3 - Psychiatry
University of Toronto, 01 Jul 2008  to 30 Jun 2009|PostGrad Yr 4 - Psychiatry
University of Toronto, 01 Jul 2009  to 30 Jun 2010|PostGrad Yr 5 - Psychiatry</t>
  </si>
  <si>
    <t>First certificate of registration issued: Postgraduate Education Certificate||Effective:   01 Jul 2005
Transfer of class of registration to: Independent Practice Certificate||Effective:   30 Jun 2010</t>
  </si>
  <si>
    <t>Dr. Ariel Shafro Medicine Professional Corporation</t>
  </si>
  <si>
    <t>Issued Date:  Aug 30 2010</t>
  </si>
  <si>
    <t>Dr. A. Shafro (CPSO# 83099)</t>
  </si>
  <si>
    <t>Trillium Health Centre,Mental Health Ground Floor Unit,100 Queensway West,Mississauga ON  L5B 1B8,(905) 848-7610</t>
  </si>
  <si>
    <t>89152</t>
  </si>
  <si>
    <t>Queen's University, 2008</t>
  </si>
  <si>
    <t>St Michaels Hospital,Department of Psychiatry,30 Bond Street,Toronto ON  M5B 1W8</t>
  </si>
  <si>
    <t>(416) 864-6060 Ext. 3090</t>
  </si>
  <si>
    <t>Grey Bruce Health Services,Owen Sound:Owen Sound
St Michael's Hospital:Toronto</t>
  </si>
  <si>
    <t>Dr. Arielle Salama Medicine Professional Corporation</t>
  </si>
  <si>
    <t>Issued Date:  Jan 02 2015</t>
  </si>
  <si>
    <t>Dr. A. Salama (CPSO# 89152)</t>
  </si>
  <si>
    <t>St. Michael's Hospital,Department of Psychiatry,30 Bond Street,Toronto ON  M5B 1W8,(416) 864-3090</t>
  </si>
  <si>
    <t>71520</t>
  </si>
  <si>
    <t xml:space="preserve">Independent Practice as of 01 Aug 2003 </t>
  </si>
  <si>
    <t>University of Alberta, 1997</t>
  </si>
  <si>
    <t>6 - 1010 Dream Crest Road,Mississauga ON  L5V 3A4</t>
  </si>
  <si>
    <t>(905) 813-9674</t>
  </si>
  <si>
    <t>(905) 813-9459</t>
  </si>
  <si>
    <t>Psychiatry||Effective: 30 Jul 2003||RCPSC Specialist</t>
  </si>
  <si>
    <t>McMaster University, 01 Jul 1997  to 30 Jun 1998|PostGrad Yr 1 - Anesthesiology
McMaster University, 01 Jul 1998  to 31 Mar 1999|PostGrad Yr 2 - Anesthesiology
The University of Western Ontario, 01 Apr 1999  to 31 Mar 2000|PostGrad Yr 2 - Psychiatry
The University of Western Ontario, 01 Apr 1999  to 31 Mar 2000|PostGrad Yr 2 - Psychiatry
The University of Western Ontario, 01 Apr 2000  to 31 Mar 2001|PostGrad Yr 3 - Psychiatry
The University of Western Ontario, 01 Apr 2001  to 31 Mar 2002|PostGrad Yr 4 - Psychiatry
The University of Western Ontario, 01 Apr 2002  to 30 Jun 2002|PostGrad Yr 5 - Psychiatry
The University of Western Ontario, 01 Jul 2002  to 31 Jul 2002|PostGrad Yr 4 - Psychiatry
The University of Western Ontario, 01 Aug 2002  to 31 Jul 2003|PostGrad Yr 5 - Psychiatry</t>
  </si>
  <si>
    <t>First certificate of registration issued: Postgraduate Education Certificate||Effective:   01 Jul 1997
Transfer of class of registration to: Independent Practice Certificate||Effective:   01 Aug 2003</t>
  </si>
  <si>
    <t>Dr. Arif Syed Medicine Professional Corporation</t>
  </si>
  <si>
    <t>Issued Date:  Apr 07 2009</t>
  </si>
  <si>
    <t>Dr. A. Syed (CPSO# 71520)</t>
  </si>
  <si>
    <t>6 - 1010 Dream Crest Road,Mississauga ON  L5V 3A4,(905) 813-9674</t>
  </si>
  <si>
    <t>79541</t>
  </si>
  <si>
    <t>C A M H Clarke Site,250 College Street,Toronto ON  M5T 1R8</t>
  </si>
  <si>
    <t>(416) 535-8501 Ext. 34378</t>
  </si>
  <si>
    <t>Baycrest Hospital:Toronto
Centre for Addiction &amp; Mental Health,Queen Street Site:Toronto
Centre of Addiction &amp; Mental Health,- College Street Site:Toronto</t>
  </si>
  <si>
    <t>University of Toronto, 01 Jul 2003  to 30 Jun 2004|PostGrad Yr 1 - Psychiatry
University of Toronto, 01 Jul 2004  to 30 Jun 2005|PostGrad Yr 2 - Psychiatry
University of Toronto, 01 Jul 2005  to 30 Jun 2006|PostGrad Yr 3 - Psychiatry
University of Toronto, 01 Jul 2006  to 30 Jun 2007|PostGrad Yr 4 - Psychiatry
University of Toronto, 01 Jul 2007  to 30 Jun 2008|PostGrad Yr 5 - Psychiatry
University of Toronto, 01 Jul 2008  to 30 Jun 2009|Clinical Fellow - Psychiatry
University of Toronto, 01 Jul 2009  to 30 Jun 2010|Clinical Fellow - Psychiatry
University of Toronto, 01 Jul 2010  to 31 Dec 2010|Clinical Fellow - Psychiatry</t>
  </si>
  <si>
    <t>83218</t>
  </si>
  <si>
    <t xml:space="preserve">Active Member as of 03 May 2013 </t>
  </si>
  <si>
    <t xml:space="preserve">Independent Practice as of 03 May 2013 </t>
  </si>
  <si>
    <t>The University of British Columbia, 2005</t>
  </si>
  <si>
    <t>Parkwood Institute,Mental Health Care Building,550 Wellington Rd,London ON  N6C 0A7</t>
  </si>
  <si>
    <t>(519) 646-6100 Ext. 47240</t>
  </si>
  <si>
    <t>(519) 455-5090</t>
  </si>
  <si>
    <t>London Health Sciences Centre Victoria Hospital:London
London Health Sciences Centre,University Site:London
St Joseph Health Care,London- Mental Health:London</t>
  </si>
  <si>
    <t>Psychiatry||Effective: 08 Jul 2011||RCPSC Specialist</t>
  </si>
  <si>
    <t>McMaster University, 01 Jul 2005  to 30 Jun 2006|PostGrad Yr 1 - Psychiatry
McMaster University, 01 Jul 2006  to 30 Jun 2007|PostGrad Yr 2 - Psychiatry
McMaster University, 01 Jul 2007  to 30 Jun 2008|PostGrad Yr 3 - Psychiatry
McMaster University, 01 Jul 2008  to 30 Jun 2009|PostGrad Yr 4 - Psychiatry
McMaster University, 01 Jul 2009  to 30 Jun 2010|PostGrad Yr 5 - Psychiatry
McMaster University, 01 Jul 2010  to 30 Jun 2011|PostGrad Yr 5 - Psychiatry
McMaster University, 01 Jul 2011  to 30 Jun 2012|PostGrad Yr 5 - Psychiatry</t>
  </si>
  <si>
    <t>First certificate of registration issued: Postgraduate Education Certificate||Effective:   01 Jul 2005
Expired: Terms and conditions of certificate of registration||Expiry:      30 Jun 2012
Subsequent certificate of registration Issued: Independent Practice Certificate||Effective:   03 May 2013</t>
  </si>
  <si>
    <t>27025</t>
  </si>
  <si>
    <t xml:space="preserve">Active Member as of 27 Sep 1974 </t>
  </si>
  <si>
    <t xml:space="preserve">Independent Practice as of 27 Sep 1974 </t>
  </si>
  <si>
    <t>University of Toronto, 1970</t>
  </si>
  <si>
    <t>Department Of Psychiatry,Hospital For Sick Children,555 University Avenue,Toronto ON  M5G 1X8</t>
  </si>
  <si>
    <t>(416) 813-7526</t>
  </si>
  <si>
    <t>Holland Bloorview Kids Rehabilitation Hospital:Toronto
Hospital For Sick Children:Toronto</t>
  </si>
  <si>
    <t>Psychiatry||Effective: 01 Jan 1974||RCPSC Specialist</t>
  </si>
  <si>
    <t>First certificate of registration issued: Postgraduate Education Certificate||Effective:   15 Jun 1970
Transfer of class of registration to: Independent Practice Certificate||Effective:   27 Sep 1974</t>
  </si>
  <si>
    <t>57966</t>
  </si>
  <si>
    <t xml:space="preserve">Active Member as of 30 Apr 1987 </t>
  </si>
  <si>
    <t xml:space="preserve">Independent Practice as of 30 Apr 1987 </t>
  </si>
  <si>
    <t>The University of Manitoba, 1970</t>
  </si>
  <si>
    <t>Psychiatry||Effective: 15 Nov 1976||RCPSC Specialist</t>
  </si>
  <si>
    <t>First certificate of registration issued: Independent Practice Certificate||Effective:   30 Apr 1987</t>
  </si>
  <si>
    <t>56362</t>
  </si>
  <si>
    <t xml:space="preserve">Active Member as of 02 Oct 1985 </t>
  </si>
  <si>
    <t xml:space="preserve">Independent Practice as of 07 Jul 1986 </t>
  </si>
  <si>
    <t>University of Pretoria, 1975</t>
  </si>
  <si>
    <t>Canadian Mental Health Association,210 Lochiel Street,Sarnia,Sarnia ON  N7T 4C7</t>
  </si>
  <si>
    <t>(519) 3375411</t>
  </si>
  <si>
    <t>5193372325</t>
  </si>
  <si>
    <t>Bluewater Health:Sarnia
Bluewater Health,Charlotte Eleanor Englehart Site:Petrolia</t>
  </si>
  <si>
    <t>Psychiatry||Effective: 29 May 1989||RCPSC Specialist</t>
  </si>
  <si>
    <t>First certificate of registration issued: Postgraduate Education Certificate||Effective:   02 Oct 1985
Transfer of class of registration to: Independent Practice Certificate||Effective:   07 Jul 1986</t>
  </si>
  <si>
    <t>Dr. Aron Lubczanski Medicine Professional Corporation</t>
  </si>
  <si>
    <t>Issued Date:  May 30 2006</t>
  </si>
  <si>
    <t>Dr. A. Lubczanski (CPSO# 56362)</t>
  </si>
  <si>
    <t>210 Lochiel Street,Sarnia ON  N7T 4C7</t>
  </si>
  <si>
    <t>23940</t>
  </si>
  <si>
    <t xml:space="preserve">Active Member as of 27 Jul 1971 </t>
  </si>
  <si>
    <t xml:space="preserve">Independent Practice as of 27 Jul 1971 </t>
  </si>
  <si>
    <t>English, Panjabi/Punjabi, Urdu</t>
  </si>
  <si>
    <t>Nishtar Medical College, 1959</t>
  </si>
  <si>
    <t>Psychiatry||Effective: 01 Jan 1967||RCPSC Specialist</t>
  </si>
  <si>
    <t>First certificate of registration issued: Temporary Employment Practice Certificate||Effective:   28 Jul 1967
Transfer of class of registration to: Independent Practice Certificate||Effective:   27 Jul 1971</t>
  </si>
  <si>
    <t>50883</t>
  </si>
  <si>
    <t xml:space="preserve">Active Member as of 16 Jul 1982 </t>
  </si>
  <si>
    <t xml:space="preserve">Independent Practice as of 12 Jul 1983 </t>
  </si>
  <si>
    <t>The University of Manitoba, 1979</t>
  </si>
  <si>
    <t>Unit 107,969 Derry Road East,Mississauga ON  L5T 2J7</t>
  </si>
  <si>
    <t>(905) 795-8742 Ext. 320</t>
  </si>
  <si>
    <t>(905) 795-1129</t>
  </si>
  <si>
    <t>Summit Housing and Outreach,Unit 7,871 Equestrian Court,Oakville ON  L6L 6L7,Canada,Phone:(905) 847-3206,Fax:(905) 847-2959,County:Regional Municipality of Halton,Electoral District:04</t>
  </si>
  <si>
    <t>Ross Memorial Hospital:Lindsay
St Joseph's Health Centre,Toronto:Toronto</t>
  </si>
  <si>
    <t>First certificate of registration issued: Postgraduate Education Certificate||Effective:   16 Jul 1982
Transfer of class of registration to: Independent Practice Certificate||Effective:   12 Jul 1983</t>
  </si>
  <si>
    <t>Kantor Medicine Professional Corporation</t>
  </si>
  <si>
    <t>Issued Date:  Jul 15 2008</t>
  </si>
  <si>
    <t>Dr. A. Kantor (CPSO# 50883)</t>
  </si>
  <si>
    <t>7 - 871 Equestrian Court,Oakville ON  L6L 6L7,(905) 847-3206
107 - 969 Derry Road East,107 - 969 Derry Road East,Mississauga ON  L5T 2J7,(905) 795-8742</t>
  </si>
  <si>
    <t>82006</t>
  </si>
  <si>
    <t xml:space="preserve">Active Member as of 20 Oct 2004 </t>
  </si>
  <si>
    <t xml:space="preserve">Independent Practice as of 20 Oct 2004 </t>
  </si>
  <si>
    <t>University of Vermont, 1971</t>
  </si>
  <si>
    <t>Suite 505,465 Richmond Road,Ottawa ON  K2A 1Z1</t>
  </si>
  <si>
    <t>(613) 422-3843</t>
  </si>
  <si>
    <t>Hematology||Effective: 25 Nov 1980||RCPSC Specialist
Psychiatry||Effective: 28 Apr 2005||RCPSC Specialist</t>
  </si>
  <si>
    <t>University of Toronto, 15 Oct 2004  to 30 Jun 2005|Clinical Fellow - Psychiatry
University of Toronto, 01 Jul 2005  to 31 Oct 2005|Clinical Fellow - Psychiatry</t>
  </si>
  <si>
    <t>First certificate of registration issued: Independent Practice Certificate||Effective:   20 Oct 2004</t>
  </si>
  <si>
    <t>31489</t>
  </si>
  <si>
    <t xml:space="preserve">Active Member as of 21 May 1980 </t>
  </si>
  <si>
    <t xml:space="preserve">Independent Practice as of 21 May 1980 </t>
  </si>
  <si>
    <t>McGill University, 1975</t>
  </si>
  <si>
    <t>JGH Institute of Community,and Family Psychiatry,4333 Cote Ste Catherine Road,Montreal QC  H3T 1E2</t>
  </si>
  <si>
    <t>(514) 340-8222 Ext. 25207</t>
  </si>
  <si>
    <t>(514) 340-7507</t>
  </si>
  <si>
    <t>Psychiatry||Effective: 01 Jan 1979||RCPSC Specialist</t>
  </si>
  <si>
    <t>First certificate of registration issued: Independent Practice Certificate||Effective:   21 May 1980</t>
  </si>
  <si>
    <t>65927</t>
  </si>
  <si>
    <t xml:space="preserve">Active Member as of 20 Aug 1992 </t>
  </si>
  <si>
    <t xml:space="preserve">Independent Practice as of 20 Aug 1992 </t>
  </si>
  <si>
    <t>University of Colombo, 1971</t>
  </si>
  <si>
    <t>580 Harwood Avenue South,Ajax ON  L1S 2J4</t>
  </si>
  <si>
    <t>(905) 683-2320 Ext. 3275</t>
  </si>
  <si>
    <t>(905) 683-8527</t>
  </si>
  <si>
    <t>1333 Neilson Road,Suite 100,Scarborough ON  M1B 4Y9,Canada,Phone:(416) 291-7719,Fax:(416) 287-3775,County:City of Toronto,Electoral District:10</t>
  </si>
  <si>
    <t>Lakeridge Health,Ajax and Pickering Site:Ajax</t>
  </si>
  <si>
    <t>Psychiatry||Effective: 15 Nov 1991||RCPSC Specialist</t>
  </si>
  <si>
    <t>First certificate of registration issued: Independent Practice Certificate||Effective:   20 Aug 1992</t>
  </si>
  <si>
    <t>Dr. Arulanantham Thangaroopan Medicine Professional Corporation</t>
  </si>
  <si>
    <t>Dr. A. Thangaroopan (CPSO# 100315),Dr. A. Thangaroopan (CPSO# 65927)</t>
  </si>
  <si>
    <t>100 - 1333 Neislon Road,Scarborough ON  M1B 4Y9,(416) 291-7719
580 Harwood Avenue South,580 Harwood Avenue South,Ajax ON  L1S 2J4,(905) 683-2320</t>
  </si>
  <si>
    <t>57961</t>
  </si>
  <si>
    <t xml:space="preserve">Active Member as of 27 Apr 1987 </t>
  </si>
  <si>
    <t xml:space="preserve">Independent Practice as of 19 Apr 1988 </t>
  </si>
  <si>
    <t>University of Ceylon, 1971</t>
  </si>
  <si>
    <t>Centre for Addiction and,Mental Health,100 Stokes Street, 4th Floor,Toronto ON  M6J 1H4</t>
  </si>
  <si>
    <t>(416) 535-8501 Ext. 36933</t>
  </si>
  <si>
    <t>(416) 260-4171</t>
  </si>
  <si>
    <t>Centre for Addiction and,Mental Health,250 College St,Toronto ON  M5T 1R8,Canada,Phone:(416) 535-8501,County:City of Toronto,Electoral District:10</t>
  </si>
  <si>
    <t>Centre for Addiction &amp; Mental Health,- Russell Street Site:Toronto
Centre for Addiction &amp; Mental Health,Queen Street Site:Toronto
Centre of Addiction &amp; Mental Health,- College Street Site:Toronto</t>
  </si>
  <si>
    <t>Psychiatry||Effective: 26 Nov 1984||RCPSC Specialist</t>
  </si>
  <si>
    <t>First certificate of registration issued: Academic Practice Certificate||Effective:   27 Apr 1987
Transfer of class of registration to: Independent Practice Certificate||Effective:   19 Apr 1988</t>
  </si>
  <si>
    <t>A. V. Ravindran Medicine Professional Corporation</t>
  </si>
  <si>
    <t>Issued Date:  Nov 30 2009</t>
  </si>
  <si>
    <t>Dr. A. Ravindran (CPSO# 57961)</t>
  </si>
  <si>
    <t>CAMH,100 Stokes Street 5th Floor,Suite 3290,Toronto ON  M6J 1H4,(416) 979-6933</t>
  </si>
  <si>
    <t>110807</t>
  </si>
  <si>
    <t xml:space="preserve">Active Member as of 26 Aug 2016 </t>
  </si>
  <si>
    <t xml:space="preserve">Independent Practice as of 26 Aug 2016 </t>
  </si>
  <si>
    <t>1235 Wilson Ave,Mental Health, 5th Floor,Toronto ON  M6N 2Z4</t>
  </si>
  <si>
    <t>(604) 608-5507</t>
  </si>
  <si>
    <t>British Columbia
Manitoba</t>
  </si>
  <si>
    <t>First certificate of registration issued: Independent Practice Certificate||Effective:   26 Aug 2016</t>
  </si>
  <si>
    <t>Dr. Arun Jagdeo Medicine Professional Corporation</t>
  </si>
  <si>
    <t>Issued Date:  Nov 21 2016</t>
  </si>
  <si>
    <t>Dr. A. Jagdeo (CPSO# 110807)</t>
  </si>
  <si>
    <t>1235 Wilson Avenue,Mental Health, 5th Floor,Toronto ON  M3M 0B2</t>
  </si>
  <si>
    <t>104564</t>
  </si>
  <si>
    <t xml:space="preserve">Active Member as of 25 May 2016 </t>
  </si>
  <si>
    <t xml:space="preserve">Restricted as of 25 May 2016 </t>
  </si>
  <si>
    <t>Kabul University, 1988</t>
  </si>
  <si>
    <t>Rouge Valley Centenary,Shoniker Clinic,Scarborough ON  M1E 4B9</t>
  </si>
  <si>
    <t>(416) 281-7301</t>
  </si>
  <si>
    <t>(416) 281-7465</t>
  </si>
  <si>
    <t>USA - Indiana</t>
  </si>
  <si>
    <t>First certificate of registration issued: Restricted certificate||Effective:   07 Jul 2014
Terms and conditions imposed on certificate by Registration Committee||Effective:   07 Jul 2014
Expiry date attached to certificate of registration.||Expiry Date: 06 Jul 2017
Expired: Terms and conditions imposed on certificate by Registration Committee||Effective:   25 May 2016
Subsequent certificate of registration issued: Restricted certificate||Effective:   25 May 2016
Terms and conditions amended by Registration Committee||Effective:   13 Jan 2017</t>
  </si>
  <si>
    <t>Dr. Aryan Wahab Medicine Professional Corporation</t>
  </si>
  <si>
    <t>Issued Date:  Mar 11 2015</t>
  </si>
  <si>
    <t>Dr. A. Wahab (CPSO# 104564)</t>
  </si>
  <si>
    <t>Rouge Valley Centenary,Shoniker Clinic,2877A Ellesmere Road,Scarborough ON  M1E 4B9,(416) 281-7301</t>
  </si>
  <si>
    <t>73844</t>
  </si>
  <si>
    <t>The University of Western Ontario, 1999</t>
  </si>
  <si>
    <t>3250 Bloor Street West,Suite 600, East Tower,Toronto ON  M8X 2X9</t>
  </si>
  <si>
    <t>(647) 775-1530</t>
  </si>
  <si>
    <t>(647) 930-9471</t>
  </si>
  <si>
    <t>Work, Stress and Health, CAMH,455 Spadina Avenue,Suite 200,Toronto ON  M5S 2G8,Canada,Phone:416-535-8501 Ext. 77364,Fax:416-971-7172,County:City of Toronto,Electoral District:10
Toronto South Detention Centre,160 Horner Ave,Toronto ON  M8Z 0C2,Canada,Phone:416-354-4030,Fax:416-354-4094,County:City of Toronto,Electoral District:10
East Detention Centre,50 Civic Road,Scarborough ON  M1L 2K9,Canada,Phone:(416) 750-3513 Ext. 217,County:City of Toronto,Electoral District:10</t>
  </si>
  <si>
    <t>A.D. Bender Medicine Professional Corporation</t>
  </si>
  <si>
    <t>Issued Date:  Nov 08 2005</t>
  </si>
  <si>
    <t>Dr. A. Bender (CPSO# 73844)</t>
  </si>
  <si>
    <t>200 - 455 Spadina Avenue,Toronto ON  M5S 2G8,(416) 535-8501
3250 Bloor Street West,3250 Bloor Street West,Suite 600,Toronto ON  M8X 2X9,(647) 775-1530
150 Horner Avenue,150 Horner Avenue,Toronto ON  M8Z 4X8,(416) 354-4030
50 Civic Road,50 Civic Road,Scarborough ON  M1L 2K9,(416) 750-3513</t>
  </si>
  <si>
    <t>54950</t>
  </si>
  <si>
    <t xml:space="preserve">Independent Practice as of 20 Dec 2005 </t>
  </si>
  <si>
    <t>Memorial University of Newfoundland, 1984</t>
  </si>
  <si>
    <t>Suite 202,305 Lakeshore Road East,Oakville ON  L6J 1J3</t>
  </si>
  <si>
    <t>(905) 844-4825</t>
  </si>
  <si>
    <t>University of Toronto, 28 Sep 1984  to 25 Oct 1984|Elective Trainee - Psychiatry
University of Toronto, 01 Jul 1985  to 30 Jun 1986|Resident 1 - Psychiatry
University of Toronto, 01 Jul 1986  to 30 Jun 1987|Resident 2 - Psychiatry
University of Toronto, 01 Jul 1987  to 30 Jun 1988|Resident 3 - Psychiatry
University of Toronto, 01 Jul 1988  to 30 Jun 1989|Resident 4 - Psychiatry</t>
  </si>
  <si>
    <t>First certificate of registration issued: Postgraduate Education Certificate||Effective:   28 Sep 1984
Expired: Terms and conditions of certificate of registration||Expiry:      25 Oct 1984
Subsequent certificate of registration Issued: Postgraduate Education Certificate||Effective:   01 Jul 1985
Transfer of class of registration to: Independent Practice Certificate||Effective:   17 Feb 1986
Transfer of class of certificate to: Restricted certificate||Effective:   20 Dec 2002
Terms and conditions imposed on certificate||Effective:   20 Dec 2002
Transfer of class of registration to: Independent Practice Certificate||Effective:   20 Dec 2005</t>
  </si>
  <si>
    <t>Dr. Bhattacharya Medicine Professional Corporation</t>
  </si>
  <si>
    <t>Issued Date:  Oct 03 2007</t>
  </si>
  <si>
    <t>Dr. A. Bhattacharya (CPSO# 54950)</t>
  </si>
  <si>
    <t>202 - 305 Lakeshore Road East,Oakville ON  L6J 1J3,(905) 844-4825</t>
  </si>
  <si>
    <t>51212</t>
  </si>
  <si>
    <t xml:space="preserve">Independent Practice as of 30 Dec 1985 </t>
  </si>
  <si>
    <t>Rajasthan University, 1976</t>
  </si>
  <si>
    <t>Church Street Consulting Suites,Suite 19,140 Church Street,Richmond 3121,Australia</t>
  </si>
  <si>
    <t>0394201465</t>
  </si>
  <si>
    <t>0394216732</t>
  </si>
  <si>
    <t>Psychiatry||Effective: 18 Nov 1985||RCPSC Specialist</t>
  </si>
  <si>
    <t>First certificate of registration issued: Postgraduate Education Certificate||Effective:   15 Jul 1981
Transfer of class of registration to: Hospital Practice Certificate||Effective:   28 Nov 1985
Transfer of class of certificate to: Restricted certificate||Effective:   28 Nov 1985
Transfer of class of registration to: Independent Practice Certificate||Effective:   30 Dec 1985</t>
  </si>
  <si>
    <t>84118</t>
  </si>
  <si>
    <t xml:space="preserve">Active Member as of 27 Mar 2006 </t>
  </si>
  <si>
    <t xml:space="preserve">Independent Practice as of 27 Mar 2006 </t>
  </si>
  <si>
    <t>University of Natal, 1986</t>
  </si>
  <si>
    <t>(613) 722-6521 Ext. 6617</t>
  </si>
  <si>
    <t>Renfrew Victoria Hospital:Renfrew
Royal Ottawa Health Care Group:Ottawa</t>
  </si>
  <si>
    <t>Psychiatry||Effective: 23 Apr 2006||RCPSC Specialist</t>
  </si>
  <si>
    <t>University of Ottawa, 01 Jul 2006  to 30 Jun 2007|Clinical Fellow - Psychiatry</t>
  </si>
  <si>
    <t>First certificate of registration issued: Independent Practice Certificate||Effective:   27 Mar 2006</t>
  </si>
  <si>
    <t>Asifjehan Khan Medicine Professional Corporation</t>
  </si>
  <si>
    <t>Dr. A. Khan (CPSO# 84118)</t>
  </si>
  <si>
    <t>Royal Ottawa Hospital,1145 Carling Avenue,Ottawa ON  K1Z 7K4,(613) 722-6521</t>
  </si>
  <si>
    <t>83408</t>
  </si>
  <si>
    <t xml:space="preserve">Active Member as of 11 Feb 2015 </t>
  </si>
  <si>
    <t xml:space="preserve">Independent Practice as of 11 Feb 2015 </t>
  </si>
  <si>
    <t>English, Hindi, Panjabi/Punjabi, Pushto, Urdu</t>
  </si>
  <si>
    <t>Nishtar Medical College, 1992</t>
  </si>
  <si>
    <t>Building N-111, Rm 139,2 Field Ambulance,,Petawawa, Canadian Forces Base(CFB),Petawawa ON  K8H 2X3</t>
  </si>
  <si>
    <t>613-687-5511</t>
  </si>
  <si>
    <t>Psychiatry||Effective: 27 Dec 2014||RCPSC Specialist</t>
  </si>
  <si>
    <t>University of Ottawa, 01 Jul 2005  to 22 Sep 2005|Assessment Verification Period - Psychiatry
University of Ottawa, 23 Sep 2005  to 30 Jun 2006|PostGrad Yr 1 - Psychiatry
University of Ottawa, 01 Jul 2006  to 30 Jun 2007|PostGrad Yr 2 - Psychiatry
University of Ottawa, 01 Jul 2007  to 26 Nov 2007|PostGrad Yr 2 - Psychiatry
University of Ottawa, 27 Nov 2007  to 26 Nov 2008|PostGrad Yr 3 - Psychiatry
University of Ottawa, 27 Nov 2008  to 30 Jun 2009|PostGrad Yr 4 - Psychiatry
University of Ottawa, 01 Jul 2009  to 30 Jun 2010|PostGrad Yr 3 - Psychiatry
University of Ottawa, 01 Jul 2010  to 30 Jun 2011|PostGrad Yr 3 - Psychiatry
University of Ottawa, 01 Jul 2011  to 30 Jun 2012|PostGrad Yr 3 - Psychiatry
University of Ottawa, 01 Jul 2012  to 17 Dec 2012|PostGrad Yr 3 - Psychiatry
University of Ottawa, 18 Dec 2012  to 30 Jun 2013|PostGrad Yr 4 - Psychiatry
University of Ottawa, 01 Jul 2013  to 17 Dec 2013|PostGrad Yr 4 - Psychiatry
University of Ottawa, 18 Dec 2013  to 30 Jun 2014|PostGrad Yr 5 - Psychiatry
University of Ottawa, 01 Jul 2014  to 17 Dec 2014|PostGrad Yr 5 - Psychiatry
University of Ottawa, 18 Dec 2014  to 27 Dec 2014|PostGrad Yr 5 - Psychiatry</t>
  </si>
  <si>
    <t>First certificate of registration issued: Pre Entry Assessment Program Certificate||Effective:   01 Jul 2005
Transfer of class of registration to: Postgraduate Education Certificate||Effective:   23 Sep 2005
Expired: Terms and conditions of certificate of registration||Expiry:      27 Dec 2014
Subsequent certificate of registration Issued: Independent Practice Certificate||Effective:   11 Feb 2015</t>
  </si>
  <si>
    <t>Asmat Khan Medicine Professional Corporation</t>
  </si>
  <si>
    <t>Issued Date:  Aug 24 2015</t>
  </si>
  <si>
    <t>Dr. A. Khan (CPSO# 83408)</t>
  </si>
  <si>
    <t>Building N-111,Room 139,2 Field Ambulance,Petawawa ON  K8H 2X3,(613) 687-5511</t>
  </si>
  <si>
    <t>42345</t>
  </si>
  <si>
    <t xml:space="preserve">Active Member as of 07 May 1973 </t>
  </si>
  <si>
    <t xml:space="preserve">Independent Practice as of 25 Oct 1989 </t>
  </si>
  <si>
    <t>University of Salonika, 1971</t>
  </si>
  <si>
    <t>(416) 966-0640</t>
  </si>
  <si>
    <t>(416) 966-0641</t>
  </si>
  <si>
    <t>First certificate of registration issued: Postgraduate Education Certificate||Effective:   07 May 1973
Transfer of class of registration to: Hospital Practice Certificate||Effective:   28 Dec 1978
Transfer of class of registration to: Independent Practice Certificate||Effective:   25 Oct 1989</t>
  </si>
  <si>
    <t>83141</t>
  </si>
  <si>
    <t xml:space="preserve">Active Member as of 27 Oct 2006 </t>
  </si>
  <si>
    <t xml:space="preserve">Independent Practice as of 27 Oct 2006 </t>
  </si>
  <si>
    <t>English, Persian</t>
  </si>
  <si>
    <t>Spartan Health Sciences University, 1998</t>
  </si>
  <si>
    <t>1762 Westwood blvd,Los angeles CA  90024,United States</t>
  </si>
  <si>
    <t>4246451918</t>
  </si>
  <si>
    <t>Unit 7C,10288 Yonge Street,Richmond Hill ON  L4C 3B8,Canada,Phone:(424) 645-1918,County:Regional Municipality of York,Electoral District:05</t>
  </si>
  <si>
    <t>USA - California
USA - Maryland</t>
  </si>
  <si>
    <t>First certificate of registration issued: Restricted certificate||Effective:   21 Jun 2005
Terms and conditions imposed on certificate by Registration Committee||Effective:   21 Jun 2005
Expiry date attached to certificate of registration.||Expiry Date: 20 Jun 2008
Expired: Terms and conditions imposed on certificate by Registration Committee||Effective:   26 Oct 2006
Subsequent certificate of registration Issued: Independent Practice Certificate||Effective:   27 Oct 2006</t>
  </si>
  <si>
    <t>Seif Medicine Professional Corporation</t>
  </si>
  <si>
    <t>Inactive: Dec  9 2015</t>
  </si>
  <si>
    <t>66247</t>
  </si>
  <si>
    <t xml:space="preserve">Active Member as of 10 Mar 1993 </t>
  </si>
  <si>
    <t xml:space="preserve">Independent Practice as of 10 Mar 1993 </t>
  </si>
  <si>
    <t>University of Delhi, 1986</t>
  </si>
  <si>
    <t>88 maplewood ave,Hamilton ON  L8M 1W9</t>
  </si>
  <si>
    <t>(905) 304-4589</t>
  </si>
  <si>
    <t>(905) 304-2226</t>
  </si>
  <si>
    <t>Hamilton Health Sciences,Corporation,Hamilton ON  L8N 3Z5,Canada,County:Regional Municipality of Hamilton-Wentworth,Electoral District:04
Homewood Health Center,150 Delhi Street,Guelph ON  N1E 6K9,Canada,Phone:905 304-4589,County:County of Wellington,Electoral District:03</t>
  </si>
  <si>
    <t>Guelph General Hospital:Guelph
Hamilton Health Sciences Centre McMaster &amp; Childrens Hosp,McMaster &amp; Children's Hospital:Hamilton
Hamilton Health Sciences Corporation,St. Peter's Hospital:Hamilton
Homewood Health Centre:Guelph
St Joseph's Healthcare System,Hamilton:Hamilton</t>
  </si>
  <si>
    <t>Psychiatry||Effective: 12 Nov 1992||RCPSC Specialist</t>
  </si>
  <si>
    <t>First certificate of registration issued: Independent Practice Certificate||Effective:   10 Mar 1993</t>
  </si>
  <si>
    <t>A. Luthra Medicine Professional Corporation</t>
  </si>
  <si>
    <t>Issued Date:  Jan 17 2003</t>
  </si>
  <si>
    <t>Dr. A. Luthra (CPSO# 66247)</t>
  </si>
  <si>
    <t>Homewood Healthcare Centre,150 Delhi Street,Guelph ON  N1E 6K9,(519) 824-1010
St. Peters Hospital,St. Peters Hospital,88 Maplewood Avenue,Hamilton ON  L8M 1W9,(905) 777-3837
St. Joesph Healthcare,St. Joesph Healthcare,50 Charleton Street,Hamilton ON  L8N 4A6,(905) 522-1155
Village of Tensley Woods,Village of Tensley Woods,4100 Upper Middle Road,Burlington ON  L7M 4W8,(905) 336-9904
Billings Court,Billings Court,3700 Billings Court,Burlington ON  L7N 3N6,(905) 333-4006</t>
  </si>
  <si>
    <t>101501</t>
  </si>
  <si>
    <t>University of Limerick, 2013</t>
  </si>
  <si>
    <t>Parkwood Institute,Mental Health Care,5500 Wellington Rd,London ON  N6C 0A7</t>
  </si>
  <si>
    <t>The University of Western Ontario, 01 Jul 2013  to 21 Oct 2013|Assessment Verification Period - Psychiatry
The University of Western Ontario, 22 Oct 2013  to 30 Jun 2014|PostGrad Yr 1 - Psychiatry
The University of Western Ontario, 01 Jul 2014  to 30 Jun 2015|PostGrad Yr 2 - Psychiatry
The University of Western Ontario, 01 Jul 2015  to 30 Jun 2016|PostGrad Yr 3 - Psychiatry
The University of Western Ontario, 01 Jul 2016  to 30 Jun 2017|PostGrad Yr 4 - Psychiatry
The University of Western Ontario, 01 Jul 2017  to 30 Jun 2018|PostGrad Yr 5 - Psychiatry</t>
  </si>
  <si>
    <t>First certificate of registration issued: Pre Entry Assessment Program Certificate||Effective:   01 Jul 2013
Transfer of class of registration to: Postgraduate Education Certificate||Effective:   22 Oct 2013
Transfer of class of registration to: Independent Practice Certificate||Effective:   30 Jun 2018</t>
  </si>
  <si>
    <t>66891</t>
  </si>
  <si>
    <t>University of Alberta, 1993</t>
  </si>
  <si>
    <t>111107</t>
  </si>
  <si>
    <t xml:space="preserve">Active Member as of 24 Oct 2016 </t>
  </si>
  <si>
    <t xml:space="preserve">Independent Practice as of 24 Oct 2016 </t>
  </si>
  <si>
    <t>McMaster University, 2006</t>
  </si>
  <si>
    <t>Homewood Health Centre,150 Delhi Street,Guelph ON  N1E 6K9</t>
  </si>
  <si>
    <t>(519) 824-1010 Ext. 2307</t>
  </si>
  <si>
    <t>First certificate of registration issued: Independent Practice Certificate||Effective:   24 Oct 2016</t>
  </si>
  <si>
    <t>Dr. Ava Muir Medicine Professional Corporation</t>
  </si>
  <si>
    <t>Issued Date:  Feb 02 2017</t>
  </si>
  <si>
    <t>Dr. A. Muir (CPSO# 111107)</t>
  </si>
  <si>
    <t>Homewood Health Centre,149-150 Delhi Street,Guelph ON  N1E 6K9,(519) 824-1010</t>
  </si>
  <si>
    <t>26193</t>
  </si>
  <si>
    <t xml:space="preserve">Active Member as of 11 Oct 1973 </t>
  </si>
  <si>
    <t xml:space="preserve">Independent Practice as of 11 Oct 1973 </t>
  </si>
  <si>
    <t>English, Tagalog</t>
  </si>
  <si>
    <t>University of Santo Tomas, 1958</t>
  </si>
  <si>
    <t>Psychiatry||Effective: 29 Nov 1967||RCPSC Specialist</t>
  </si>
  <si>
    <t>First certificate of registration issued: Independent Practice Certificate||Effective:   11 Oct 1973</t>
  </si>
  <si>
    <t>61346</t>
  </si>
  <si>
    <t xml:space="preserve">Active Member as of 01 Jul 1989 </t>
  </si>
  <si>
    <t xml:space="preserve">Independent Practice as of 07 Mar 1991 </t>
  </si>
  <si>
    <t>The University of British Columbia, 1987</t>
  </si>
  <si>
    <t>554 Spadina Crescent,Toronto ON  M5S 2J9</t>
  </si>
  <si>
    <t>(416) 966-9256</t>
  </si>
  <si>
    <t>University of Toronto, 01 Jul 1992  to 30 Jun 1993|Resident 4 - Psychiatry</t>
  </si>
  <si>
    <t>First certificate of registration issued: Postgraduate Education Certificate||Effective:   01 Jul 1989
Transfer of class of registration to: Independent Practice Certificate||Effective:   07 Mar 1991</t>
  </si>
  <si>
    <t>54647</t>
  </si>
  <si>
    <t>The University of Manitoba, 1983</t>
  </si>
  <si>
    <t>Suit 603,1 St Clair Avenue East,Toronto ON  M4T 2V7</t>
  </si>
  <si>
    <t>(416) 932-1333</t>
  </si>
  <si>
    <t>Psychiatry||Effective: 07 Jun 1988||RCPSC Specialist</t>
  </si>
  <si>
    <t>First certificate of registration issued: Postgraduate Education Certificate||Effective:   01 Jul 1984
Transfer of class of registration to: Independent Practice Certificate||Effective:   05 Jul 1985</t>
  </si>
  <si>
    <t>93801</t>
  </si>
  <si>
    <t xml:space="preserve">Independent Practice as of 09 May 2018 </t>
  </si>
  <si>
    <t>Harel, Avital (used until: 05 Dec 2011 )</t>
  </si>
  <si>
    <t>The University of Western Ontario, 2010</t>
  </si>
  <si>
    <t>Michael Garron Hospital,825 Coxwell Ave,Toronto ON  M4C 3E7</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</si>
  <si>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4 - Psychiatry
University of Toronto, 01 Jul 2015  to 30 Jun 2016|PostGrad Yr 5 - Paediatric Psychiatry
University of Toronto, 01 Jul 2016  to 30 Jun 2017|PostGrad Yr 6 - Paediatric Psychiatry
University of Toronto, 01 Jul 2017  to 30 Jun 2018|PostGrad Yr 6 - Paediatric Psychiatry</t>
  </si>
  <si>
    <t>First certificate of registration issued: Postgraduate Education Certificate||Effective:   01 Jul 2010
Transfer of class of registration to: Independent Practice Certificate||Effective:   09 May 2018</t>
  </si>
  <si>
    <t>97682</t>
  </si>
  <si>
    <t>McMaster University, 2012</t>
  </si>
  <si>
    <t>CAMH,80 Workman Way,Toronto ON  M6J 1H4</t>
  </si>
  <si>
    <t>(416) 535 8501</t>
  </si>
  <si>
    <t>University of Toronto,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Geriatric Psychiatry
University of Toronto, 01 Jul 2017  to 30 Jun 2018|PostGrad Yr 6 - Geriatric Psychiatry</t>
  </si>
  <si>
    <t>24878</t>
  </si>
  <si>
    <t xml:space="preserve">Active Member as of 19 Jul 1972 </t>
  </si>
  <si>
    <t xml:space="preserve">Independent Practice as of 19 Jul 1972 </t>
  </si>
  <si>
    <t>University of Cairo, 1957</t>
  </si>
  <si>
    <t>Humber River Hospital,Mental Health &amp; Addictions,1235 Wilson Ave., 5th Floor,Toronto ON  M3M 0B2</t>
  </si>
  <si>
    <t>(416) 242-1000 Ext. 43040</t>
  </si>
  <si>
    <t>(416) 242-1101</t>
  </si>
  <si>
    <t>Psychiatry||Effective: 19 Nov 1975||RCPSC Specialist</t>
  </si>
  <si>
    <t>First certificate of registration issued: Postgraduate Education Certificate||Effective:   01 Jul 1970
Transfer of class of registration to: Independent Practice Certificate||Effective:   19 Jul 1972</t>
  </si>
  <si>
    <t>56639</t>
  </si>
  <si>
    <t xml:space="preserve">Active Member as of 04 Jul 2014 </t>
  </si>
  <si>
    <t xml:space="preserve">Independent Practice as of 30 Nov 2015 </t>
  </si>
  <si>
    <t>Ain Shams University, 1972</t>
  </si>
  <si>
    <t>Suite 2,420 North Service Road East,Oakville ON  L6H 5R2</t>
  </si>
  <si>
    <t>(905) 338-3331</t>
  </si>
  <si>
    <t>(905) 338-2923</t>
  </si>
  <si>
    <t>824 King ST. West,Kitchener ON  N2G 1E3,Canada,Phone:1-519-579-2002,County:Regional Municipality of Waterloo,Electoral District:03
1408 Ernest Ave #205,London ON  N6E 3B2,Canada,Phone:1-519-685-6719,County:County of Middlesex,Electoral District:02
809 Brant street Suite 2,Burlington ON  L7R 2J4,Canada,Phone:(905) 632-1329,Fax:(905) 632-9015,County:Regional Municipality of Halton,Electoral District:04
77 The Queensway west suite 310,Mississauga ON  L5B 1B7,Canada,Phone:(905) 272-1114,Fax:(905) 272-1147,County:Regional Municipality of Peel,Electoral District:05</t>
  </si>
  <si>
    <t>First certificate of registration issued: Academic Practice Certificate||Effective:   04 Apr 1986
Transfer of class of registration to: Independent Practice Certificate||Effective:   02 Oct 1989
Transfer of class of certificate to: Restricted certificate||Effective:   04 Apr 2014
Terms and conditions imposed on certificate||Effective:   04 Apr 2014
Suspension of registration imposed: Discipline Committee||Effective:   04 Apr 2014
Suspension of registration removed||Effective:   04 Jul 2014
Transfer of class of registration to: Independent Practice Certificate||Effective:   30 Nov 2015</t>
  </si>
  <si>
    <t>70295</t>
  </si>
  <si>
    <t xml:space="preserve">Active Member as of 01 Jul 1996 </t>
  </si>
  <si>
    <t xml:space="preserve">Independent Practice as of 30 Jun 2001 </t>
  </si>
  <si>
    <t>Room FG35,2075 Bayview Ave,Toronto ON  M4N 3M5</t>
  </si>
  <si>
    <t>416-480-4070</t>
  </si>
  <si>
    <t>416-480-4613</t>
  </si>
  <si>
    <t>Psychiatry||Effective: 30 Jun 2001||RCPSC Specialist</t>
  </si>
  <si>
    <t>University of Toronto, 01 Jul 1996  to 30 Jun 1997|PostGrad Yr 1 - Psychiatry
University of Toronto, 01 Jul 1997  to 30 Jun 1998|PostGrad Yr 2 - Psychiatry
University of Toronto, 01 Jul 1998  to 30 Jun 1999|PostGrad Yr 3 - Psychiatry
University of Toronto, 01 Jul 1999  to 30 Jun 2000|PostGrad Yr 4 - Psychiatry
University of Toronto, 01 Jul 2000  to 30 Jun 2001|PostGrad Yr 5 - Psychiatry
University of Toronto, 01 Jul 2001  to 30 Jun 2002|Clinical Fellow - Psychiatry</t>
  </si>
  <si>
    <t>First certificate of registration issued: Postgraduate Education Certificate||Effective:   01 Jul 1996
Transfer of class of registration to: Independent Practice Certificate||Effective:   30 Jun 2001</t>
  </si>
  <si>
    <t>Dr. A. Schaffer Medicine Professional Corporation</t>
  </si>
  <si>
    <t>Issued Date:  Jun 22 2017</t>
  </si>
  <si>
    <t>Dr. A. Schaffer (CPSO# 70295)</t>
  </si>
  <si>
    <t>Sunnybrook Health Sciences Centre,Department of Psychiatry,Room FG 35,2075 Bayview Avenue,Toronto ON  M4N 3M5,(416) 480-4070</t>
  </si>
  <si>
    <t>92872</t>
  </si>
  <si>
    <t>University of Otago, 2006</t>
  </si>
  <si>
    <t>Cambridge Memorial Hospital,700 Coronation Blvd,Cambridge ON  N1R 3G2</t>
  </si>
  <si>
    <t>(519) 621-2330</t>
  </si>
  <si>
    <t>Cambridge Memorial Hospital:Cambridge</t>
  </si>
  <si>
    <t>University of Ottawa, 01 Jul 2010  to 22 Sep 2010|Assessment Verification Period - Psychiatry
University of Ottawa, 23 Sep 2010  to 30 Jun 2011|PostGrad Yr 1 - Psychiatry
University of Ottawa, 01 Jul 2011  to 30 Jun 2012|PostGrad Yr 2 - Psychiatry
University of Ottawa, 01 Jul 2012  to 30 Jun 2013|PostGrad Yr 3 - Psychiatry
University of Ottawa, 01 Jul 2013  to 30 Jun 2014|PostGrad Yr 4 - Psychiatry
University of Ottawa, 01 Jul 2014  to 30 Jun 2015|PostGrad Yr 5 - Psychiatry</t>
  </si>
  <si>
    <t>First certificate of registration issued: Pre Entry Assessment Program Certificate||Effective:   01 Jul 2010
Transfer of class of registration to: Postgraduate Education Certificate||Effective:   23 Sep 2010
Transfer of class of registration to: Independent Practice Certificate||Effective:   30 Jun 2015</t>
  </si>
  <si>
    <t>81688</t>
  </si>
  <si>
    <t xml:space="preserve">Active Member as of 13 Jul 2004 </t>
  </si>
  <si>
    <t xml:space="preserve">Independent Practice as of 13 Jul 2004 </t>
  </si>
  <si>
    <t>University of Alberta, 1999</t>
  </si>
  <si>
    <t>Queensway Carleton Hospital,Department of Psychiatry,3045 Baseline Road,Ottawa ON  K2H 8P4</t>
  </si>
  <si>
    <t>(613) 721-2000</t>
  </si>
  <si>
    <t>(613) 721-4773</t>
  </si>
  <si>
    <t>Ottawa Newcomer Health Centre,219 Argyle Ave,Ottawa ON  K2P 2H4,Canada,Phone:(613) 691-0192,County:Regional Municipality of Ottawa-Carleton,Electoral District:07
Timmins and District Hospital,700 Ross Ave,Timmins ON  P4N 8P2,Canada,Phone:7052672131,County:Territorial District of Cochrane,Electoral District:08</t>
  </si>
  <si>
    <t>Queensway Carleton Hospital:Ottawa
Timmins and District Hospital:Timmins</t>
  </si>
  <si>
    <t>First certificate of registration issued: Independent Practice Certificate||Effective:   13 Jul 2004</t>
  </si>
  <si>
    <t>Dr. Azaad Kassam Medicine Professional Corporation</t>
  </si>
  <si>
    <t>Issued Date:  Mar 20 2007</t>
  </si>
  <si>
    <t>Dr. A. Kassam (CPSO# 81688)</t>
  </si>
  <si>
    <t>Timmins &amp; District Hospital,700 Ross Avenue East,Timmins ON  P4N 8P2,(705) 267-2130
219 Argyle Avenue,219 Argyle Avenue,Ottawa ON  K2P 2H4
50 College Drive,50 College Drive,North Bay ON  P1B 0A4,(705) 474-1200
Queensway Carleton Hospital,Queensway Carleton Hospital,Department of Psychiatry,3045 Baseline Road,Ottawa ON  K2H 8P4,(613) 721-2000
1365 Richmond Road,1365 Richmond Road,Ottawa ON  K2B 6R7</t>
  </si>
  <si>
    <t>96098</t>
  </si>
  <si>
    <t>Iran Univ.of Med Sciences &amp; Hlth Service, 2005</t>
  </si>
  <si>
    <t>St Joseph's Healthcare,Centre for Moutain Health Services,Dept of Psy and Behavioural Science,100 West 5th Street,Hamilton ON  L8N 3K7</t>
  </si>
  <si>
    <t>(905) 522-1155 Ext. 34932</t>
  </si>
  <si>
    <t>Hamilton Health Sciences,General Site:Hamilton
Hamilton Health Sciences,Juravinski Hospital and Cancer Centre:Hamilton
St Joseph's Centre for Mountain Health Services:Hamilton
St Joseph's Healthcare System,Hamilton:Hamilton</t>
  </si>
  <si>
    <t>McMaster University, 01 Jul 2011  to 23 Sep 2011|Assessment Verification Period - Psychiatry
McMaster University, 24 Sep 2011  to 30 Jun 2012|PostGrad Yr 1 - Psychiatry
McMaster University, 01 Jul 2012  to 30 Jun 2013|PostGrad Yr 2 - Psychiatry
McMaster University, 01 Jul 2013  to 30 Jun 2014|PostGrad Yr 3 - Psychiatry
McMaster University, 01 Jul 2014  to 30 Jun 2015|PostGrad Yr 4 - Psychiatry
McMaster University, 01 Jul 2015  to 30 Jun 2016|PostGrad Yr 4 - Psychiatry
McMaster University, 01 Jul 2016  to 12 Jul 2016|PostGrad Yr 4 - Psychiatry
McMaster University, 13 Jul 2016  to 30 Jun 2017|PostGrad Yr 5 - Psychiatry</t>
  </si>
  <si>
    <t>First certificate of registration issued: Pre Entry Assessment Program Certificate||Effective:   01 Jul 2011
Transfer of class of registration to: Postgraduate Education Certificate||Effective:   24 Sep 2011
Transfer of class of registration to: Independent Practice Certificate||Effective:   30 Jun 2017</t>
  </si>
  <si>
    <t>86867</t>
  </si>
  <si>
    <t>The University of Western Ontario, 2007</t>
  </si>
  <si>
    <t>Parkwood Institute,Mental Health Care Building,550 Wellington Road,London ON  N6C 0A7</t>
  </si>
  <si>
    <t>(519) 455-5110</t>
  </si>
  <si>
    <t>(519) 455-2262</t>
  </si>
  <si>
    <t>Canadian Mental Health Association,Huron Street Site,648 Huron Street,London ON  N5Y 4J8,Canada,Phone:(519) 434-9191,Fax:(519) 438-1167,County:County of Middlesex,Electoral District:02</t>
  </si>
  <si>
    <t>The University of Western Ontario, 01 Jul 2007  to 30 Jun 2008|PostGrad Yr 1 - Psychiatry
The University of Western Ontario, 01 Jul 2008  to 30 Jun 2009|PostGrad Yr 2 - Psychiatry
The University of Western Ontario, 01 Jul 2009  to 30 Jun 2010|PostGrad Yr 3 - Psychiatry
The University of Western Ontario, 01 Jul 2010  to 30 Jun 2011|PostGrad Yr 4 - Psychiatry
The University of Western Ontario, 01 Jul 2011  to 30 Jun 2012|PostGrad Yr 5 - Psychiatry</t>
  </si>
  <si>
    <t>Haque Ngo Medicine Professional Corporation</t>
  </si>
  <si>
    <t>Issued Date:  May 17 2013</t>
  </si>
  <si>
    <t>Dr. M. Ngo (CPSO# 86553),Dr. A. Haque (CPSO# 86867)</t>
  </si>
  <si>
    <t>First Episode Mood,and Anxiety Program,London Health Sciences Centre,860 Richmond Street,London ON  N6A 3H8,(519) 646-6000
800 Commissioners Road East,800 Commissioners Road East,London ON  N6A 5W9,(519) 685-8500
550 Wellington Road,550 Wellington Road,London ON  N6C 0A7,(519) 455-5110
648 Huron Street,648 Huron Street,London ON  N5Y 4J8,(519) 434-9191</t>
  </si>
  <si>
    <t>85517</t>
  </si>
  <si>
    <t xml:space="preserve">Active Member as of 01 Feb 2011 </t>
  </si>
  <si>
    <t xml:space="preserve">Restricted as of 01 Feb 2011 </t>
  </si>
  <si>
    <t>University of Karachi, 1997</t>
  </si>
  <si>
    <t>71 Lawton Boulevard,Toronto ON  M4V 1Z6</t>
  </si>
  <si>
    <t>4164501294</t>
  </si>
  <si>
    <t>6 albert street,west parry sound health centre,International sleep clinic,Parry Sound ON  P2A 3A4,Canada,Phone:(705) 746-4540 Ext. 3306,Fax:(705) 773-4087,County:Territorial District of Parry Sound,Electoral District:08
227 victoria street,youthdale treatment centre,Toronto ON  M5B 1T8,Canada,Phone:(416) 363-3751 Ext. 2390,County:City of Toronto,Electoral District:10</t>
  </si>
  <si>
    <t>West Parry Sound Health Centre:Parry Sound</t>
  </si>
  <si>
    <t>Psychiatry||Effective: 12 Jan 2018||RCPSC Specialist</t>
  </si>
  <si>
    <t>University of Toronto, 01 Aug 2006  to 05 Oct 2006|PEAP - Clinical Fellow - Psychiatry
University of Toronto, 06 Oct 2006  to 30 Jun 2007|Clinical Fellow - Psychiatry
University of Toronto, 01 Jul 2007  to 30 Jun 2008|Clinical Fellow - Psychiatry
University of Toronto, 01 Jul 2008  to 30 Jun 2009|Clinical Fellow - Psychiatry
University of Toronto, 01 Jul 2009  to 30 Jun 2010|Clinical Fellow - Psychiatry
University of Toronto, 01 Jul 2010  to 31 Jan 2011|Clinical Fellow - Psychiatry</t>
  </si>
  <si>
    <t>First certificate of registration issued: Pre Entry Assessment Program Certificate||Effective:   18 Aug 2006
Transfer of class of registration to: Postgraduate Education Certificate||Effective:   06 Oct 2006
Expired: Terms and conditions of certificate of registration||Expiry:      31 Jan 2011
Subsequent certificate of registration issued: Restricted certificate||Effective:   01 Feb 2011
Terms and conditions amended by Registration Committee||Effective:   12 May 2017</t>
  </si>
  <si>
    <t>N T Siddiqui Medicine Professional Corporation</t>
  </si>
  <si>
    <t>Issued Date:  Sep 30 2010</t>
  </si>
  <si>
    <t>Dr. A. Shahid (CPSO# 85517),Dr. N. Siddiqui (CPSO# 82092)</t>
  </si>
  <si>
    <t>Mount Sinai Hospital,Department of Anaesthesia and Pain Management,Unit 19-104,600 University Avenue,Toronto ON  M5G 1X5,(416) 586-5270
Mount Sinai Hospital,Department of Anaesthesia and Pain Management,Unit 19-104,600 University Avenue,Toronto ON  M5G 1X5,(416) 586-527</t>
  </si>
  <si>
    <t>Azmeh Shahid Medicine Professional Corporation</t>
  </si>
  <si>
    <t>Issued Date:  Nov 22 2011</t>
  </si>
  <si>
    <t>Dr. A. Shahid (CPSO# 85517)</t>
  </si>
  <si>
    <t>Youthdale Treatment Centre,Department of Psychiatry,227 Victoria Street,Toronto ON  M5B 1T8,(416) 363-3751</t>
  </si>
  <si>
    <t>67093</t>
  </si>
  <si>
    <t xml:space="preserve">Active Member as of 14 Jul 2003 </t>
  </si>
  <si>
    <t xml:space="preserve">Independent Practice as of 14 Jul 2003 </t>
  </si>
  <si>
    <t>The University of British Columbia, 1993</t>
  </si>
  <si>
    <t>CAMH PACE Clinic,Room 1326,80 Workman Way,Toronto ON  M6J 1H4</t>
  </si>
  <si>
    <t>(416) 535-8501 Ext. 32722</t>
  </si>
  <si>
    <t>University of Toronto, 01 Jul 1993  to 30 Jun 1994|PostGrad Yr 1 - Anatomical Pathology
McMaster University, 01 Jul 1994  to 30 Jun 1995|Resident 1 - General Pathology
McMaster University, 01 Jul 1995  to 30 Jun 1996|Resident 2 - General Pathology
McMaster University, 01 Jul 1996  to 30 Jun 1997|Resident 3 - General Pathology
McMaster University, 01 Jul 1997  to 30 Jun 1998|Resident 4 - General Pathology</t>
  </si>
  <si>
    <t>First certificate of registration issued: Postgraduate Education Certificate||Effective:   01 Jul 1993
Expired: Terms and conditions of certificate of registration||Expiry:      30 Jun 1998
Subsequent certificate of registration Issued: Independent Practice Certificate||Effective:   14 Jul 2003</t>
  </si>
  <si>
    <t>Dr. Babak Abadi Medicine Professional Corporation</t>
  </si>
  <si>
    <t>Issued Date:  Nov 17 2008</t>
  </si>
  <si>
    <t>Dr. B. Abadi (CPSO# 67093)</t>
  </si>
  <si>
    <t>CAMH PACE Clinic,Room 1326,80 Workman Way,Toronto ON  M6J 1H4,(416) 535-8501</t>
  </si>
  <si>
    <t>51377</t>
  </si>
  <si>
    <t xml:space="preserve">Independent Practice as of 01 Jul 1993 </t>
  </si>
  <si>
    <t>English, Hindi, Telugu, Urdu</t>
  </si>
  <si>
    <t>Osmania University, 1963</t>
  </si>
  <si>
    <t>1496 Danforth Avenue,Toronto ON  M4J 1N4</t>
  </si>
  <si>
    <t>(416) 778-1496</t>
  </si>
  <si>
    <t>(416) 778-1400</t>
  </si>
  <si>
    <t>suite 400,Toronto ON  M3B 2S7,Canada,Phone:416 386 9761,Fax:416 386 0458,County:City of Toronto,Electoral District:10</t>
  </si>
  <si>
    <t>First certificate of registration issued: Postgraduate Education Certificate||Effective:   01 Jul 1979
Subsequent certificate of registration Issued: Hospital Practice Certificate||Effective:   01 Jul 1983
Transfer of class of registration to: Independent Practice Certificate||Effective:   01 Jul 1993</t>
  </si>
  <si>
    <t>Dr. Badarunisa B. Khan Medicine Professional Corporation</t>
  </si>
  <si>
    <t>Issued Date:  Oct 29 2013</t>
  </si>
  <si>
    <t>Dr. B. Khan (CPSO# 51377)</t>
  </si>
  <si>
    <t>1496 Danforth Avenue,Toronto ON  M4J 1N4,(416) 778-1496
Suite 400,Suite 400,1 Valleybrook Drive,Toronto ON  M3B 2S7,(416) 386-9761</t>
  </si>
  <si>
    <t>111839</t>
  </si>
  <si>
    <t xml:space="preserve">Active Member as of 10 May 2017 </t>
  </si>
  <si>
    <t xml:space="preserve">Restricted as of 10 May 2017 </t>
  </si>
  <si>
    <t>Lyceum Northwestern University, 1998</t>
  </si>
  <si>
    <t>Grand River Hospital,Freeport Site,PO Box 9056,3570 King Street East,Kitchener ON  N2A 2W1</t>
  </si>
  <si>
    <t>519-749-4300</t>
  </si>
  <si>
    <t>Grand River Hospital,KW - Acute Site,835 King Street West,Kitchener ON  N2G 1G3,Canada,Phone:519-749-4300,County:Regional Municipality of Waterloo,Electoral District:03</t>
  </si>
  <si>
    <t>Psychiatry||Effective: 10 May 2017||CPSO Recognized Specialist</t>
  </si>
  <si>
    <t>First certificate of registration issued: Restricted certificate||Effective:   10 May 2017
Terms and conditions imposed on certificate by Registration Committee||Effective:   10 May 2017
Expiry date attached to certificate of registration.||Expiry Date: 09 May 2020</t>
  </si>
  <si>
    <t>97225</t>
  </si>
  <si>
    <t xml:space="preserve">Active Member as of 27 Jan 2012 </t>
  </si>
  <si>
    <t xml:space="preserve">Restricted as of 27 Jan 2012 </t>
  </si>
  <si>
    <t>Tamil Nadu Dr M G R Medical University, 1996</t>
  </si>
  <si>
    <t>Chatham Kent Health Alliance,Mental health and Addictions,240 Grand Ave.West,Chatham ON  N7L 1C1</t>
  </si>
  <si>
    <t>(519) 351 6144 Ext. 5340</t>
  </si>
  <si>
    <t>(519) 480 0322</t>
  </si>
  <si>
    <t>495 Grand Av west,Chatham ON  N7L 1C5,Canada,Phone:519-352-0440,Fax:519-352-4152,County:County of Kent,Electoral District:01
Medical Centre,430 The Board walk,Suite 308,waterloo N2T 0C1,Waterloo ON  N2T 0C1,Canada,Phone:519-744-1785,Fax:226-887-8684,County:Regional Municipality of Waterloo,Electoral District:03</t>
  </si>
  <si>
    <t>Chatham-Kent Health Alliance:Chatham</t>
  </si>
  <si>
    <t>Psychiatry||Effective: 30 Jun 2010||RCPSC Specialist
Child and Adolescent Psychiatry||Effective: 21 Sep 2015||RCPSC Specialist</t>
  </si>
  <si>
    <t>First certificate of registration issued: Restricted certificate||Effective:   27 Jan 2012
Terms and conditions imposed on certificate by Registration Committee||Effective:   27 Jan 2012
Expiry date attached to certificate of registration.||Expiry Date: 26 Jul 2013
Terms and conditions amended by Registration Committee||Effective:   01 May 2013
Terms and conditions amended by Registration Committee||Effective:   29 May 2013
Expiry date removed from certificate of registration.||Effective:   12 Jul 2013</t>
  </si>
  <si>
    <t>Dr. Balaji Gopidasan Medicine Professional Corporation</t>
  </si>
  <si>
    <t>Issued Date:  Jul 18 2014</t>
  </si>
  <si>
    <t>Dr. B. Gopidasan (CPSO# 97225)</t>
  </si>
  <si>
    <t>Medical Centre,430 Board Walk,Waterloo ON  N2T 0C1,(519) 744-1785
Chatham Kent Health Alliance,Chatham Kent Health Alliance,Mental Health and Addictions,80 Grand Avenue West,Chatham ON  N7M 5L9,(519) 351-6144
495 Grand Avenue West,495 Grand Avenue West,Chatham ON  N7L 1C5,(519) 352-0440</t>
  </si>
  <si>
    <t>29019</t>
  </si>
  <si>
    <t xml:space="preserve">Active Member as of 06 Apr 1977 </t>
  </si>
  <si>
    <t xml:space="preserve">Independent Practice as of 06 Apr 1977 </t>
  </si>
  <si>
    <t>Punjab University, Pakistan, 1962</t>
  </si>
  <si>
    <t>101 Humber College Boulevard,Etobicoke ON  M9V 1R8</t>
  </si>
  <si>
    <t>(416) 494-2120 Ext. ext.32362</t>
  </si>
  <si>
    <t>(416) 747-3350</t>
  </si>
  <si>
    <t>Psychiatry||Effective: 16 Nov 1976||RCPSC Specialist</t>
  </si>
  <si>
    <t>First certificate of registration issued: Independent Practice Certificate||Effective:   06 Apr 1977</t>
  </si>
  <si>
    <t>Sood Medicine Professional Corporation</t>
  </si>
  <si>
    <t>Inactive: Jul 13 2012</t>
  </si>
  <si>
    <t>42538</t>
  </si>
  <si>
    <t xml:space="preserve">Independent Practice as of 19 May 1987 </t>
  </si>
  <si>
    <t>McMaster University, 1980</t>
  </si>
  <si>
    <t>Children's Hospital of Eastern Ontario:Ottawa</t>
  </si>
  <si>
    <t>First certificate of registration issued: Postgraduate Education Certificate||Effective:   01 Jul 1980
Expired: Terms and conditions of certificate of registration||Expiry:      30 Jun 1982
Subsequent certificate of registration Issued: Postgraduate Education Certificate||Effective:   01 Jul 1984
Transfer of class of registration to: Independent Practice Certificate||Effective:   19 May 1987</t>
  </si>
  <si>
    <t>Barbara A. Jones Medicine Professional Corporation</t>
  </si>
  <si>
    <t>Inactive: Nov  2 2017</t>
  </si>
  <si>
    <t>67700</t>
  </si>
  <si>
    <t xml:space="preserve">Active Member as of 12 Nov 2014 </t>
  </si>
  <si>
    <t xml:space="preserve">Independent Practice as of 12 Nov 2014 </t>
  </si>
  <si>
    <t>Memorial University of Newfoundland, 1990</t>
  </si>
  <si>
    <t>Suite 201,193 LeMarchant Rd,St. John's NL  A1C 2H5</t>
  </si>
  <si>
    <t>(709) 579-6800</t>
  </si>
  <si>
    <t>Psychiatry||Effective: 30 Jun 1995||RCPSC Specialist
Child and Adolescent Psychiatry||Effective: 26 Sep 2013||RCPSC Specialist</t>
  </si>
  <si>
    <t>University of Ottawa, 11 Apr 1994  to 08 Jul 1994|Elective Trainee - Psychiatry</t>
  </si>
  <si>
    <t>First certificate of registration issued: Postgraduate Education Certificate||Effective:   11 Apr 1994
Expired: Terms and conditions of certificate of registration||Expiry:      30 Jun 1994
Subsequent certificate of registration Issued: Independent Practice Certificate||Effective:   12 Nov 2014</t>
  </si>
  <si>
    <t>85801</t>
  </si>
  <si>
    <t xml:space="preserve">Active Member as of 19 Jun 2009 </t>
  </si>
  <si>
    <t xml:space="preserve">Independent Practice as of 19 Jun 2009 </t>
  </si>
  <si>
    <t>University of Karachi, 1996</t>
  </si>
  <si>
    <t>69 Facer Street,St Catharines ON  L2M 5J3</t>
  </si>
  <si>
    <t>(905) 935-2828</t>
  </si>
  <si>
    <t>(905) 935-5478</t>
  </si>
  <si>
    <t>1200 Fourth Ave.,St Catharines ON  L2S 0A9,Canada,Phone:905-3784647 Ext. 46573,Fax:9057044406,County:Regional Municipality of Niagara,Electoral District:04</t>
  </si>
  <si>
    <t>Psychiatry||Effective: 14 Apr 2008||RCPSC Specialist</t>
  </si>
  <si>
    <t>First certificate of registration issued: Restricted certificate||Effective:   06 Dec 2006
Terms and conditions imposed on certificate by Registration Committee||Effective:   06 Dec 2006
Expiry date attached to certificate of registration.||Expiry Date: 05 Dec 2009
Expired: Terms and conditions imposed on certificate by Registration Committee||Effective:   19 Jun 2009
Subsequent certificate of registration Issued: Independent Practice Certificate||Effective:   19 Jun 2009</t>
  </si>
  <si>
    <t>B. Yu-Siao Medicine Professional Corporation</t>
  </si>
  <si>
    <t>Issued Date:  Oct 02 2008</t>
  </si>
  <si>
    <t>Dr. B. Yu-Siao (CPSO# 85801)</t>
  </si>
  <si>
    <t>69 Facer Street,St Catharines ON  L2M 5J3,(905) 935-2828</t>
  </si>
  <si>
    <t>30389</t>
  </si>
  <si>
    <t xml:space="preserve">Active Member as of 06 Sep 1978 </t>
  </si>
  <si>
    <t xml:space="preserve">Independent Practice as of 06 Sep 1978 </t>
  </si>
  <si>
    <t>The University of Western Ontario, 1975</t>
  </si>
  <si>
    <t>77 Madison Avenue,Toronto ON  M5R 2S3</t>
  </si>
  <si>
    <t>(416) 278-9605</t>
  </si>
  <si>
    <t>(416) 519-4535</t>
  </si>
  <si>
    <t>First certificate of registration issued: Independent Practice Certificate||Effective:   06 Sep 1978</t>
  </si>
  <si>
    <t>Dorian &amp; Garfinkel Medicine Professional Corporation</t>
  </si>
  <si>
    <t>Issued Date:  Jun 19 2006</t>
  </si>
  <si>
    <t>Dr. B. Dorian (CPSO# 30389),Dr. P. Garfinkel (CPSO# 22710)</t>
  </si>
  <si>
    <t>77 Madison Avenue,Toronto ON  M5R 2S3,(416) 531-2735
Suite 820,Suite 820,250 College Street,Toronto ON  M5T 1R8,(416) 535-8501</t>
  </si>
  <si>
    <t>74004</t>
  </si>
  <si>
    <t>University of Toronto, 1999</t>
  </si>
  <si>
    <t>Waypoint Centre,500 Church Street,Penetanguishene ON  L9M 1G3</t>
  </si>
  <si>
    <t>33506</t>
  </si>
  <si>
    <t xml:space="preserve">Active Member as of 07 Jun 2012 </t>
  </si>
  <si>
    <t xml:space="preserve">Independent Practice as of 07 Jun 2012 </t>
  </si>
  <si>
    <t>Stanford, Barbara Mcnichol (used until: 14 Apr 1983 )</t>
  </si>
  <si>
    <t>Dalhousie University, 1981</t>
  </si>
  <si>
    <t>New Brunswick
Newfoundland and Labrador
Nova Scotia</t>
  </si>
  <si>
    <t>Queen's University, 01 Jul 1984  to 30 Jun 1985|Resident 1 - Psychiatry
Queen's University, 01 Jul 1985  to 30 Jun 1986|Resident 2 - Psychiatry
Queen's University, 01 Jul 1986  to 30 Jun 1987|Resident 3 - Psychiatry
Queen's University, 01 Jul 1987  to 31 Dec 1987|Resident 4 - Psychiatry</t>
  </si>
  <si>
    <t>First certificate of registration issued: Independent Practice Certificate||Effective:   05 Jul 1982
Expired: Resigned from membership.||Expiry:      30 Jul 1990
Subsequent certificate of registration Issued: Independent Practice Certificate||Effective:   07 Jun 2012</t>
  </si>
  <si>
    <t>Barbara Ross Medicine Professional Corporation</t>
  </si>
  <si>
    <t>Inactive: Mar 27 2017</t>
  </si>
  <si>
    <t>52488</t>
  </si>
  <si>
    <t xml:space="preserve">Active Member as of 26 Dec 2004 </t>
  </si>
  <si>
    <t xml:space="preserve">Independent Practice as of 11 Mar 1985 </t>
  </si>
  <si>
    <t>University of Toronto, 1981</t>
  </si>
  <si>
    <t>Suite 302,481 University Avenue,Toronto ON  M5G 2E9</t>
  </si>
  <si>
    <t>(416) 962-6600</t>
  </si>
  <si>
    <t>Psychiatry||Effective: 09 Jun 1987||RCPSC Specialist</t>
  </si>
  <si>
    <t>First certificate of registration issued: Postgraduate Education Certificate||Effective:   01 Jul 1983
Transfer of class of registration to: Independent Practice Certificate||Effective:   11 Mar 1985
Suspension of registration imposed: Discipline Committee||Effective:   26 Mar 2004
Suspension of registration removed||Effective:   26 Dec 2004</t>
  </si>
  <si>
    <t>52010</t>
  </si>
  <si>
    <t xml:space="preserve">Active Member as of 07 Nov 1980 </t>
  </si>
  <si>
    <t xml:space="preserve">Independent Practice as of 18 Jul 1985 </t>
  </si>
  <si>
    <t>English, Ga-Adangme-Krobo</t>
  </si>
  <si>
    <t>Univ of Ghana, 1976</t>
  </si>
  <si>
    <t>Ontario Shores Centre for Mental,Health Sciences,700 Gordon Street,Whitby ON  L1N 5S9</t>
  </si>
  <si>
    <t>(905) 668-5881 Ext. 6600</t>
  </si>
  <si>
    <t>(905) 430-4480</t>
  </si>
  <si>
    <t>Toronto East General Hospital,Aftercare Clinic,825 Coxwell Avenue,Toronto ON  M4C 3E7,Canada,Phone:(416) 469-6198,Fax:(416) 469-6805,County:City of Toronto,Electoral District:10</t>
  </si>
  <si>
    <t>Michael Garron Hospital - Toronto East Health Network:Toronto
Ontario Shores Centre for Mental Health Sciences:Whitby</t>
  </si>
  <si>
    <t>Psychiatry||Effective: 28 Nov 1984||RCPSC Specialist</t>
  </si>
  <si>
    <t>First certificate of registration issued: Postgraduate Education Certificate||Effective:   07 Nov 1980
Transfer of class of registration to: Hospital Practice Certificate||Effective:   03 Jul 1985
Transfer of class of registration to: Independent Practice Certificate||Effective:   18 Jul 1985</t>
  </si>
  <si>
    <t>57771</t>
  </si>
  <si>
    <t xml:space="preserve">Active Member as of 28 Sep 2004 </t>
  </si>
  <si>
    <t xml:space="preserve">Independent Practice as of 09 Jul 2008 </t>
  </si>
  <si>
    <t>13390 Lanoue Street, Unit D,Tecumseh ON  N8N 5E1</t>
  </si>
  <si>
    <t>(519) 956-9655</t>
  </si>
  <si>
    <t>(519) 968-1177</t>
  </si>
  <si>
    <t>Psychiatry||Effective: 09 Jun 1980||RCPSC Specialist
Community Medicine||Effective: 03 Dec 1991||RCPSC Specialist</t>
  </si>
  <si>
    <t>First certificate of registration issued: Independent Practice Certificate||Effective:   08 Oct 1986
Revoked: Discipline Committee.||Effective:   12 Apr 2001
Subsequent certificate of registration issued: Restricted certificate||Effective:   28 Sep 2004
Transfer of class of registration to: Independent Practice Certificate||Effective:   09 Jul 2008</t>
  </si>
  <si>
    <t>B.A. Miller Medicine Professional Corporation</t>
  </si>
  <si>
    <t>Issued Date:  Feb 12 2009</t>
  </si>
  <si>
    <t>Dr. B. Miller (CPSO# 57771)</t>
  </si>
  <si>
    <t>Unit D,13390 Lanoue Street,Tecumseh ON  N8N 5E1,(519) 956-9655</t>
  </si>
  <si>
    <t>25072</t>
  </si>
  <si>
    <t xml:space="preserve">Active Member as of 22 Aug 1972 </t>
  </si>
  <si>
    <t xml:space="preserve">Independent Practice as of 22 Aug 1972 </t>
  </si>
  <si>
    <t>University of Saskatchewan, 1970</t>
  </si>
  <si>
    <t>Centre for Addiction and,Mental Health,Clarke Site,250 College Street,Toronto ON  M5T 1R8</t>
  </si>
  <si>
    <t>(416) 979-6808</t>
  </si>
  <si>
    <t>(416) 260-4172</t>
  </si>
  <si>
    <t>West Park Healthcare Centre,82 Buttonwood Avenue,Toronto ON  M6M 2J5,Canada,Phone:(416) 243-3732,County:City of Toronto,Electoral District:10</t>
  </si>
  <si>
    <t>Centre of Addiction &amp; Mental Health,- College Street Site:Toronto
West Park Healthcare Centre:Toronto</t>
  </si>
  <si>
    <t>Psychiatry||Effective: 17 Nov 1975||RCPSC Specialist</t>
  </si>
  <si>
    <t>First certificate of registration issued: Postgraduate Education Certificate||Effective:   01 Jul 1972
Transfer of class of registration to: Independent Practice Certificate||Effective:   21 Aug 1972</t>
  </si>
  <si>
    <t>55495</t>
  </si>
  <si>
    <t xml:space="preserve">Active Member as of 17 Jun 1985 </t>
  </si>
  <si>
    <t xml:space="preserve">Independent Practice as of 25 Jun 1986 </t>
  </si>
  <si>
    <t>University of Toronto, 1985</t>
  </si>
  <si>
    <t>Unit I,989 Eglinton Avenue West,Toronto ON  M6C 2C6</t>
  </si>
  <si>
    <t>(416) 921-6500</t>
  </si>
  <si>
    <t>(416) 921-6321</t>
  </si>
  <si>
    <t>Psychiatry||Effective: 11 Jun 1990||RCPSC Specialist</t>
  </si>
  <si>
    <t>University of Toronto, 01 Jul 1991  to 30 Jun 1992|Clinical Fellow - Psychiatry</t>
  </si>
  <si>
    <t>First certificate of registration issued: Postgraduate Education Certificate||Effective:   17 Jun 1985
Transfer of class of registration to: Independent Practice Certificate||Effective:   25 Jun 1986</t>
  </si>
  <si>
    <t>Dr. Barry Simon Medicine Professional Corporation</t>
  </si>
  <si>
    <t>Inactive: Jun  5 2018</t>
  </si>
  <si>
    <t>31123</t>
  </si>
  <si>
    <t xml:space="preserve">Active Member as of 06 Sep 1979 </t>
  </si>
  <si>
    <t xml:space="preserve">Independent Practice as of 06 Sep 1979 </t>
  </si>
  <si>
    <t>McMaster University, 1978</t>
  </si>
  <si>
    <t>10 Alcorn Avenue,Suite 202,Toronto ON  M4V 3A9</t>
  </si>
  <si>
    <t>(416) 925-0804</t>
  </si>
  <si>
    <t>455 Spadina Ave.,Suite 200,CAMH Psychological Trauma Program,Toronto ON  M5S 2G8,Canada,Phone:(416) 535-8501 Ext. 77350,Fax:(416) 971-7172,County:City of Toronto,Electoral District:10</t>
  </si>
  <si>
    <t>Centre of Addiction &amp; Mental Health,- College Street Site:Toronto
University Health Network,Toronto General Hospital Site:Toronto</t>
  </si>
  <si>
    <t>University of Toronto, 01 Jul 1989  to 30 Jun 1990|Clinical Fellow - Psychiatry</t>
  </si>
  <si>
    <t>First certificate of registration issued: Independent Practice Certificate||Effective:   06 Sep 1979</t>
  </si>
  <si>
    <t>28958</t>
  </si>
  <si>
    <t xml:space="preserve">Active Member as of 16 Feb 1977 </t>
  </si>
  <si>
    <t xml:space="preserve">Independent Practice as of 16 Feb 1977 </t>
  </si>
  <si>
    <t>McGill University, 1972</t>
  </si>
  <si>
    <t>Health and Counseling Services,Carleton University,1125 Colonel By Drive,Ottawa ON  K1S 5B6</t>
  </si>
  <si>
    <t>(613) 520-6674</t>
  </si>
  <si>
    <t>(613) 520-4059</t>
  </si>
  <si>
    <t>First certificate of registration issued: Independent Practice Certificate||Effective:   16 Feb 1977</t>
  </si>
  <si>
    <t>64468</t>
  </si>
  <si>
    <t xml:space="preserve">Active Member as of 13 Aug 1991 </t>
  </si>
  <si>
    <t xml:space="preserve">Independent Practice as of 25 Jun 1997 </t>
  </si>
  <si>
    <t>Academy of Medicine, Wroclaw, 1989</t>
  </si>
  <si>
    <t>(613) 722-6521 Ext. 6526</t>
  </si>
  <si>
    <t>Anatomical Pathology||Effective: 28 May 1997||RCPSC Specialist
Psychiatry||Effective: 11 Sep 2006||RCPSC Specialist</t>
  </si>
  <si>
    <t>University of Ottawa, 01 Jul 1991  to 30 Jun 1992|Resident 1 - Anatomical Pathology
University of Ottawa, 01 Jul 1992  to 30 Jun 1993|Resident 2 - Anatomical Pathology
University of Ottawa, 01 Jul 1993  to 30 Jun 1994|Resident 3 - Anatomical Pathology
University of Ottawa, 01 Jul 1994  to 30 Jun 1995|Resident 4 - General Pathology
University of Ottawa, 01 Jul 1995  to 30 Jun 1996|Resident 4 - General Pathology
University of Ottawa, 01 Jul 1996  to 30 Jun 1997|Resident 4 - General Pathology
University of Ottawa, 01 Apr 2002  to 31 Mar 2003|PostGrad Yr 2 - Psychiatry
University of Ottawa, 01 Apr 2003  to 31 Mar 2004|PostGrad Yr 3 - Psychiatry
University of Ottawa, 25 Dec 2004  to 28 May 2005|PostGrad Yr 4 - Psychiatry
University of Ottawa, 29 May 2005  to 30 Jun 2005|PostGrad Yr 5 - Psychiatry
University of Ottawa, 01 Jul 2005  to 30 Jun 2006|PostGrad Yr 5 - Psychiatry
University of Ottawa, 01 Jul 2006  to 11 Sep 2006|PostGrad Yr 5 - Psychiatry
University of Ottawa, 12 Sep 2006  to 11 Sep 2007|Clinical Fellow - Psychiatry
University of Ottawa, 12 Sep 2007  to 11 Sep 2008|Clinical Fellow - Psychiatry
University of Ottawa, 12 Sep 2008  to 11 Mar 2009|Clinical Fellow - Psychiatry</t>
  </si>
  <si>
    <t>First certificate of registration issued: Postgraduate Education Certificate||Effective:   13 Aug 1991
Transfer of class of registration to: Independent Practice Certificate||Effective:   25 Jun 1997</t>
  </si>
  <si>
    <t>67185</t>
  </si>
  <si>
    <t xml:space="preserve">Active Member as of 08 Jul 1993 </t>
  </si>
  <si>
    <t xml:space="preserve">Independent Practice as of 08 Jul 1993 </t>
  </si>
  <si>
    <t>University of Valle, 1983</t>
  </si>
  <si>
    <t>2200 Yonge Street,Suite 1701,Toronto ON  M4S 2C6</t>
  </si>
  <si>
    <t>(416) 953-0396</t>
  </si>
  <si>
    <t>First certificate of registration issued: Independent Practice Certificate||Effective:   08 Jul 1993</t>
  </si>
  <si>
    <t>51574</t>
  </si>
  <si>
    <t xml:space="preserve">Active Member as of 07 Sep 1984 </t>
  </si>
  <si>
    <t xml:space="preserve">Independent Practice as of 25 Jul 1986 </t>
  </si>
  <si>
    <t>University of Buenos Aires, 1959</t>
  </si>
  <si>
    <t>1 St Clair Avenue East,Apartment 903,Toronto ON  M4T 2V7</t>
  </si>
  <si>
    <t>(416) 960-1116</t>
  </si>
  <si>
    <t>(416) 261-3135</t>
  </si>
  <si>
    <t>First certificate of registration issued: Postgraduate Education Certificate||Effective:   28 May 1979
Expired: Terms and conditions of certificate of registration||Expiry:      30 Jun 1984
Subsequent certificate of registration Issued: Hospital Practice Certificate||Effective:   07 Sep 1984
Transfer of class of registration to: Independent Practice Certificate||Effective:   25 Jul 1986</t>
  </si>
  <si>
    <t>74162</t>
  </si>
  <si>
    <t xml:space="preserve">Active Member as of 20 Jul 1999 </t>
  </si>
  <si>
    <t xml:space="preserve">Independent Practice as of 20 Jul 1999 </t>
  </si>
  <si>
    <t>Calicut University, 1988</t>
  </si>
  <si>
    <t>Psychiatry||Effective: 05 Jun 1997||RCPSC Specialist</t>
  </si>
  <si>
    <t>First certificate of registration issued: Independent Practice Certificate||Effective:   20 Jul 1999</t>
  </si>
  <si>
    <t>Beena Mathew Medicine Professional Corporation</t>
  </si>
  <si>
    <t>Issued Date:  Jun 13 2007</t>
  </si>
  <si>
    <t>Dr. B. Mathew (CPSO# 74162)</t>
  </si>
  <si>
    <t>Sudbury Algoma Hospital,680 Kirkwood Drive,Sudbury ON  P3E 1X3,(705) 675-5900
Sudbury Regional Hospital,Sudbury Regional Hospital,41 Ramsey Lake Road,Sudbury ON  P3E 5J1,(705) 523-7100</t>
  </si>
  <si>
    <t>89404</t>
  </si>
  <si>
    <t xml:space="preserve">Active Member as of 30 Jul 2013 </t>
  </si>
  <si>
    <t xml:space="preserve">Independent Practice as of 30 Jul 2013 </t>
  </si>
  <si>
    <t>Mashhad University of Medical Science, 2004</t>
  </si>
  <si>
    <t>Brockville General Hospital,Front Avenue Resources Centre,Suite 4,25 Front Avenue,Brockville ON  K6V 4J2</t>
  </si>
  <si>
    <t>(613) 342-2522</t>
  </si>
  <si>
    <t>(613) 345-4111</t>
  </si>
  <si>
    <t>162 Division street,Kingston ON  K7L 3M6,Canada,Phone:(613) 544-0228,Fax:(613) 544-0224,County:County of Frontenac,Electoral District:06</t>
  </si>
  <si>
    <t>Brockville General Hospital:Brockville</t>
  </si>
  <si>
    <t>Queen's University, 01 Jul 2008  to 22 Sep 2008|Assessment Verification Period - Psychiatry
Queen's University, 23 Sep 2008  to 30 Jun 2009|PostGrad Yr 1 - Psychiatry
Queen's University, 01 Jul 2009  to 30 Jun 2010|PostGrad Yr 2 - Psychiatry
Queen's University, 01 Jul 2010  to 28 Jul 2010|PostGrad Yr 2 - Psychiatry
Queen's University, 29 Jul 2010  to 28 Jul 2011|PostGrad Yr 3 - Psychiatry
Queen's University, 29 Jul 2011  to 28 Jul 2012|PostGrad Yr 4 - Psychiatry
Queen's University, 29 Jul 2012  to 30 Jun 2013|PostGrad Yr 5 - Psychiatry
Queen's University, 01 Jul 2013  to 28 Jul 2013|PostGrad Yr 5 - Psychiatry</t>
  </si>
  <si>
    <t>First certificate of registration issued: Pre Entry Assessment Program Certificate||Effective:   01 Jul 2008
Transfer of class of registration to: Postgraduate Education Certificate||Effective:   23 Sep 2008
Expired: Terms and conditions of certificate of registration||Expiry:      28 Jul 2013
Subsequent certificate of registration Issued: Independent Practice Certificate||Effective:   30 Jul 2013</t>
  </si>
  <si>
    <t>Behnia Haghiri Medicine Professional Corporation</t>
  </si>
  <si>
    <t>Issued Date:  Oct 28 2013</t>
  </si>
  <si>
    <t>Dr. B. Haghiri (CPSO# 89404)</t>
  </si>
  <si>
    <t>Brockville General Hospital,Front Avenue Resources Centre,Suite 4,25 Front Avenue West,Brockville ON  K6V 4J2,(613) 342-2522
840 McConnell Avenue,840 McConnell Avenue,Cornwall ON  K6H 5S5,(613) 938-4240
162 Division Street,162 Division Street,Kingston ON  K7L 3M6,(613) 544-0228</t>
  </si>
  <si>
    <t>33671</t>
  </si>
  <si>
    <t xml:space="preserve">Active Member as of 11 Aug 1982 </t>
  </si>
  <si>
    <t xml:space="preserve">Independent Practice as of 11 Aug 1982 </t>
  </si>
  <si>
    <t>McMaster University, 1977</t>
  </si>
  <si>
    <t>1685 Main Street West,Suite 202A,Hamilton ON  L8S 1G5</t>
  </si>
  <si>
    <t>(905) 527-7966</t>
  </si>
  <si>
    <t>Psychiatry||Effective: 01 Jan 1982||RCPSC Specialist</t>
  </si>
  <si>
    <t>First certificate of registration issued: Independent Practice Certificate||Effective:   11 Aug 1982</t>
  </si>
  <si>
    <t>Auron &amp; Siegel Medicine Professional Corporation</t>
  </si>
  <si>
    <t>Issued Date:  Jun 08 2009</t>
  </si>
  <si>
    <t>Dr. S. Auron (CPSO# 31115),Dr. B. Siegel (CPSO# 33671)</t>
  </si>
  <si>
    <t>Suite 202A,1685 Main Street West,Hamilton ON  L8S 1G5,(905) 527-7990</t>
  </si>
  <si>
    <t>101256</t>
  </si>
  <si>
    <t>McMaster University, 2013</t>
  </si>
  <si>
    <t>Homewood Health Centre,Trillium Unit,150 Delhi St,Guelph ON  N1E 6K9</t>
  </si>
  <si>
    <t>McMaster University, 01 Jul 2013  to 30 Jun 2014|PostGrad Yr 1 - Psychiatry
McMaster University, 01 Jul 2014  to 30 Jun 2015|PostGrad Yr 2 - Psychiatry
McMaster University, 01 Jul 2015  to 30 Jun 2016|PostGrad Yr 3 - Psychiatry
McMaster University, 01 Jul 2016  to 30 Jun 2017|PostGrad Yr 4 - Psychiatry
McMaster University, 01 Jul 2017  to 30 Jun 2018|PostGrad Yr 5 - Psychiatry</t>
  </si>
  <si>
    <t>First certificate of registration issued: Postgraduate Education Certificate||Effective:   01 Jul 2013
Expired: Terms and conditions of certificate of registration||Expiry:      30 Jun 2017
Subsequent certificate of registration issued: Restricted certificate||Effective:   01 Jul 2017
Expired: Terms and conditions imposed on certificate by Registration Committee||Effective:   30 Jun 2018
Subsequent certificate of registration Issued: Independent Practice Certificate||Effective:   30 Jun 2018</t>
  </si>
  <si>
    <t>98269</t>
  </si>
  <si>
    <t>The University of British Columbia, 2012</t>
  </si>
  <si>
    <t>The Scarborough Hospital,3030 Birchmount Road,Scarborough ON  M1W 3W3</t>
  </si>
  <si>
    <t>416-495-2701 Ext. 6874</t>
  </si>
  <si>
    <t>416-495-2426</t>
  </si>
  <si>
    <t>Benedict Wong Medicine Professional Corporation</t>
  </si>
  <si>
    <t>Issued Date:  Aug 21 2017</t>
  </si>
  <si>
    <t>Dr. B. Wong (CPSO# 98269)</t>
  </si>
  <si>
    <t>The Scarborough Hospital,3030 Birchmount Road,Scarborough ON  M1W 3W3,(416) 495-2701</t>
  </si>
  <si>
    <t>88029</t>
  </si>
  <si>
    <t xml:space="preserve">Active Member as of 13 Jan 2009 </t>
  </si>
  <si>
    <t xml:space="preserve">Restricted as of 13 Jan 2009 </t>
  </si>
  <si>
    <t>Fac Fed de Ciencias Med de Porto Alegre, 1999</t>
  </si>
  <si>
    <t>Womens Health Concerns Clinic,,Department of Psychiatry and,Behavioural Neurosciences,100 West 5th Street, Room C124,Hamilton ON  L8N 3K7</t>
  </si>
  <si>
    <t>(905) 522-1155 Ext. 33605</t>
  </si>
  <si>
    <t>905-381-5629</t>
  </si>
  <si>
    <t>Psychiatry||Effective: 12 Jan 2018||CPSO Recognized Specialist</t>
  </si>
  <si>
    <t>McMaster University, 16 Jan 2008  to 03 Apr 2008|PEAP - Clinical Fellow - Psychiatry
McMaster University, 04 Apr 2008  to 31 Dec 2008|Clinical Fellow - Psychiatry</t>
  </si>
  <si>
    <t>First certificate of registration issued: Pre Entry Assessment Program Certificate||Effective:   16 Jan 2008
Transfer of class of registration to: Postgraduate Education Certificate||Effective:   04 Apr 2008
Expired: Terms and conditions of certificate of registration||Expiry:      31 Dec 2008
Subsequent certificate of registration issued: Restricted certificate||Effective:   13 Jan 2009
Terms and conditions amended by Registration Committee||Effective:   01 Jul 2013
Expiry date removed from certificate of registration.||Effective:   01 Jul 2013
Terms and conditions amended by Registration Committee||Effective:   12 Jan 2018</t>
  </si>
  <si>
    <t>B. Frey Medicine Professional Corporation</t>
  </si>
  <si>
    <t>Issued Date:  Apr 08 2011</t>
  </si>
  <si>
    <t>Dr. B. Frey (CPSO# 88029)</t>
  </si>
  <si>
    <t>Women's Health Concern Clinic,Department of Psychiatry &amp; Behavioural Neuroscienc,Room C124,100 West 5th Street,Hamilton ON  L8N 3K7,(905) 522-1155</t>
  </si>
  <si>
    <t>59762</t>
  </si>
  <si>
    <t xml:space="preserve">Independent Practice as of 22 Aug 1989 </t>
  </si>
  <si>
    <t>267 Pelissier Street,Suite 301,Windsor ON  N9A 4K4</t>
  </si>
  <si>
    <t>(519) 253-4606</t>
  </si>
  <si>
    <t>(519) 253-1854</t>
  </si>
  <si>
    <t>University of Windsor,Student Health Services,242 CAW Student Centre,Windsor ON  N9B 3P4,Canada,Phone:(519) 973-7002,Fax:(519) 971-3637,County:County of Essex,Electoral District:01</t>
  </si>
  <si>
    <t>Hotel Dieu Grace Healthcare,Tayfour Campus:Windsor
Windsor Regional Hospital,Ouellette Campus:Windsor</t>
  </si>
  <si>
    <t>Psychiatry||Effective: 30 Jun 1993||RCPSC Specialist
Forensic Psychiatry||Effective: 26 Sep 2013||RCPSC Specialist</t>
  </si>
  <si>
    <t>University of Toronto, 13 Jun 1988  to 12 Jun 1989|Other - Comprehensive Internship
University of Toronto, 01 Jul 1989  to 30 Jun 1990|Resident 1 - Psychiatry
University of Toronto, 01 Jul 1990  to 30 Jun 1991|Resident 2 - Psychiatry
University of Toronto, 01 Jul 1991  to 30 Jun 1992|Resident 3 - Psychiatry
University of Toronto, 01 Jul 1992  to 30 Jun 1993|Resident 4 - Psychiatry</t>
  </si>
  <si>
    <t>First certificate of registration issued: Postgraduate Education Certificate||Effective:   13 Jun 1988
Transfer of class of registration to: Independent Practice Certificate||Effective:   22 Aug 1989</t>
  </si>
  <si>
    <t>81105</t>
  </si>
  <si>
    <t xml:space="preserve">Active Member as of 23 Sep 2009 </t>
  </si>
  <si>
    <t xml:space="preserve">Independent Practice as of 23 Sep 2009 </t>
  </si>
  <si>
    <t>Queen's University, 2004</t>
  </si>
  <si>
    <t>CMHA Middlesex - Strathroy Site,21 Richmond Street,Strathroy ON  N7G 2Z1</t>
  </si>
  <si>
    <t>226-374-6545</t>
  </si>
  <si>
    <t>226-316-0298</t>
  </si>
  <si>
    <t>Grey Bruce Health Services,Owen Sound:Owen Sound
London Health Sciences Centre,Children's Hospital of Western Ontario:London
St Joseph's Health Care-St Joseph's Site,London:London</t>
  </si>
  <si>
    <t>Psychiatry||Effective: 15 Sep 2009||RCPSC Specialist</t>
  </si>
  <si>
    <t>Queen's University, 01 Jul 2004  to 30 Jun 2005|PostGrad Yr 1 - Psychiatry
Queen's University, 01 Jul 2005  to 14 Aug 2005|PostGrad Yr 1 - Psychiatry
Queen's University, 15 Aug 2005  to 30 Jun 2006|PostGrad Yr 2 - Psychiatry
Queen's University, 01 Jul 2006  to 30 Nov 2006|PostGrad Yr 2 - Psychiatry
Queen's University, 01 Dec 2006  to 30 Nov 2007|PostGrad Yr 3 - Psychiatry
Queen's University, 01 Dec 2007  to 30 Nov 2008|PostGrad Yr 4 - Psychiatry
Queen's University, 01 Dec 2008  to 15 Sep 2009|PostGrad Yr 5 - Psychiatry</t>
  </si>
  <si>
    <t>First certificate of registration issued: Postgraduate Education Certificate||Effective:   01 Jul 2004
Expired: Terms and conditions of certificate of registration||Expiry:      15 Sep 2009
Subsequent certificate of registration Issued: Independent Practice Certificate||Effective:   23 Sep 2009</t>
  </si>
  <si>
    <t>96506</t>
  </si>
  <si>
    <t xml:space="preserve">Active Member as of 05 Jul 2011 </t>
  </si>
  <si>
    <t>University of Sherbrooke, 2011</t>
  </si>
  <si>
    <t>Royal Ottawa Mental Health Center,1145 Carling ave,Ottawa ON  K1Z 7K4</t>
  </si>
  <si>
    <t>6136834404</t>
  </si>
  <si>
    <t>Ottawa Hospital,Civic Site:Ottawa
Royal Ottawa Health Care Group:Ottawa</t>
  </si>
  <si>
    <t>University of Ottawa, 01 Jul 2011  to 30 Jun 2012|PostGrad Yr 1 - Psychiatry
University of Ottawa, 01 Jul 2012  to 30 Jun 2013|PostGrad Yr 2 - Psychiatry
University of Ottawa, 01 Jul 2013  to 30 Jun 2014|PostGrad Yr 3 - Psychiatry
University of Ottawa, 01 Jul 2014  to 30 Jun 2015|PostGrad Yr 4 - Psychiatry
University of Ottawa, 01 Jul 2015  to 30 Jun 2016|PostGrad Yr 5 - Psychiatry</t>
  </si>
  <si>
    <t>First certificate of registration issued: Postgraduate Education Certificate||Effective:   05 Jul 2011
Transfer of class of registration to: Independent Practice Certificate||Effective:   30 Jun 2016</t>
  </si>
  <si>
    <t>Fortin-Langelier Medicine Professional Corporation</t>
  </si>
  <si>
    <t>Issued Date:  Jun 28 2017</t>
  </si>
  <si>
    <t>Dr. B. Fortin-Langelier (CPSO# 96506)</t>
  </si>
  <si>
    <t>97574</t>
  </si>
  <si>
    <t xml:space="preserve">Active Member as of 30 Jun 2017 </t>
  </si>
  <si>
    <t>Mount Sinai Hospital,700 University Ave, suite 8-924,Toronto ON  M5G 1Z5</t>
  </si>
  <si>
    <t>(416) 586-4800 Ext. 1559</t>
  </si>
  <si>
    <t>4165868596</t>
  </si>
  <si>
    <t>Centre for Addiction &amp; Mental Health,Queen Street Site:Toronto
Mount Sinai Hospital:Toronto</t>
  </si>
  <si>
    <t>First certificate of registration issued: Postgraduate Education Certificate||Effective:   01 Jul 2012
Expired: Terms and conditions of certificate of registration||Expiry:      13 Jan 2015
Subsequent certificate of registration issued: Restricted certificate||Effective:   13 Jan 2015
Terms and conditions amended by Registration Committee||Effective:   29 Apr 2015
Terms and conditions amended by Registration Committee||Effective:   01 Jul 2016
Expired: Terms and conditions imposed on certificate by Registration Committee||Effective:   30 Jun 2017
Subsequent certificate of registration Issued: Independent Practice Certificate||Effective:   30 Jun 2017</t>
  </si>
  <si>
    <t>76216</t>
  </si>
  <si>
    <t xml:space="preserve">Active Member as of 20 Mar 2009 </t>
  </si>
  <si>
    <t xml:space="preserve">Independent Practice as of 20 Mar 2009 </t>
  </si>
  <si>
    <t>Sunnybrook Health Sciences Centre,Department of Psychiatry,2075 Bayview Avenue,EG48,Toronto ON  M4N 3M5</t>
  </si>
  <si>
    <t>(416) 480-5328</t>
  </si>
  <si>
    <t>University of Toronto, 01 Jul 2001  to 30 Jun 2002|PostGrad Yr 1 - Psychiatry
University of Toronto, 01 Jul 2002  to 30 Jun 2003|PostGrad Yr 2 - Psychiatry
University of Toronto, 01 Jul 2003  to 30 Jun 2004|PostGrad Yr 3 - Psychiatry
University of Toronto, 01 Jul 2004  to 30 Jun 2005|PostGrad Yr 4 - Psychiatry
University of Toronto, 01 Jul 2005  to 30 Jun 2006|PostGrad Yr 5 - Psychiatry</t>
  </si>
  <si>
    <t>First certificate of registration issued: Postgraduate Education Certificate||Effective:   01 Jul 2001
Expired: Terms and conditions of certificate of registration||Expiry:      30 Jun 2006
Subsequent certificate of registration Issued: Independent Practice Certificate||Effective:   20 Mar 2009</t>
  </si>
  <si>
    <t>Dr. Benjamin Goldstein Medicine Professional Corporation</t>
  </si>
  <si>
    <t>Issued Date:  Sep 20 2012</t>
  </si>
  <si>
    <t>Dr. B. Goldstein (CPSO# 76216)</t>
  </si>
  <si>
    <t>Sunnybrook Health Sciences Centre,Department of Psychiatry,Director, Centre for Youth Bipolar Disorder,2075 Bayview Avenue -Room EG48,Toronto ON  M4N 3M5,(416) 480-5328</t>
  </si>
  <si>
    <t>100226</t>
  </si>
  <si>
    <t xml:space="preserve">Independent Practice as of 22 Jun 2016 </t>
  </si>
  <si>
    <t>Montfort Hospital,713 Montreal Road,Ottawa ON  K1K 0T2</t>
  </si>
  <si>
    <t>(613) 746-4621</t>
  </si>
  <si>
    <t>Family Medicine||Effective: 22 Jun 2015||CFPC Specialist
Psychiatry||Effective: 30 Jun 2018||RCPSC Specialist</t>
  </si>
  <si>
    <t>University of Ottawa, 01 Jul 2013  to 30 Jun 2014|PostGrad Yr 1 - Family Medicine
University of Ottawa, 01 Jul 2014  to 30 Jun 2015|PostGrad Yr 2 - Family Medicine
University of Ottawa, 01 Jul 2015  to 30 Jun 2016|PostGrad Yr 3 - Family Medicine (Emergency Medicine)
University of Ottawa, 01 Jul 2016  to 25 Jul 2016|PostGrad Yr 3 - Family Medicine (Emergency Medicine)</t>
  </si>
  <si>
    <t>First certificate of registration issued: Postgraduate Education Certificate||Effective:   01 Jul 2013
Transfer of class of registration to: Independent Practice Certificate||Effective:   22 Jun 2016</t>
  </si>
  <si>
    <t>83713</t>
  </si>
  <si>
    <t xml:space="preserve">Active Member as of 13 Sep 2005 </t>
  </si>
  <si>
    <t xml:space="preserve">Academic Practice as of 13 Sep 2005 </t>
  </si>
  <si>
    <t>Laval University, 1984</t>
  </si>
  <si>
    <t>(416) 535-8501 Ext. 36948</t>
  </si>
  <si>
    <t>(416) 979-6928</t>
  </si>
  <si>
    <t>CAMH,250 College Street,Toronto ON  M5T 1R8,Canada,Phone:(416) 535-8501 Ext. 36948,Fax:(416) 979-6928,County:City of Toronto,Electoral District:10</t>
  </si>
  <si>
    <t>Psychiatry||Effective: 01 Sep 2005||RCPSC Specialist</t>
  </si>
  <si>
    <t>First certificate of registration issued: Academic Practice Certificate||Effective:   13 Sep 2005</t>
  </si>
  <si>
    <t>Benoit Mulsant Medicine Professional Corporation</t>
  </si>
  <si>
    <t>Issued Date:  Sep 30 2013</t>
  </si>
  <si>
    <t>Dr. B. Mulsant (CPSO# 83713)</t>
  </si>
  <si>
    <t>CAMH - Queen Street Site,1001 Queen Street West,Toronto ON  M6J 1H4,(416) 535-8501
250 College Street,250 College Street,Toronto ON  M5T 1R8,(416) 535-8501</t>
  </si>
  <si>
    <t>94897</t>
  </si>
  <si>
    <t xml:space="preserve">Active Member as of 01 Aug 2012 </t>
  </si>
  <si>
    <t xml:space="preserve">Independent Practice as of 01 Aug 2012 </t>
  </si>
  <si>
    <t>Sethi, Berjinder (used until: 30 Jul 2012 )</t>
  </si>
  <si>
    <t>English, Panjabi/Punjabi</t>
  </si>
  <si>
    <t>St George's University of Grenada, 2007</t>
  </si>
  <si>
    <t>MedSleep,Suite 205,611 Holly Avenue,Milton ON  L9T 0K4</t>
  </si>
  <si>
    <t>905-636-9772</t>
  </si>
  <si>
    <t>Canadian Mental Health Association,HKPR,415 Water Street,Peterborough ON  K9H 3L9,Canada,Phone:705-748-6687,County:County of Peterborough,Electoral District:06
715 MacKay Street, Ground Floor,Canada,Phone:613-735-2358,County:County of Renfrew,Electoral District:07
East GTA Family Health Team,520 Ellesmere Road, 6th floor,Scarborough ON  M1R 0B1,Canada,Phone:647-693-7401,County:City of Toronto,Electoral District:10</t>
  </si>
  <si>
    <t>Pembroke Regional Hospital:Pembroke
University Health Network,Toronto Western Hospital Site:Toronto</t>
  </si>
  <si>
    <t>University of Toronto, 01 Apr 2011  to 30 Jun 2011|Elective Trainee - Psychiatry</t>
  </si>
  <si>
    <t>First certificate of registration issued: Postgraduate Education Certificate||Effective:   01 Apr 2011
Expired: Terms and conditions of certificate of registration||Expiry:      30 Jun 2011
Subsequent certificate of registration Issued: Independent Practice Certificate||Effective:   01 Aug 2012</t>
  </si>
  <si>
    <t>Berjinder Jay Sethi Medicine Professional Corporation</t>
  </si>
  <si>
    <t>Issued Date:  Aug 31 2012</t>
  </si>
  <si>
    <t>Dr. B. Sethi (CPSO# 94897)</t>
  </si>
  <si>
    <t>Suite 205,611 Holly Avenue,Milton ON  L9T 0K4,(905) 636-9772
715 MacKay Street,715 MacKay Street,Ground Floor,Pembroke ON  K8A 1G8,(613) 735-2358
415 Water Street,415 Water Street,Peterborough ON  K9H 3L9,(705) 748-6687
6th Floor,6th Floor,520 Ellesmere Road,Scarborough ON  M1R 0B1,(647) 529-2259</t>
  </si>
  <si>
    <t>21297</t>
  </si>
  <si>
    <t xml:space="preserve">Active Member as of 13 May 1968 </t>
  </si>
  <si>
    <t xml:space="preserve">Independent Practice as of 13 May 1968 </t>
  </si>
  <si>
    <t>University of Toronto, 1964</t>
  </si>
  <si>
    <t>555 Finch Avenue West,Toronto ON  M2K 1E1</t>
  </si>
  <si>
    <t>(416) 632-8721</t>
  </si>
  <si>
    <t>(416) 633-8704</t>
  </si>
  <si>
    <t>North York General Hospital,Branson Hospital Site:Toronto
North York General Hospital,General Division:Toronto</t>
  </si>
  <si>
    <t>First certificate of registration issued: Postgraduate Education Certificate||Effective:   01 Jul 1964
Transfer of class of registration to: Independent Practice Certificate||Effective:   13 May 1968</t>
  </si>
  <si>
    <t>84450</t>
  </si>
  <si>
    <t xml:space="preserve">Active Member as of 01 Sep 2011 </t>
  </si>
  <si>
    <t xml:space="preserve">Independent Practice as of 24 Aug 2012 </t>
  </si>
  <si>
    <t>Western University,Student Health Services,University Community Centre,Room 11,London ON  N6A 3K7</t>
  </si>
  <si>
    <t>(519) 661-3030</t>
  </si>
  <si>
    <t>(519) 661-3380</t>
  </si>
  <si>
    <t>Fanshawe College Health Services,Fowler Kennedy Sport Med. Clinic,Room j1004,1001 Fanshawe College BLVD,London ON  N5Y5R6,Canada,Phone:519-452-4230,Fax:519-452-4415,County:County of Middlesex,Electoral District:02</t>
  </si>
  <si>
    <t>The University of Western Ontario, 01 Jul 2006  to 30 Jun 2007|PostGrad Yr 1 - Psychiatry
The University of Western Ontario, 01 Jul 2007  to 30 Jun 2008|PostGrad Yr 2 - Psychiatry
The University of Western Ontario, 01 Jul 2008  to 30 Jun 2009|PostGrad Yr 3 - Psychiatry
The University of Western Ontario, 01 Jul 2009  to 30 Jun 2010|PostGrad Yr 4 - Psychiatry
The University of Western Ontario, 01 Jul 2010  to 06 Jul 2010|PostGrad Yr 4 - Psychiatry
The University of Western Ontario, 07 Jul 2010  to 30 Jun 2011|PostGrad Yr 5 - Psychiatry
The University of Western Ontario, 01 Sep 2011  to 31 Aug 2012|Clinical Fellow - Psychiatry</t>
  </si>
  <si>
    <t>First certificate of registration issued: Postgraduate Education Certificate||Effective:   01 Jul 2006
Expired: Terms and conditions of certificate of registration||Expiry:      30 Jun 2011
Subsequent certificate of registration Issued: Postgraduate Education Certificate||Effective:   01 Sep 2011
Transfer of class of registration to: Independent Practice Certificate||Effective:   24 Aug 2012</t>
  </si>
  <si>
    <t>17840</t>
  </si>
  <si>
    <t xml:space="preserve">Active Member as of 28 Apr 1961 </t>
  </si>
  <si>
    <t xml:space="preserve">Independent Practice as of 28 Apr 1961 </t>
  </si>
  <si>
    <t>University of Toronto, 1955</t>
  </si>
  <si>
    <t>30 Parmbelle Crescent,Toronto ON  M3A 3G6</t>
  </si>
  <si>
    <t>(416) 482-3110</t>
  </si>
  <si>
    <t>Psychiatry||Effective: 01 Jan 1961||RCPSC Specialist</t>
  </si>
  <si>
    <t>First certificate of registration issued: Independent Practice Certificate||Effective:   28 Apr 1961</t>
  </si>
  <si>
    <t>23286</t>
  </si>
  <si>
    <t xml:space="preserve">Active Member as of 19 Nov 1970 </t>
  </si>
  <si>
    <t xml:space="preserve">Independent Practice as of 19 Nov 1970 </t>
  </si>
  <si>
    <t>McGill University, 1957</t>
  </si>
  <si>
    <t>Suite 412,1849 Yonge Street,Toronto ON  M4S 1Y2</t>
  </si>
  <si>
    <t>(416) 962-2980</t>
  </si>
  <si>
    <t>(416) 962-3123</t>
  </si>
  <si>
    <t>Psychiatry||Effective: 01 Jan 1962||RCPSC Specialist</t>
  </si>
  <si>
    <t>First certificate of registration issued: Independent Practice Certificate||Effective:   19 Nov 1970</t>
  </si>
  <si>
    <t>B. Trossman Medicine Professional Corporation</t>
  </si>
  <si>
    <t>Issued Date:  Dec 03 2014</t>
  </si>
  <si>
    <t>Dr. B. Trossman (CPSO# 23286)</t>
  </si>
  <si>
    <t>412 - 1849 Yonge Street,Toronto ON  M4S 1Y2,(416) 962-2980</t>
  </si>
  <si>
    <t>85833</t>
  </si>
  <si>
    <t xml:space="preserve">Active Member as of 10 Sep 2008 </t>
  </si>
  <si>
    <t xml:space="preserve">Independent Practice as of 10 Sep 2008 </t>
  </si>
  <si>
    <t>Universidad Autonoma De Honduras, 1991</t>
  </si>
  <si>
    <t>Suite 532,2275 Lakeshore Blvd West,Toronto ON  M8V 3Y3</t>
  </si>
  <si>
    <t>416-262-6640</t>
  </si>
  <si>
    <t>647-689-2186</t>
  </si>
  <si>
    <t>YWCA Toronto,80 Woodland Avenue East,Toronto ON  M4T 1C1,Canada,Phone:416-923-8554,Fax:416-923-1950,County:City of Toronto,Electoral District:10
Suite 206,1315 Finch Avenue West,North York ON  M3J 2G6,Canada,Phone:647-856-6463,County:City of Toronto,Electoral District:10</t>
  </si>
  <si>
    <t>St Joseph's Care Group,Lakehead Psychiatric Hospital:Thunder Bay
St Joseph's Care Group,Thunder Bay:Thunder Bay
St Michael's Hospital:Toronto</t>
  </si>
  <si>
    <t>First certificate of registration issued: Independent Practice Certificate||Effective:   18 Dec 2006
Expired: Failure to Renew Membership||Expiry:      09 Sep 2008
Subsequent certificate of registration Issued: Independent Practice Certificate||Effective:   10 Sep 2008</t>
  </si>
  <si>
    <t>32740</t>
  </si>
  <si>
    <t xml:space="preserve">Independent Practice as of 23 Jul 1981 </t>
  </si>
  <si>
    <t>The Children's Center,5220 6th St,Springfield, IL 62703,Springfield IL  62702,United States</t>
  </si>
  <si>
    <t>(217) 757-7700</t>
  </si>
  <si>
    <t>USA - Illinois</t>
  </si>
  <si>
    <t>First certificate of registration issued: Postgraduate Education Certificate||Effective:   01 Jul 1980
Transfer of class of registration to: Independent Practice Certificate||Effective:   23 Jul 1981</t>
  </si>
  <si>
    <t>58583</t>
  </si>
  <si>
    <t xml:space="preserve">Active Member as of 01 Jul 1987 </t>
  </si>
  <si>
    <t xml:space="preserve">Independent Practice as of 12 Oct 1988 </t>
  </si>
  <si>
    <t>Wilson, Beverly Joan (used until: 26 Mar 1991 )</t>
  </si>
  <si>
    <t>Queen's University, 1987</t>
  </si>
  <si>
    <t>c/o Lanark County Mental Health,Unit 142,179 Elmsley Street N.,Smiths Falls ON  K7A 2H8</t>
  </si>
  <si>
    <t>(613) 283-2170</t>
  </si>
  <si>
    <t>(613) 283-9018</t>
  </si>
  <si>
    <t>Brockville General Hospital:Brockville
Perth and Smiths Falls District Hospital,Great War Memorial Site-Perth:Perth
Perth and Smiths Falls District Hospital,Smiths Falls Community Site:Smiths Falls</t>
  </si>
  <si>
    <t>Family Medicine||Effective: 04 Aug 1989||CFPC Specialist
Psychiatry||Effective: 31 Aug 2001||RCPSC Specialist</t>
  </si>
  <si>
    <t>Queen's University, 01 Jul 1988  to 30 Jun 1989|Resident 2 - Family Medicine
Queen's University, 01 Sep 1997  to 31 Aug 1998|PostGrad Yr 2 - Psychiatry
Queen's University, 01 Sep 1998  to 31 Aug 1999|PostGrad Yr 3 - Psychiatry
Queen's University, 01 Sep 1999  to 31 Aug 2000|PostGrad Yr 4 - Psychiatry
Queen's University, 01 Sep 2000  to 30 Jun 2001|PostGrad Yr 5 - Psychiatry
Queen's University, 01 Jul 2001  to 31 Aug 2001|PostGrad Yr 5 - Psychiatry</t>
  </si>
  <si>
    <t>First certificate of registration issued: Postgraduate Education Certificate||Effective:   01 Jul 1987
Transfer of class of registration to: Independent Practice Certificate||Effective:   12 Oct 1988</t>
  </si>
  <si>
    <t>70496</t>
  </si>
  <si>
    <t xml:space="preserve">Active Member as of 15 Sep 2001 </t>
  </si>
  <si>
    <t xml:space="preserve">Independent Practice as of 15 Sep 2001 </t>
  </si>
  <si>
    <t>Queen's University, 1996</t>
  </si>
  <si>
    <t>(416) 586-4800 Ext. 6206</t>
  </si>
  <si>
    <t>Psychiatry||Effective: 15 Sep 2001||RCPSC Specialist</t>
  </si>
  <si>
    <t>University of Toronto, 01 Jul 1996  to 30 Jun 1997|PostGrad Yr 1 - Psychiatry
University of Toronto, 01 Jul 1997  to 30 Jun 1998|PostGrad Yr 2 - Psychiatry
University of Toronto, 01 Jul 1998  to 30 Jun 1999|PostGrad Yr 3 - Psychiatry
University of Toronto, 01 Jul 1999  to 30 Jun 2000|PostGrad Yr 4 - Psychiatry
University of Toronto, 01 Jul 2000  to 09 Sep 2000|PostGrad Yr 4 - Psychiatry
University of Toronto, 10 Sep 2000  to 30 Jun 2001|PostGrad Yr 5 - Psychiatry
University of Toronto, 01 Jul 2001  to 14 Sep 2001|PostGrad Yr 5 - Psychiatry</t>
  </si>
  <si>
    <t>First certificate of registration issued: Postgraduate Education Certificate||Effective:   01 Jul 1996
Expired: Terms and conditions of certificate of registration||Expiry:      14 Sep 2001
Subsequent certificate of registration Issued: Independent Practice Certificate||Effective:   15 Sep 2001</t>
  </si>
  <si>
    <t>Zinman and Young Medicine Professional Corporation</t>
  </si>
  <si>
    <t>Issued Date:  Oct 18 2011</t>
  </si>
  <si>
    <t>Dr. L. Zinman (CPSO# 72655),Dr. B. Young (CPSO# 70496)</t>
  </si>
  <si>
    <t>Sunnybrook Hospital,UG 26,2075 Bayview Avenue,Toronto ON  M4N 3M5,(416) 480-4475
Department of Psychiatry,Department of Psychiatry,Mount Sinai Hospital,600 University Avenue,Toronto ON  M5G 1X5,(416) 586-4800</t>
  </si>
  <si>
    <t>52247</t>
  </si>
  <si>
    <t xml:space="preserve">Active Member as of 06 Jul 1987 </t>
  </si>
  <si>
    <t xml:space="preserve">Independent Practice as of 06 Jul 1987 </t>
  </si>
  <si>
    <t>English, Gujarati, Hindi, Urdu</t>
  </si>
  <si>
    <t>Gujarat University, 1975</t>
  </si>
  <si>
    <t>Parkwood Institute,550 Wellington Road,London ON  N6C 0A7</t>
  </si>
  <si>
    <t>(519) 455-5110 Ext. 47592</t>
  </si>
  <si>
    <t>(519) 455-2677</t>
  </si>
  <si>
    <t>580 Algoma Street,,Thunder Bay ON  P7A 8C5,Canada,Phone:807 343 4300,Fax:807 343 4373,County:District of Thunder Bay,Electoral District:09</t>
  </si>
  <si>
    <t>London Health Sciences Centre Victoria Hospital:London
London Health Sciences Centre,University Site:London
St Joseph Health Care,London- Mental Health:London
St Joseph's Care Group,Lakehead Psychiatric Hospital:Thunder Bay
Thunder Bay Regional Health Sciences Centre:Thunder Bay</t>
  </si>
  <si>
    <t>Psychiatry||Effective: 08 Jun 1987||RCPSC Specialist</t>
  </si>
  <si>
    <t>First certificate of registration issued: Postgraduate Education Certificate||Effective:   01 Jul 1979
Expired: Terms and conditions of certificate of registration||Expiry:      30 Jun 1986
Subsequent certificate of registration Issued: Independent Practice Certificate||Effective:   06 Jul 1987</t>
  </si>
  <si>
    <t>Surti Medicine Professional Corporation</t>
  </si>
  <si>
    <t>Issued Date:  May 01 2007</t>
  </si>
  <si>
    <t>Dr. B. Surti (CPSO# 52247)</t>
  </si>
  <si>
    <t>Parkwood Institute,550 Wellington Road,London ON  N6C 0A7,(519) 455-5110</t>
  </si>
  <si>
    <t>69469</t>
  </si>
  <si>
    <t xml:space="preserve">Active Member as of 04 Jul 1995 </t>
  </si>
  <si>
    <t xml:space="preserve">Independent Practice as of 04 Jul 1995 </t>
  </si>
  <si>
    <t>University of Delhi, 1989</t>
  </si>
  <si>
    <t>Peterborough Regional Health Centre,1 Hospital Drive,Peterborough ON  K9J 7C6</t>
  </si>
  <si>
    <t>Ross Memorial Hospital,10 Angeline Street North,Lindsay ON  K9V 4M8,Canada,County:County of Victoria,Electoral District:06</t>
  </si>
  <si>
    <t>Peterborough Regional Health Centre:Peterborough
Ross Memorial Hospital:Lindsay</t>
  </si>
  <si>
    <t>Queen's University, 01 Apr 2001  to 31 Mar 2002|Clinical Fellow - Psychiatry</t>
  </si>
  <si>
    <t>First certificate of registration issued: Independent Practice Certificate||Effective:   04 Jul 1995</t>
  </si>
  <si>
    <t>Bharat Chawla Medicine Professional Corporation</t>
  </si>
  <si>
    <t>Issued Date:  Jun 21 2006</t>
  </si>
  <si>
    <t>Dr. B. Chawla (CPSO# 69469)</t>
  </si>
  <si>
    <t>Peterborough Regional Health Centre,1 Hospital Drive,Peterborough ON  K9J 7C6,(705) 876-5028</t>
  </si>
  <si>
    <t>56593</t>
  </si>
  <si>
    <t xml:space="preserve">Independent Practice as of 16 Dec 1997 </t>
  </si>
  <si>
    <t>English, Hindi, Oriya</t>
  </si>
  <si>
    <t>Sambalpur University, 1977</t>
  </si>
  <si>
    <t>Baywood Centre,95 Bayly Street West,Suite 308,Ajax ON  L1S 7K8</t>
  </si>
  <si>
    <t>(905) 683-0702</t>
  </si>
  <si>
    <t>(905) 683-8381</t>
  </si>
  <si>
    <t>Psychiatry||Effective: 20 Nov 1997||RCPSC Specialist</t>
  </si>
  <si>
    <t>University of Toronto, 01 Jan 1986  to 30 Jun 1986|Clinical Fellow - Ophthalmology
University of Toronto, 01 Jul 1986  to 30 Jun 1987|Clinical Fellow - Ophthalmology
Queen's University, 01 Jul 1993  to 30 Jun 1994|Resident 1 - Psychiatry
Queen's University, 01 Jul 1994  to 30 Jun 1995|Resident 2 - Psychiatry
Queen's University, 01 Jul 1995  to 30 Jun 1996|Resident 3 - Psychiatry
Queen's University, 01 Jul 1996  to 30 Jun 1997|Resident 4 - Psychiatry
Queen's University, 01 Jul 1997  to 30 Jun 1998|Clinical Fellow - Psychiatry</t>
  </si>
  <si>
    <t>First certificate of registration issued: Postgraduate Education Certificate||Effective:   04 Feb 1986
Expired: Terms and conditions of certificate of registration||Expiry:      30 Jun 1987
Subsequent certificate of registration Issued: Postgraduate Education Certificate||Effective:   01 Jul 1993
Transfer of class of registration to: Independent Practice Certificate||Effective:   16 Dec 1997</t>
  </si>
  <si>
    <t>Devi Medicine Professional Corporation</t>
  </si>
  <si>
    <t>Issued Date:  Jul 22 2015</t>
  </si>
  <si>
    <t>Dr. B. Devi (CPSO# 56593)</t>
  </si>
  <si>
    <t>Baywood Centre,Suite 308,95 Bayly Street West,Ajax ON  L1S 7K8,(905) 683-0702</t>
  </si>
  <si>
    <t>64203</t>
  </si>
  <si>
    <t xml:space="preserve">Active Member as of 26 Jun 1991 </t>
  </si>
  <si>
    <t xml:space="preserve">Independent Practice as of 26 Jun 1991 </t>
  </si>
  <si>
    <t>English, Hindi, Malayalam</t>
  </si>
  <si>
    <t>Karnatak University Dharwar, 1980</t>
  </si>
  <si>
    <t>Psychiatry||Effective: 13 Nov 1990||RCPSC Specialist</t>
  </si>
  <si>
    <t>First certificate of registration issued: Independent Practice Certificate||Effective:   26 Jun 1991</t>
  </si>
  <si>
    <t>51156</t>
  </si>
  <si>
    <t xml:space="preserve">Independent Practice as of 11 Aug 1987 </t>
  </si>
  <si>
    <t>University of Delhi, 1971</t>
  </si>
  <si>
    <t>University of Western Ontario,Student Health Services,U C C Room 11,1151 Richmond Street,London ON  N6A 3K7</t>
  </si>
  <si>
    <t>(519) 661-3771</t>
  </si>
  <si>
    <t>Parkwood Institute,550 Wellington Road South,London ON  N6C 0A7,Canada,Phone:(519) 455-5110 Ext. 47587,County:County of Middlesex,Electoral District:02</t>
  </si>
  <si>
    <t>First certificate of registration issued: Postgraduate Education Certificate||Effective:   01 Jul 1979
Transfer of class of registration to: Hospital Practice Certificate||Effective:   14 Feb 1985
Transfer of class of registration to: Independent Practice Certificate||Effective:   11 Aug 1987</t>
  </si>
  <si>
    <t>Malhotra Medicine Professional Corporation</t>
  </si>
  <si>
    <t>Issued Date:  Sep 28 2005</t>
  </si>
  <si>
    <t>Dr. B. Malhotra (CPSO# 51156)</t>
  </si>
  <si>
    <t>University of Western Ontario,Student Health Services,Room 11- UCC,1151 Richmond Street,London ON  N6A 3K7,(519) 661-3771</t>
  </si>
  <si>
    <t>111105</t>
  </si>
  <si>
    <t xml:space="preserve">Restricted as of 24 Oct 2016 </t>
  </si>
  <si>
    <t>University of Zaragoza, 1999</t>
  </si>
  <si>
    <t>C A M H,80 Workman Way - 6318,Toronto ON  M6J 1H4</t>
  </si>
  <si>
    <t>416-535-8501 Ext. 33611</t>
  </si>
  <si>
    <t>Centre of Addiction &amp; Mental Health,- College Street Site:Toronto
Sioux Lookout,Meno-Ya-Win Health Centre:Sioux Lookout</t>
  </si>
  <si>
    <t>Psychiatry||Effective: 24 Oct 2016||CPSO Recognized Specialist</t>
  </si>
  <si>
    <t>First certificate of registration issued: Restricted certificate||Effective:   24 Oct 2016
Terms and conditions imposed on certificate by Registration Committee||Effective:   24 Oct 2016
Expiry date attached to certificate of registration.||Expiry Date: 28 Feb 2018
Expiry date attached to certificate of registration.||Expiry Date: 28 Feb 2019</t>
  </si>
  <si>
    <t>73090</t>
  </si>
  <si>
    <t xml:space="preserve">Active Member as of 30 Jun 1999 </t>
  </si>
  <si>
    <t>Institute Medicine, Pharmacy, Bucharest, 1982</t>
  </si>
  <si>
    <t>Department of Psychiatry,Mount Sinai Hospital,600 University Avenue,Suite 913,Toronto ON  M5G 1X5</t>
  </si>
  <si>
    <t>(416) 586-4800 Ext. 4564</t>
  </si>
  <si>
    <t>(416) 586-3149</t>
  </si>
  <si>
    <t>University of Toronto, 01 Oct 1998  to 31 Mar 1999|Elective Trainee - Psychiatry</t>
  </si>
  <si>
    <t>First certificate of registration issued: Postgraduate Education Certificate||Effective:   01 Oct 1998
Expired: Terms and conditions of certificate of registration||Expiry:      31 Mar 1999
Subsequent certificate of registration Issued: Independent Practice Certificate||Effective:   30 Jun 1999</t>
  </si>
  <si>
    <t>Bogdan-Cristian Ulic Medicine Professional Corporation</t>
  </si>
  <si>
    <t>Issued Date:  Nov 13 2013</t>
  </si>
  <si>
    <t>Dr. B. Ulic (CPSO# 73090)</t>
  </si>
  <si>
    <t>Mount Sinai Hospital,Department of Psychiatry,Suite 913,600 University Avenue,Toronto ON  M5G 1X5,(416) 586-4800</t>
  </si>
  <si>
    <t>54963</t>
  </si>
  <si>
    <t xml:space="preserve">Active Member as of 09 Oct 1984 </t>
  </si>
  <si>
    <t xml:space="preserve">Independent Practice as of 29 Sep 1987 </t>
  </si>
  <si>
    <t>University of Madras, 1970</t>
  </si>
  <si>
    <t>First certificate of registration issued: Postgraduate Education Certificate||Effective:   09 Oct 1984
Transfer of class of registration to: Hospital Practice Certificate||Effective:   02 Jul 1987
Transfer of class of registration to: Independent Practice Certificate||Effective:   29 Sep 1987</t>
  </si>
  <si>
    <t>Venkatesan Medicine Professional Corporation</t>
  </si>
  <si>
    <t>Issued Date:  Aug 16 2006</t>
  </si>
  <si>
    <t>Dr. B. Venkatesan (CPSO# 54963),Dr. V. Venkatesan (CPSO# 54592)</t>
  </si>
  <si>
    <t>London Regional Cancer Program,Department of Radiation Oncology,800 Commissioners Road East,P O Box 5010 Stn B,London ON  N6A 5W9</t>
  </si>
  <si>
    <t>42353</t>
  </si>
  <si>
    <t xml:space="preserve">Active Member as of 07 May 1979 </t>
  </si>
  <si>
    <t xml:space="preserve">Independent Practice as of 14 Jun 1991 </t>
  </si>
  <si>
    <t>University of Ceylon, 1968</t>
  </si>
  <si>
    <t>University of Ottawa,Health Services,Suite 302,1 Nicholas Street,Ottawa ON  K1N 7B7</t>
  </si>
  <si>
    <t>(613) 564-3950 Ext. 296</t>
  </si>
  <si>
    <t>First certificate of registration issued: Academic Practice Certificate||Effective:   07 May 1979
Transfer of class of registration to: Hospital Practice Certificate||Effective:   09 Feb 1982
Transfer of class of registration to: Independent Practice Certificate||Effective:   14 Jun 1991</t>
  </si>
  <si>
    <t>59662</t>
  </si>
  <si>
    <t xml:space="preserve">Active Member as of 15 Jun 1988 </t>
  </si>
  <si>
    <t xml:space="preserve">Independent Practice as of 03 Dec 1992 </t>
  </si>
  <si>
    <t>McGill University, 1988</t>
  </si>
  <si>
    <t>458 MacLaren Street,Ground Floor,Ottawa ON  K1R 5K6</t>
  </si>
  <si>
    <t>(613) 230-0564</t>
  </si>
  <si>
    <t>(613) 230-9204</t>
  </si>
  <si>
    <t>Psychosocial Oncology Program,Irving Greenberg Family Cancer Ctr,Box 938 - 3045 Baseline Road,Ottawa ON  K2H 8P4,Canada,Phone:(613) 737-7700 Ext. 25121,Fax:(613) 726-5107,County:Regional Municipality of Ottawa-Carleton,Electoral District:07</t>
  </si>
  <si>
    <t>Ottawa Hospital,General Site:Ottawa</t>
  </si>
  <si>
    <t>University of Ottawa, 01 Jul 1992  to 30 Jun 1993|Resident 4 - Psychiatry</t>
  </si>
  <si>
    <t>First certificate of registration issued: Postgraduate Education Certificate||Effective:   15 Jun 1988
Transfer of class of registration to: Independent Practice Certificate||Effective:   03 Dec 1992</t>
  </si>
  <si>
    <t>28780</t>
  </si>
  <si>
    <t xml:space="preserve">Active Member as of 23 Sep 1976 </t>
  </si>
  <si>
    <t xml:space="preserve">Independent Practice as of 23 Sep 1976 </t>
  </si>
  <si>
    <t>The University of British Columbia, 1975</t>
  </si>
  <si>
    <t>272 Lawrence Avenue West,Suite 101,Toronto ON  M5M 4M1</t>
  </si>
  <si>
    <t>(416) 256-2880</t>
  </si>
  <si>
    <t>(416) 256-2870</t>
  </si>
  <si>
    <t>Psychiatry||Effective: 09 Jun 1980||RCPSC Specialist</t>
  </si>
  <si>
    <t>First certificate of registration issued: Independent Practice Certificate||Effective:   23 Sep 1976</t>
  </si>
  <si>
    <t>102548</t>
  </si>
  <si>
    <t xml:space="preserve">Active Member as of 12 Jul 2017 </t>
  </si>
  <si>
    <t xml:space="preserve">Independent Practice as of 12 Jul 2017 </t>
  </si>
  <si>
    <t>University of Nigeria, 1997</t>
  </si>
  <si>
    <t>Timmins and District Hospital,Department of Psychiatry,700 Ross Avenue East,Timmins ON  P4N 8P2</t>
  </si>
  <si>
    <t>(705) 360-6036</t>
  </si>
  <si>
    <t>Timmins and District Hospital:Timmins</t>
  </si>
  <si>
    <t>Psychiatry||Effective: 11 May 2016||RCPSC Specialist</t>
  </si>
  <si>
    <t>First certificate of registration issued: Restricted certificate||Effective:   17 Jan 2014
Terms and conditions imposed on certificate by Registration Committee||Effective:   17 Jan 2014
Expiry date attached to certificate of registration.||Expiry Date: 16 Jan 2017
Terms and conditions amended by Registration Committee||Effective:   15 Dec 2016
Expired: Terms and conditions imposed on certificate by Registration Committee||Effective:   13 Jan 2017
Subsequent certificate of registration issued: Restricted certificate||Effective:   13 Jan 2017
Expired: Terms and conditions imposed on certificate by Registration Committee||Effective:   12 Jul 2017
Subsequent certificate of registration Issued: Independent Practice Certificate||Effective:   12 Jul 2017</t>
  </si>
  <si>
    <t>Dr. Bosah Nwosu Medicine Professional Corporation</t>
  </si>
  <si>
    <t>Issued Date:  Jan 27 2014</t>
  </si>
  <si>
    <t>Dr. B. Nwosu (CPSO# 102548)</t>
  </si>
  <si>
    <t>Timmins and District Hospital,Department of Psychiatry,700 Ross Avenue East,Timmins ON  P4N 8P2,(705) 360-6036</t>
  </si>
  <si>
    <t>53693</t>
  </si>
  <si>
    <t xml:space="preserve">Active Member as of 06 Jan 1984 </t>
  </si>
  <si>
    <t xml:space="preserve">Independent Practice as of 08 Jun 1988 </t>
  </si>
  <si>
    <t>Academy of Medicine, Warsaw, 1970</t>
  </si>
  <si>
    <t>Suite 207,14 Prince Arthur Avenue,Toronto ON  M5R 1A9</t>
  </si>
  <si>
    <t>(416) 927-9595</t>
  </si>
  <si>
    <t>Poland</t>
  </si>
  <si>
    <t>First certificate of registration issued: Postgraduate Education Certificate||Effective:   06 Jan 1984
Transfer of class of registration to: Independent Practice Certificate||Effective:   08 Jun 1988</t>
  </si>
  <si>
    <t>60959</t>
  </si>
  <si>
    <t xml:space="preserve">Active Member as of 12 Jun 1989 </t>
  </si>
  <si>
    <t xml:space="preserve">Independent Practice as of 19 Jun 1990 </t>
  </si>
  <si>
    <t>University of Toronto, 1989</t>
  </si>
  <si>
    <t>2200 Yonge Street,Suite 1700,Toronto ON  M4S 2C6</t>
  </si>
  <si>
    <t>(416) 322-7935</t>
  </si>
  <si>
    <t>University of Toronto, 12 Jun 1989  to 11 Jun 1990|Other - Rotating Internship
University of Toronto, 01 Jul 1990  to 30 Jun 1991|Resident 1 - Psychiatry
University of Toronto, 01 Jul 1991  to 30 Jun 1992|Resident 2 - Psychiatry
University of Toronto, 01 Jul 1992  to 30 Jun 1993|Resident 3 - Psychiatry
University of Toronto, 01 Jul 1993  to 30 Jun 1994|Resident 4 - Psychiatry</t>
  </si>
  <si>
    <t>First certificate of registration issued: Postgraduate Education Certificate||Effective:   12 Jun 1989
Transfer of class of registration to: Independent Practice Certificate||Effective:   19 Jun 1990</t>
  </si>
  <si>
    <t>74902</t>
  </si>
  <si>
    <t xml:space="preserve">Active Member as of 05 Jan 2006 </t>
  </si>
  <si>
    <t xml:space="preserve">Independent Practice as of 05 Jan 2006 </t>
  </si>
  <si>
    <t>Queen's University, 2000</t>
  </si>
  <si>
    <t>Royal Ottawa Mental Health Centre,2nd Floor - Forensics,1145 Carling Avenue,Ottawa ON  K1Z 7K4</t>
  </si>
  <si>
    <t>613-722-6521 Ext. 6120</t>
  </si>
  <si>
    <t>613-798-2992</t>
  </si>
  <si>
    <t>St Lawrence Valley Correctional &amp;TC,PO Box 8000,1804 Highway 2 East,Brockville ON  K6V 7N2,Canada,Phone:613-341-2870,Fax:613-341-2882,County:County of Leeds and Grenville,Electoral District:06</t>
  </si>
  <si>
    <t>Royal Ottawa Health Care Group:Ottawa
Royal Ottawa Health Care Group,Brockville Mental Health Centre:Brockville</t>
  </si>
  <si>
    <t>University of Ottawa, 01 Jul 2000  to 30 Jun 2001|PostGrad Yr 1 - Psychiatry
University of Ottawa, 01 Jul 2001  to 30 Jun 2002|PostGrad Yr 2 - Psychiatry
University of Ottawa, 01 Jul 2002  to 30 Jun 2003|PostGrad Yr 3 - Psychiatry
University of Ottawa, 01 Jul 2003  to 30 Jun 2004|PostGrad Yr 4 - Psychiatry
University of Ottawa, 01 Jul 2004  to 30 Jun 2005|PostGrad Yr 5 - Psychiatry</t>
  </si>
  <si>
    <t>First certificate of registration issued: Postgraduate Education Certificate||Effective:   01 Jul 2000
Expired: Terms and conditions of certificate of registration||Expiry:      30 Jun 2005
Subsequent certificate of registration Issued: Independent Practice Certificate||Effective:   05 Jan 2006</t>
  </si>
  <si>
    <t>Booth Medicine Professional Corporation</t>
  </si>
  <si>
    <t>Issued Date:  Jan 04 2007</t>
  </si>
  <si>
    <t>Dr. B. Booth (CPSO# 74902)</t>
  </si>
  <si>
    <t>2nd Floor Forensics,1145 Carling Avenue,Ottawa ON  K1Z 7K4,(613) 722-6521</t>
  </si>
  <si>
    <t>64412</t>
  </si>
  <si>
    <t xml:space="preserve">Active Member as of 02 Oct 2000 </t>
  </si>
  <si>
    <t xml:space="preserve">Independent Practice as of 21 Dec 1995 </t>
  </si>
  <si>
    <t>Hamburg University, 1990</t>
  </si>
  <si>
    <t>Waypoint Centre for Mental Health,500 Church Street,Penetanguishene ON  L9M 1G3</t>
  </si>
  <si>
    <t>(705) 549-3181 Ext. 2043</t>
  </si>
  <si>
    <t>(705) 549-3652</t>
  </si>
  <si>
    <t>Georgian Bay General Hospital:Midland
Orillia Soldiers Memorial Hospital:Orillia
Waypoint Centre for Mental Health Care:Penetanguishene</t>
  </si>
  <si>
    <t>Psychiatry||Effective: 16 Nov 1995||RCPSC Specialist</t>
  </si>
  <si>
    <t>Queen's University, 01 Jul 1991  to 30 Jun 1992|Resident 1 - Psychiatry
Queen's University, 01 Jul 1992  to 30 Jun 1993|Resident 2 - Psychiatry
Queen's University, 01 Jul 1993  to 30 Jun 1994|Resident 3 - Psychiatry
Queen's University, 01 Jul 1994  to 30 Jun 1995|Resident 4 - Psychiatry
The University of Western Ontario, 01 Jul 1995  to 31 Dec 1995|Clinical Fellow - Psychiatry</t>
  </si>
  <si>
    <t>First certificate of registration issued: Postgraduate Education Certificate||Effective:   02 Aug 1991
Transfer of class of registration to: Independent Practice Certificate||Effective:   21 Dec 1995
Suspension of registration imposed: Discipline Committee||Effective:   01 Apr 2000
Suspension of registration removed||Effective:   02 Oct 2000</t>
  </si>
  <si>
    <t>Brant E. Bergstrome Medicine Professional Corporation</t>
  </si>
  <si>
    <t>Inactive: Mar 27 2015</t>
  </si>
  <si>
    <t>Issued Date:  Oct 25 2016</t>
  </si>
  <si>
    <t>Dr. B. Bergstrome (CPSO# 64412)</t>
  </si>
  <si>
    <t>Waypoint Centre for Mental Health,500 Church Street,Penetanguishene ON  L9M 1G3,(705) 549-3181</t>
  </si>
  <si>
    <t>114856</t>
  </si>
  <si>
    <t xml:space="preserve">Active Member as of 16 May 2018 </t>
  </si>
  <si>
    <t xml:space="preserve">Restricted as of 16 May 2018 </t>
  </si>
  <si>
    <t>Universidade Federal de Minas Gerais, 2003</t>
  </si>
  <si>
    <t>C A M H,250 College St,Toronto ON  M5S 1R8</t>
  </si>
  <si>
    <t>(416) 979-6948</t>
  </si>
  <si>
    <t>Psychiatry||Effective: 12 May 2018||CPSO Recognized Specialist</t>
  </si>
  <si>
    <t>First certificate of registration issued: Restricted certificate||Effective:   16 May 2018
Terms and conditions imposed on certificate by Registration Committee||Effective:   16 May 2018
Expiry date attached to certificate of registration.||Expiry Date: 02 May 2021</t>
  </si>
  <si>
    <t>32904</t>
  </si>
  <si>
    <t xml:space="preserve">Active Member as of 09 Oct 1981 </t>
  </si>
  <si>
    <t xml:space="preserve">Independent Practice as of 09 Oct 1981 </t>
  </si>
  <si>
    <t>University of Cape Town, 1974</t>
  </si>
  <si>
    <t>1100 Sheppard Avenue East,Suite 308,Toronto ON  M2K 2W1</t>
  </si>
  <si>
    <t>(416) 222-5286</t>
  </si>
  <si>
    <t>(416) 4460849</t>
  </si>
  <si>
    <t>Department of Psychiatry,Toronto General Hospital,8 E N,200 Elizabeth Street,Toronto ON  M5G 2C4,Canada,Phone:(416) 340-3055,Fax:(416) 340-4198,County:City of Toronto,Electoral District:10</t>
  </si>
  <si>
    <t>First certificate of registration issued: Postgraduate Education Certificate||Effective:   11 Jul 1979
Transfer of class of registration to: Independent Practice Certificate||Effective:   09 Oct 1981</t>
  </si>
  <si>
    <t>74034</t>
  </si>
  <si>
    <t xml:space="preserve">Active Member as of 06 Jul 2004 </t>
  </si>
  <si>
    <t xml:space="preserve">Independent Practice as of 06 Jul 2004 </t>
  </si>
  <si>
    <t>34 Pearl St,Mississauga ON  L5M 1X2</t>
  </si>
  <si>
    <t>(647) 729-4447</t>
  </si>
  <si>
    <t>905-542-3107</t>
  </si>
  <si>
    <t>Hong Fook Mental Health Association,3rd Floor,130 Dundas St. W.,Toronto ON  M7A 2C7,Canada,Phone:416-493-4242,Fax:416-595-6332,County:City of Toronto,Electoral District:10</t>
  </si>
  <si>
    <t>University of Toronto, 01 Jul 1999  to 30 Jun 2000|PostGrad Yr 1 - Psychiatry
University of Toronto, 01 Jul 2000  to 30 Jun 2001|PostGrad Yr 2 - Psychiatry
University of Toronto, 01 Jul 2001  to 30 Jun 2002|PostGrad Yr 3 - Psychiatry
University of Toronto, 01 Jul 2002  to 30 Jun 2003|PostGrad Yr 4 - Psychiatry
University of Toronto, 01 Jul 2003  to 30 Jun 2004|PostGrad Yr 5 - Psychiatry
University of Toronto, 01 Jul 2005  to 30 Jun 2006|Clinical Fellow - Psychiatry</t>
  </si>
  <si>
    <t>First certificate of registration issued: Postgraduate Education Certificate||Effective:   01 Jul 1999
Expired: Terms and conditions of certificate of registration||Expiry:      30 Jun 2004
Subsequent certificate of registration Issued: Independent Practice Certificate||Effective:   06 Jul 2004</t>
  </si>
  <si>
    <t>Brian Cho Medicine Professional Corporation</t>
  </si>
  <si>
    <t>Issued Date:  Nov 10 2005</t>
  </si>
  <si>
    <t>Dr. B. Cho (CPSO# 74034)</t>
  </si>
  <si>
    <t>130 Dundas Street West,3rd Floor,Toronto ON  M7A 2C7,(416) 493-4242
34 Pearl Street,34 Pearl Street,Mississauga ON  L5M 1X2,(647) 729-4447</t>
  </si>
  <si>
    <t>30431</t>
  </si>
  <si>
    <t xml:space="preserve">Active Member as of 28 Jun 1989 </t>
  </si>
  <si>
    <t xml:space="preserve">Independent Practice as of 28 Jun 1989 </t>
  </si>
  <si>
    <t>National University of Ireland, 1973</t>
  </si>
  <si>
    <t>98 King Street West,Bowmanville ON  L1C 1R4</t>
  </si>
  <si>
    <t>647-527-8161</t>
  </si>
  <si>
    <t>University of Toronto, 01 Jul 1993  to 30 Jun 1994|Resident 4 - Psychiatry</t>
  </si>
  <si>
    <t>First certificate of registration issued: Postgraduate Education Certificate||Effective:   12 Mar 1975
Transfer of class of registration to: Underserviced Area Practice Certificate||Effective:   13 Jul 1976
Transfer of class of registration to: Independent Practice Certificate||Effective:   27 Sep 1978
Expired: Resigned from membership.||Expiry:      12 Nov 1982
Subsequent certificate of registration Issued: Independent Practice Certificate||Effective:   28 Jun 1989</t>
  </si>
  <si>
    <t>60705</t>
  </si>
  <si>
    <t xml:space="preserve">Independent Practice as of 19 Jul 1990 </t>
  </si>
  <si>
    <t>Queen's University, 1989</t>
  </si>
  <si>
    <t>University Health Network,R Fraser Elliott 1-410,190 Elizabeth Street,Toronto ON  M5G 2C4</t>
  </si>
  <si>
    <t>(416) 340-3079</t>
  </si>
  <si>
    <t>(416) 340-3792</t>
  </si>
  <si>
    <t>University of Toronto, 12 Jun 1989  to 11 Jun 1990|Other - Rotating Internship
University of Toronto, 01 Jul 1990  to 30 Jun 1991|Resident 1 - Psychiatry
University of Toronto, 01 Jul 1991  to 30 Jun 1992|Resident 2 - Psychiatry
University of Toronto, 01 Jul 1992  to 30 Jun 1993|Resident 3 - Psychiatry
University of Toronto, 01 Jul 1993  to 30 Jun 1994|Resident 4 - Psychiatry
University of Toronto, 01 Jul 1994  to 30 Jun 1995|Clinical Fellow - Psychiatry
University of Toronto, 01 Jul 1995  to 30 Jun 1996|Clinical Fellow - Psychiatry</t>
  </si>
  <si>
    <t>First certificate of registration issued: Postgraduate Education Certificate||Effective:   12 Jun 1989
Transfer of class of registration to: Independent Practice Certificate||Effective:   19 Jul 1990</t>
  </si>
  <si>
    <t>Dr. Brian D. Hodges Medicine Professional Corporation</t>
  </si>
  <si>
    <t>Inactive: Mar 24 2017</t>
  </si>
  <si>
    <t>55967</t>
  </si>
  <si>
    <t xml:space="preserve">Active Member as of 26 Feb 1992 </t>
  </si>
  <si>
    <t xml:space="preserve">Independent Practice as of 26 Feb 1992 </t>
  </si>
  <si>
    <t>McMaster University, 1984</t>
  </si>
  <si>
    <t>(519) 824-1010 Ext. 2226</t>
  </si>
  <si>
    <t>Guelph General Hospital,115 Delhi St.,Guelph ON  N1E 4J4,Canada,Phone:(519) 837-6438,County:County of Wellington,Electoral District:03</t>
  </si>
  <si>
    <t>First certificate of registration issued: Postgraduate Education Certificate||Effective:   01 Jul 1985
Expired: Terms and conditions of certificate of registration||Expiry:      30 Jun 1989
Subsequent certificate of registration Issued: Independent Practice Certificate||Effective:   26 Feb 1992</t>
  </si>
  <si>
    <t>52336</t>
  </si>
  <si>
    <t xml:space="preserve">Active Member as of 15 Jun 1982 </t>
  </si>
  <si>
    <t xml:space="preserve">Independent Practice as of 29 Aug 1983 </t>
  </si>
  <si>
    <t>Queen's University, 1982</t>
  </si>
  <si>
    <t>715A  Arlington Park Place,Kingston ON  K7M 7E4</t>
  </si>
  <si>
    <t>(613) 384-8222</t>
  </si>
  <si>
    <t>(613) 384-8221</t>
  </si>
  <si>
    <t>Psychiatry||Effective: 12 Jun 1990||RCPSC Specialist</t>
  </si>
  <si>
    <t>The University of Western Ontario, 15 Jun 1982  to 15 Jun 1983|Other - Rotating Internship
Queen's University, 01 Jul 1983  to 30 Jun 1984|Resident 1 - Psychiatry
Queen's University, 01 Jul 1987  to 30 Jun 1988|Resident 2 - Psychiatry
Queen's University, 01 Jul 1988  to 30 Jun 1989|Resident 3 - Psychiatry
Queen's University, 01 Jul 1989  to 30 Jun 1990|Resident 4 - Psychiatry</t>
  </si>
  <si>
    <t>First certificate of registration issued: Postgraduate Education Certificate||Effective:   15 Jun 1982
Transfer of class of registration to: Independent Practice Certificate||Effective:   29 Aug 1983</t>
  </si>
  <si>
    <t>56877</t>
  </si>
  <si>
    <t xml:space="preserve">Active Member as of 16 Jun 1986 </t>
  </si>
  <si>
    <t xml:space="preserve">Independent Practice as of 09 Jul 1987 </t>
  </si>
  <si>
    <t>University of Toronto, 1986</t>
  </si>
  <si>
    <t>Canadian Mental Health Association,HSBC Tower,710 - 3601 Highway 7 East,Markham ON  L3R 0M3</t>
  </si>
  <si>
    <t>(905) 841-3977 Ext. 5244</t>
  </si>
  <si>
    <t>(905) 477-5564</t>
  </si>
  <si>
    <t>Psychiatry||Effective: 07 Jun 1991||RCPSC Specialist</t>
  </si>
  <si>
    <t>University of Toronto, 16 Jun 1986  to 15 Jun 1987|Other - Comprehensive Internship
University of Toronto, 01 Jul 1987  to 30 Jun 1988|Resident 1 - Psychiatry
University of Toronto, 01 Jul 1988  to 30 Jun 1989|Resident 2 - Psychiatry
University of Toronto, 01 Jul 1989  to 30 Jun 1990|Resident 3 - Psychiatry
University of Toronto, 01 Jul 1990  to 30 Jun 1991|Resident 4 - Psychiatry</t>
  </si>
  <si>
    <t>First certificate of registration issued: Postgraduate Education Certificate||Effective:   16 Jun 1986
Transfer of class of registration to: Independent Practice Certificate||Effective:   09 Jul 1987</t>
  </si>
  <si>
    <t>53278</t>
  </si>
  <si>
    <t xml:space="preserve">Independent Practice as of 08 Jul 1985 </t>
  </si>
  <si>
    <t>University of Dublin, 1976</t>
  </si>
  <si>
    <t>Suite 405,2249 Carling Avenue,Ottawa ON  K2B 7E9</t>
  </si>
  <si>
    <t>(613) 596-5623</t>
  </si>
  <si>
    <t>(613) 596-3250</t>
  </si>
  <si>
    <t>Queensway Carleton Hospital,3045 Baseline Rd,Nepean ON  K2H 8P4,Canada,Phone:613 721 4700,County:Regional Municipality of Ottawa-Carleton,Electoral District:07</t>
  </si>
  <si>
    <t>Psychiatry||Effective: 10 Jun 1986||RCPSC Specialist</t>
  </si>
  <si>
    <t>First certificate of registration issued: Postgraduate Education Certificate||Effective:   01 Jul 1983
Transfer of class of registration to: Independent Practice Certificate||Effective:   08 Jul 1985</t>
  </si>
  <si>
    <t>Dr. Brian Patrick O'Brien Medicine Professional Corporation</t>
  </si>
  <si>
    <t>Issued Date:  Oct 28 2008</t>
  </si>
  <si>
    <t>Dr. B. O'Brien (CPSO# 53278)</t>
  </si>
  <si>
    <t>Queensway Carleton Hospital,3045 Baseline Road,Nepean ON  K2H 8P4,(613) 721-2000
Suite 405,Suite 405,2249 Carling Avenue,Ottawa ON  K2B 7E9,(613) 596-5623</t>
  </si>
  <si>
    <t>54354</t>
  </si>
  <si>
    <t xml:space="preserve">Active Member as of 11 Jun 1984 </t>
  </si>
  <si>
    <t xml:space="preserve">Independent Practice as of 11 Sep 1985 </t>
  </si>
  <si>
    <t>University of Toronto, 1984</t>
  </si>
  <si>
    <t>Suite 456,1720 Howard Avenue,Windsor ON  N8X 5A6</t>
  </si>
  <si>
    <t>(519) 252-5250</t>
  </si>
  <si>
    <t>(519) 252-3439</t>
  </si>
  <si>
    <t>University of Toronto, 11 Jun 1984  to 17 Jun 1985|Other - Rotating Internship
University of Toronto, 01 Jul 1987  to 30 Jun 1988|Resident 2 - Psychiatry
University of Toronto, 01 Jul 1989  to 30 Jun 1990|Resident 4 - Psychiatry</t>
  </si>
  <si>
    <t>First certificate of registration issued: Postgraduate Education Certificate||Effective:   11 Jun 1984
Transfer of class of registration to: Independent Practice Certificate||Effective:   11 Sep 1985</t>
  </si>
  <si>
    <t>Brian R. Burke Medicine Professional Corporation</t>
  </si>
  <si>
    <t>Issued Date:  Jun 12 2009</t>
  </si>
  <si>
    <t>Dr. B. Burke (CPSO# 54354)</t>
  </si>
  <si>
    <t>Suite 456,1720 Howard Avenue,Windsor ON  N8X 5A6,(519) 252-5250</t>
  </si>
  <si>
    <t>59599</t>
  </si>
  <si>
    <t xml:space="preserve">Active Member as of 01 Jul 1988 </t>
  </si>
  <si>
    <t xml:space="preserve">Independent Practice as of 23 Oct 1989 </t>
  </si>
  <si>
    <t>University of Ottawa, 1988</t>
  </si>
  <si>
    <t>186 Albert Street,Suite 104,London ON  N6A 1M1</t>
  </si>
  <si>
    <t>(519) 663-8089</t>
  </si>
  <si>
    <t>Family Medicine||Effective: 12 Jun 1990||CFPC Specialist
Psychiatry||Effective: 20 Nov 1998||RCPSC Specialist</t>
  </si>
  <si>
    <t>The University of Western Ontario, 01 Jul 1995  to 30 Jun 1996|Resident 2 - Psychiatry
The University of Western Ontario, 01 Jul 1996  to 30 Jun 1997|Resident 3 - Psychiatry
The University of Western Ontario, 01 Jul 1997  to 30 Jun 1998|Resident 4 - Psychiatry</t>
  </si>
  <si>
    <t>First certificate of registration issued: Postgraduate Education Certificate||Effective:   01 Jul 1988
Transfer of class of registration to: Independent Practice Certificate||Effective:   23 Oct 1989</t>
  </si>
  <si>
    <t>Brian S. Reid Medicine Professional Corporation</t>
  </si>
  <si>
    <t>Issued Date:  Jul 09 2015</t>
  </si>
  <si>
    <t>Dr. B. Reid (CPSO# 59599)</t>
  </si>
  <si>
    <t>Suite 104,186 Albert Street,London ON  N6A 1M1,(519) 663-8089</t>
  </si>
  <si>
    <t>31826</t>
  </si>
  <si>
    <t xml:space="preserve">Active Member as of 15 Jul 1980 </t>
  </si>
  <si>
    <t xml:space="preserve">Independent Practice as of 05 May 2009 </t>
  </si>
  <si>
    <t>University of Toronto, 1979</t>
  </si>
  <si>
    <t>Suite 270,340 College Street,Toronto ON  M5T 3A9</t>
  </si>
  <si>
    <t>(416) 922-8429</t>
  </si>
  <si>
    <t>(416) 603-3208</t>
  </si>
  <si>
    <t>University Health Network,Toronto Western Hospital Site:Toronto</t>
  </si>
  <si>
    <t>University of Toronto, 01 Jul 1995  to 30 Jun 1996|Resident 2 - Psychiatry
University of Toronto, 01 Jul 1996  to 30 Jun 1997|Resident 3 - Psychiatry
University of Toronto, 01 Jul 1997  to 30 Jun 1998|Resident 4 - Psychiatry</t>
  </si>
  <si>
    <t>First certificate of registration issued: Independent Practice Certificate||Effective:   15 Jul 1980
Transfer of class of certificate to: Restricted certificate||Effective:   18 Nov 2008
Terms and conditions imposed on certificate||Effective:   18 Nov 2008
Transfer of class of registration to: Independent Practice Certificate||Effective:   05 May 2009</t>
  </si>
  <si>
    <t>Dr. Brian S. Kirsh Medicine Professional Corporation</t>
  </si>
  <si>
    <t>Issued Date:  Jul 31 2012</t>
  </si>
  <si>
    <t>Dr. B. Kirsh (CPSO# 31826)</t>
  </si>
  <si>
    <t>Suite 270,340 College Street,Toronto ON  M5T 3A9,(416) 922-8429</t>
  </si>
  <si>
    <t>59123</t>
  </si>
  <si>
    <t xml:space="preserve">Active Member as of 11 Dec 1987 </t>
  </si>
  <si>
    <t xml:space="preserve">Independent Practice as of 11 Dec 1987 </t>
  </si>
  <si>
    <t>English, French, Italian, Mandarin, Spanish</t>
  </si>
  <si>
    <t>University of Sherbrooke, 1980</t>
  </si>
  <si>
    <t>Markham Stouffville Health Centre,Suite 408,377 Church Street,Markham ON  L6B 1A1</t>
  </si>
  <si>
    <t>(905) 472-5733</t>
  </si>
  <si>
    <t>(905) 472-5215</t>
  </si>
  <si>
    <t>Markham Stouffville Hospital:Markham</t>
  </si>
  <si>
    <t>First certificate of registration issued: Independent Practice Certificate||Effective:   11 Dec 1987</t>
  </si>
  <si>
    <t>Dr. Brian Ticoll Medicine Professional Corporation</t>
  </si>
  <si>
    <t>Issued Date:  Aug 21 2007</t>
  </si>
  <si>
    <t>Dr. B. Ticoll (CPSO# 59123)</t>
  </si>
  <si>
    <t>Markham Stouffville Health Centre,377 Church Street,Suite 408,Markham ON  L6B 1A1,(905) 472-5733</t>
  </si>
  <si>
    <t>71670</t>
  </si>
  <si>
    <t>University of Guelph,Student Health Services,J T Powell Building,Guelph ON  N1G 2W1</t>
  </si>
  <si>
    <t>(519) 824-4120 Ext. 52131</t>
  </si>
  <si>
    <t>McMaster University, 01 Jul 1997  to 30 Jun 1998|PostGrad Yr 1 - Psychiatry
McMaster University, 01 Jul 1998  to 30 Jun 1999|PostGrad Yr 2 - Psychiatry
McMaster University, 01 Jul 1999  to 30 Jun 2000|PostGrad Yr 3 - Psychiatry
McMaster University, 01 Jul 2000  to 30 Jun 2001|PostGrad Yr 4 - Psychiatry
McMaster University, 01 Jul 2001  to 30 Jun 2002|PostGrad Yr 5 - Psychiatry
McMaster University, 01 Jul 2002  to 31 Dec 2002|PostGrad Yr 5 - Psychiatry</t>
  </si>
  <si>
    <t>114670</t>
  </si>
  <si>
    <t xml:space="preserve">Active Member as of 13 Apr 2018 </t>
  </si>
  <si>
    <t xml:space="preserve">Restricted as of 13 Apr 2018 </t>
  </si>
  <si>
    <t>University of Cape Town, 2008</t>
  </si>
  <si>
    <t>32 Park Rd,Toronto ON  M4W 2N4</t>
  </si>
  <si>
    <t>Psychiatry||Effective: 18 May 2018||RCPSC Specialist</t>
  </si>
  <si>
    <t>First certificate of registration issued: Restricted certificate||Effective:   13 Apr 2018
Terms and conditions imposed on certificate by Registration Committee||Effective:   13 Apr 2018
Expiry date attached to certificate of registration.||Expiry Date: 04 Apr 2020</t>
  </si>
  <si>
    <t>90300</t>
  </si>
  <si>
    <t xml:space="preserve">Active Member as of 16 Mar 2009 </t>
  </si>
  <si>
    <t xml:space="preserve">Restricted as of 16 Mar 2009 </t>
  </si>
  <si>
    <t>Nagpur University, 1976</t>
  </si>
  <si>
    <t>Ross Memorial Hospital,Department of Psychiatry,10 Angeline Street North,Lindsay ON  K9V 4M8</t>
  </si>
  <si>
    <t>(705) 328-7321</t>
  </si>
  <si>
    <t>(705) 328-7318</t>
  </si>
  <si>
    <t>USA - Georgia</t>
  </si>
  <si>
    <t>Psychiatry||Effective: 16 Mar 2009||CPSO Recognized Specialist</t>
  </si>
  <si>
    <t>First certificate of registration issued: Restricted certificate||Effective:   16 Mar 2009
Terms and conditions imposed on certificate by Registration Committee||Effective:   16 Mar 2009
Expiry date attached to certificate of registration.||Expiry Date: 15 Sep 2010
Terms and conditions amended by Registration Committee||Effective:   06 Aug 2010
Terms and conditions amended by Registration Committee||Effective:   06 Aug 2010</t>
  </si>
  <si>
    <t>Dr. Brij Bhushan Gulati Medicine Professional Corporation</t>
  </si>
  <si>
    <t>Issued Date:  Sep 10 2009</t>
  </si>
  <si>
    <t>Dr. B. Gulati (CPSO# 90300)</t>
  </si>
  <si>
    <t>Ross Memorial Hospital,10 Angeline Street North,Lindsay ON  K9V 4M8</t>
  </si>
  <si>
    <t>82521</t>
  </si>
  <si>
    <t xml:space="preserve">Active Member as of 09 Jul 2010 </t>
  </si>
  <si>
    <t xml:space="preserve">Independent Practice as of 09 Jul 2010 </t>
  </si>
  <si>
    <t>C A M H,College Street Site,250 College Street,Toronto ON  M5T 1R8</t>
  </si>
  <si>
    <t>(416) 535-8501 Ext. 30403</t>
  </si>
  <si>
    <t>(416) 979-8501</t>
  </si>
  <si>
    <t>First certificate of registration issued: Postgraduate Education Certificate||Effective:   01 Jul 2005
Expired: Terms and conditions of certificate of registration||Expiry:      30 Jun 2010
Subsequent certificate of registration Issued: Independent Practice Certificate||Effective:   09 Jul 2010</t>
  </si>
  <si>
    <t>Dr. Luke T. Bearss Medicine Professional Corporation</t>
  </si>
  <si>
    <t>Issued Date:  Nov 06 2009</t>
  </si>
  <si>
    <t>Dr. B. Poynter (CPSO# 82521),Dr. L. Bearss (CPSO# 82438)</t>
  </si>
  <si>
    <t>206 - 600 University Avenue,Toronto ON  M5G 1X5,(416) 586-5058
Family Practice Unit,Family Practice Unit,Floor 4,60 Murray Street,Toronto ON  M5T 3L9,(416) 586-5158</t>
  </si>
  <si>
    <t>66452</t>
  </si>
  <si>
    <t>The University of Manitoba, 1993</t>
  </si>
  <si>
    <t>Homewood Health,77 City Centre Dr,#604,Mississauga ON  L5B 1M5</t>
  </si>
  <si>
    <t>(289) 207-0011</t>
  </si>
  <si>
    <t>CAMH,60 White Squirrel Way, Toronto, ON,Toronto ON  M6J 1H4,Canada,Phone:416 535 8501,County:City of Toronto,Electoral District:10</t>
  </si>
  <si>
    <t>British Columbia
Nova Scotia</t>
  </si>
  <si>
    <t>Centre for Addiction &amp; Mental Health,- Russell Street Site:Toronto
Mount Sinai Hospital:Toronto</t>
  </si>
  <si>
    <t>University of Toronto, 01 Jul 1993  to 30 Jun 1994|PostGrad Yr 1 - Psychiatry
University of Toronto, 01 Jul 1994  to 30 Jun 1995|Resident 1 - Psychiatry
University of Toronto, 01 Jul 1995  to 30 Jun 1996|Resident 1 - Psychiatry
University of Toronto, 01 Jul 1996  to 30 Jun 1997|Resident 3 - Psychiatry
University of Toronto, 01 Jul 1997  to 30 Jun 1998|Resident 4 - Psychiatry
University of Toronto, 01 Jul 1998  to 30 Jun 1999|Clinical Fellow - Psychiatry
University of Toronto, 01 Jul 1999  to 30 Jun 2000|Clinical Fellow - Psychiatry</t>
  </si>
  <si>
    <t>Dr. Ballon Medicine Professional Corporation</t>
  </si>
  <si>
    <t>Issued Date:  Sep 29 2009</t>
  </si>
  <si>
    <t>Dr. B. Ballon (CPSO# 66452)</t>
  </si>
  <si>
    <t>Homewood Health,604 - 77 City Centre Drive,Mississauga ON  L5B 1M5
CAMH,CAMH,60 White Squirrel Way,Toronto ON  M6J 1H4
Mount Sinai Hospital,Mount Sinai Hospital,60 Murray Street,Toronto ON  M5T 3L9,(416) 586-4800
Centre for Addiction &amp; Mental Health,Centre for Addiction &amp; Mental Health,33 Russell Street,Toronto ON  M5S 2S1,(416) 535-8501
10 Jainey Place,10 Jainey Place,North York ON  M5M 3S5,(416) 484-9655</t>
  </si>
  <si>
    <t>51707</t>
  </si>
  <si>
    <t xml:space="preserve">Active Member as of 13 Jul 2005 </t>
  </si>
  <si>
    <t xml:space="preserve">Independent Practice as of 13 Jul 2005 </t>
  </si>
  <si>
    <t>Centre for Addiction,and Mental Health,33 Russell Street, T109,Toronto ON  M5S 2S1</t>
  </si>
  <si>
    <t>(416) 535-8501 Ext. 36890</t>
  </si>
  <si>
    <t>(416) 979-4704</t>
  </si>
  <si>
    <t>Centre for Addiction &amp; Mental Health,- Russell Street Site:Toronto</t>
  </si>
  <si>
    <t>University of Toronto, 18 Jun 1979  to 16 Jun 1980|Other - Psychiatry
University of Toronto, 01 Jul 1980  to 30 Jun 1981|Resident 2 - Psychiatry
University of Toronto, 01 Jul 1981  to 30 Jun 1982|Resident 3 - Psychiatry
University of Toronto, 01 Jul 1982  to 30 Jun 1983|Resident 4 - Psychiatry</t>
  </si>
  <si>
    <t>First certificate of registration issued: Postgraduate Education Certificate||Effective:   18 Jun 1979
Transfer of class of registration to: Independent Practice Certificate||Effective:   01 Jul 1983
Expired: Resigned from membership.||Expiry:      31 May 1996
Subsequent certificate of registration Issued: Independent Practice Certificate||Effective:   13 Jul 2005</t>
  </si>
  <si>
    <t>52501</t>
  </si>
  <si>
    <t xml:space="preserve">Active Member as of 13 Jun 1983 </t>
  </si>
  <si>
    <t xml:space="preserve">Independent Practice as of 25 Jun 1984 </t>
  </si>
  <si>
    <t>University of Toronto, 1983</t>
  </si>
  <si>
    <t>400 Walmer Road,Suite 106,Toronto ON  M5P 2X7</t>
  </si>
  <si>
    <t>(416) 975-9554</t>
  </si>
  <si>
    <t>First certificate of registration issued: Postgraduate Education Certificate||Effective:   13 Jun 1983
Transfer of class of registration to: Independent Practice Certificate||Effective:   25 Jun 1984</t>
  </si>
  <si>
    <t>Dr. Bruce M. Sutton Medicine Professional Corporation</t>
  </si>
  <si>
    <t>Issued Date:  Apr 05 2006</t>
  </si>
  <si>
    <t>Dr. B. Sutton (CPSO# 52501)</t>
  </si>
  <si>
    <t>106 - 400 Walmer Road,West Tower,Toronto ON  M5P 2X7,(416) 975-9554</t>
  </si>
  <si>
    <t>72745</t>
  </si>
  <si>
    <t xml:space="preserve">Active Member as of 26 Jun 1998 </t>
  </si>
  <si>
    <t xml:space="preserve">Independent Practice as of 26 Jun 1998 </t>
  </si>
  <si>
    <t>English, Xhosa, Zulu</t>
  </si>
  <si>
    <t>University of Natal, 1984</t>
  </si>
  <si>
    <t>Michael Garron Hospital,Child &amp; Adolescent Mental Health,A6,825 Coxwell Avenue,Toronto ON  M4C 3E7</t>
  </si>
  <si>
    <t>(416) 469-6580 Ext. 3543</t>
  </si>
  <si>
    <t>(416) 469-6179</t>
  </si>
  <si>
    <t>Suite 203,1407 Yonge Street,Toronto ON  M4T 1Y7,Canada,County:City of Toronto,Electoral District:10</t>
  </si>
  <si>
    <t>Psychiatry||Effective: 17 Nov 1995||RCPSC Specialist
Child and Adolescent Psychiatry||Effective: 21 Sep 2015||RCPSC Specialist</t>
  </si>
  <si>
    <t>First certificate of registration issued: Independent Practice Certificate||Effective:   26 Jun 1998</t>
  </si>
  <si>
    <t>Dr. M. Nkungu Medicine Professional Corporation</t>
  </si>
  <si>
    <t>Inactive: May 11 2012</t>
  </si>
  <si>
    <t>91360</t>
  </si>
  <si>
    <t xml:space="preserve">Active Member as of 30 Jun 2014 </t>
  </si>
  <si>
    <t>University of Ottawa, 2009</t>
  </si>
  <si>
    <t>Ontario Shores,Centre for Mental Health Sciences,700 Gordon Street,Whitby ON  L1N 5S9</t>
  </si>
  <si>
    <t>905-430-4055</t>
  </si>
  <si>
    <t>905-430-4032</t>
  </si>
  <si>
    <t>Ontario Shores Centre for Mental Health Sciences:Whitby</t>
  </si>
  <si>
    <t>First certificate of registration issued: Postgraduate Education Certificate||Effective:   01 Jul 2009
Expired: Terms and conditions of certificate of registration||Expiry:      24 Sep 2013
Subsequent certificate of registration issued: Restricted certificate||Effective:   24 Sep 2013
Expired: Terms and conditions imposed on certificate by Registration Committee||Effective:   30 Jun 2014
Subsequent certificate of registration Issued: Independent Practice Certificate||Effective:   30 Jun 2014</t>
  </si>
  <si>
    <t>Dr. Caitlin McKeever Medicine Professional Corporation</t>
  </si>
  <si>
    <t>Issued Date:  Nov 05 2015</t>
  </si>
  <si>
    <t>Dr. C. McKeever (CPSO# 91360)</t>
  </si>
  <si>
    <t>Ontario Shores,Building 1-Level 1,700 Gordon Street,Whitby ON  L1N 5S9,(905) 668-5881</t>
  </si>
  <si>
    <t>100079</t>
  </si>
  <si>
    <t xml:space="preserve">Active Member as of 05 Apr 2013 </t>
  </si>
  <si>
    <t xml:space="preserve">Restricted as of 05 Apr 2013 </t>
  </si>
  <si>
    <t>University of Arizona, 2000</t>
  </si>
  <si>
    <t>Guelph Family Health Team,Suite 212,55 Wyndham St. North,Guelph ON  N1H 7T8</t>
  </si>
  <si>
    <t>519-837-4444 Ext. 291</t>
  </si>
  <si>
    <t>519-837-2202</t>
  </si>
  <si>
    <t>Psychiatry||Effective: 19 May 2017||RCPSC Specialist</t>
  </si>
  <si>
    <t>First certificate of registration issued: Restricted certificate||Effective:   05 Apr 2013
Terms and conditions imposed on certificate by Registration Committee||Effective:   05 Apr 2013
Expiry date attached to certificate of registration.||Expiry Date: 04 Oct 2014
Terms and conditions amended by Registration Committee||Effective:   11 Sep 2014
Terms and conditions amended by Registration Committee||Effective:   11 Dec 2014
Expiry date removed from certificate of registration.||Effective:   11 Dec 2014</t>
  </si>
  <si>
    <t>15385</t>
  </si>
  <si>
    <t xml:space="preserve">Active Member as of 06 Sep 1955 </t>
  </si>
  <si>
    <t xml:space="preserve">Independent Practice as of 06 Sep 1955 </t>
  </si>
  <si>
    <t>Queen's University, 1955</t>
  </si>
  <si>
    <t>797 Princess Street,Suite 407,Kingston ON  K7L 1G1</t>
  </si>
  <si>
    <t>(613) 544-0683</t>
  </si>
  <si>
    <t>613 389 7447</t>
  </si>
  <si>
    <t>Psychiatry||Effective: 13 Nov 1963||RCPSC Specialist</t>
  </si>
  <si>
    <t>First certificate of registration issued: Independent Practice Certificate||Effective:   06 Sep 1955</t>
  </si>
  <si>
    <t>84634</t>
  </si>
  <si>
    <t>Suite 401,586 Eglinton Avenue East,Toronto ON  M4P 1P2</t>
  </si>
  <si>
    <t>(416) 615-2040</t>
  </si>
  <si>
    <t>(416) 665-2243</t>
  </si>
  <si>
    <t>Department Of Psychiatry,Room FG29,2075 Bayview Avenue,Toronto ON  M4N 3M5,Canada,Phone:(416) 480-5677,Fax:(416) 480-6878,County:City of Toronto,Electoral District:10</t>
  </si>
  <si>
    <t>University of Toronto, 01 Jul 2006  to 30 Jun 2007|PostGrad Yr 1 - Psychiatry
University of Toronto, 01 Jul 2007  to 30 Jun 2008|PostGrad Yr 2 - Psychiatry
University of Toronto, 01 Jul 2008  to 30 Jun 2009|PostGrad Yr 3 - Psychiatry
University of Toronto, 01 Jul 2009  to 30 Jun 2010|PostGrad Yr 4 - Psychiatry
University of Toronto, 01 Jul 2010  to 31 May 2011|PostGrad Yr 4 - Psychiatry
University of Toronto, 01 Jun 2011  to 30 Jun 2011|PostGrad Yr 5 - Psychiatry
University of Toronto, 01 Jul 2011  to 30 Jun 2012|PostGrad Yr 5 - Psychiatry
University of Toronto, 01 Jul 2012  to 30 Jun 2013|PostGrad Yr 5 - Psychiatry</t>
  </si>
  <si>
    <t>First certificate of registration issued: Postgraduate Education Certificate||Effective:   01 Jul 2006
Transfer of class of registration to: Independent Practice Certificate||Effective:   30 Jun 2013</t>
  </si>
  <si>
    <t>88367</t>
  </si>
  <si>
    <t>Suite 507,586 Eglinton Avenue East,Toronto ON  M4P 1P2</t>
  </si>
  <si>
    <t>Psychiatry||Effective: 30 Jun 2013||RCPSC Specialist
Child and Adolescent Psychiatry||Effective: 21 Sep 2015||RCPSC Specialist</t>
  </si>
  <si>
    <t>University of Toronto, 01 Jul 2008  to 30 Jun 2009|PostGrad Yr 1 - Psychiatry
University of Toronto, 01 Jul 2009  to 30 Jun 2010|PostGrad Yr 2 - Psychiatry
University of Toronto, 01 Jul 2010  to 30 Jun 2011|PostGrad Yr 3 - Psychiatry
University of Toronto, 01 Jul 2011  to 30 Jun 2012|PostGrad Yr 4 - Psychiatry
University of Toronto, 01 Jul 2012  to 30 Jun 2013|PostGrad Yr 5 - Psychiatry
University of Toronto, 01 Jul 2013  to 30 Jun 2014|PostGrad Yr 6 - Paediatric Psychiatry
University of Toronto, 01 Jul 2014  to 30 Jun 2015|PostGrad Yr 6 - Paediatric Psychiatry</t>
  </si>
  <si>
    <t>First certificate of registration issued: Postgraduate Education Certificate||Effective:   01 Jul 2008
Transfer of class of registration to: Independent Practice Certificate||Effective:   30 Jun 2014</t>
  </si>
  <si>
    <t>JW Delaney Medicine Professional Corporation</t>
  </si>
  <si>
    <t>Issued Date:  Mar 17 2014</t>
  </si>
  <si>
    <t>Dr. J. Delaney (CPSO# 88785),Dr. C. Ooi (CPSO# 88367)</t>
  </si>
  <si>
    <t>3050 Lawrence Avenue East,Scarborough ON  M1P 2V5,(416) 438-2911
2867 Ellesmere Road,2867 Ellesmere Road,Scarborough ON  M1E 4B9,(416) 284-8131
3030 Birchmount Road,3030 Birchmount Road,Scarborough ON  M1W 3W3,(416) 495-2400</t>
  </si>
  <si>
    <t>51734</t>
  </si>
  <si>
    <t xml:space="preserve">Active Member as of 23 Jun 1986 </t>
  </si>
  <si>
    <t xml:space="preserve">Independent Practice as of 23 Jun 1986 </t>
  </si>
  <si>
    <t>University of Saskatchewan, 1976</t>
  </si>
  <si>
    <t>(613) 722-6521 Ext. 7050</t>
  </si>
  <si>
    <t>(613) 798-2988</t>
  </si>
  <si>
    <t>Psychiatry||Effective: 07 Jun 1983||RCPSC Specialist</t>
  </si>
  <si>
    <t>First certificate of registration issued: Postgraduate Education Certificate||Effective:   01 Jul 1979
Expired: Terms and conditions of certificate of registration||Expiry:      30 Jun 1983
Subsequent certificate of registration Issued: Independent Practice Certificate||Effective:   23 Jun 1986</t>
  </si>
  <si>
    <t>Carl Ripley Medicine Professional Corporation</t>
  </si>
  <si>
    <t>Issued Date:  Dec 16 2005</t>
  </si>
  <si>
    <t>Dr. C. Ripley (CPSO# 51734)</t>
  </si>
  <si>
    <t>75134</t>
  </si>
  <si>
    <t xml:space="preserve">Active Member as of 01 Jul 2000 </t>
  </si>
  <si>
    <t>Memorial University of Newfoundland, 2000</t>
  </si>
  <si>
    <t>Synergy Sport + Mental Health,Unit 202,511 Edinburgh Rd S,Guelph ON  N1G 4S5</t>
  </si>
  <si>
    <t>519-837-1228</t>
  </si>
  <si>
    <t>519-763-9096</t>
  </si>
  <si>
    <t>David Braley Sport Medicine Center,DBAC WB127,1280 Main St E,Hamilton ON  L8S 4K1,Canada,Phone:905-525-9140 Ext. 23575,Fax:905-526-7397,County:Regional Municipality of Hamilton-Wentworth,Electoral District:04
Health and Performance Centre,University of Guelph,J.T. Powell Building, 2nd floor,50 Stone Road West,Guelph ON  N1G 2W1,Canada,Phone:519-767-5011 Ext. 1,Fax:519-821-4007,County:County of Wellington,Electoral District:03
Elliott Sports Medicine Clinic,102-1100 Walker's Line,Burlington ON  L7N 2G3,Canada,Phone:905-336-3340,Fax:905-336-6095,County:Regional Municipality of Halton,Electoral District:04</t>
  </si>
  <si>
    <t>McMaster University, 01 Jul 2000  to 30 Jun 2001|PostGrad Yr 1 - Psychiatry
McMaster University, 01 Jul 2001  to 30 Jun 2002|PostGrad Yr 2 - Psychiatry
McMaster University, 01 Jul 2002  to 30 Jun 2003|PostGrad Yr 3 - Psychiatry
McMaster University, 01 Jul 2003  to 30 Jun 2004|PostGrad Yr 4 - Psychiatry
McMaster University, 01 Jul 2004  to 30 Jun 2005|PostGrad Yr 5 - Psychiatry</t>
  </si>
  <si>
    <t>First certificate of registration issued: Postgraduate Education Certificate||Effective:   01 Jul 2000
Transfer of class of registration to: Independent Practice Certificate||Effective:   30 Jun 2005</t>
  </si>
  <si>
    <t>Dr. Carla Edwards Medicine Professional Corporation</t>
  </si>
  <si>
    <t>Issued Date:  May 31 2012</t>
  </si>
  <si>
    <t>Dr. C. Edwards (CPSO# 75134)</t>
  </si>
  <si>
    <t>202 - 511 Edinburgh Road South,Guelph ON  N1G 4S5,(519) 837-1228
JT Powell Building,JT Powell Building,Level 2,Guelph ON  N1G 2W1,(519) 767-5011
102 - 1100 Walkers Line,102 - 1100 Walkers Line,Burlington ON  L7N 2G3,(905) 336-3340
McMaster University,McMaster University,Department of Athletics and Rec,1280 Main Street,DBAC WB127,Hamilton ON  L8S 4K1,(905) 525-9140</t>
  </si>
  <si>
    <t>74966</t>
  </si>
  <si>
    <t>The University of Western Ontario, 2000</t>
  </si>
  <si>
    <t>University Health Network,Toronto General Hospital,8th Floor, Room 8-235B, Eaton North,200 Elizabeth Street,Toronto ON  M5G 2C4</t>
  </si>
  <si>
    <t>(416)340-3387</t>
  </si>
  <si>
    <t>(416)340-4198</t>
  </si>
  <si>
    <t>University of Toronto, 01 Jul 2000  to 30 Jun 2001|PostGrad Yr 1 - Psychiatry
University of Toronto, 01 Jul 2001  to 30 Jun 2002|PostGrad Yr 2 - Psychiatry
University of Toronto, 01 Jul 2002  to 30 Jun 2003|PostGrad Yr 3 - Psychiatry
University of Toronto, 01 Jul 2003  to 30 Jun 2004|PostGrad Yr 4 - Psychiatry
University of Toronto, 01 Jul 2004  to 30 Jun 2005|PostGrad Yr 5 - Psychiatry</t>
  </si>
  <si>
    <t>82540</t>
  </si>
  <si>
    <t>(519) 824-1010</t>
  </si>
  <si>
    <t>McMaster University, 01 Jul 2005  to 30 Jun 2006|PostGrad Yr 1 - Psychiatry
McMaster University, 01 Jul 2006  to 30 Jun 2007|PostGrad Yr 2 - Psychiatry
McMaster University, 01 Jul 2007  to 30 Jun 2008|PostGrad Yr 3 - Psychiatry
McMaster University, 01 Jul 2008  to 30 Jun 2009|PostGrad Yr 4 - Psychiatry
McMaster University, 01 Jul 2009  to 30 Jun 2010|PostGrad Yr 5 - Psychiatry</t>
  </si>
  <si>
    <t>Dr. Carlos Lalonde Medicine Professional Corporation</t>
  </si>
  <si>
    <t>Issued Date:  Mar 08 2013</t>
  </si>
  <si>
    <t>Dr. C. Lalonde (CPSO# 82540)</t>
  </si>
  <si>
    <t>Homewood Health Centre,150 Delhi Street,Guelph ON  N1E 6K9,(519) 824-1010</t>
  </si>
  <si>
    <t>31278</t>
  </si>
  <si>
    <t xml:space="preserve">Active Member as of 27 Dec 1979 </t>
  </si>
  <si>
    <t xml:space="preserve">Independent Practice as of 27 Dec 1979 </t>
  </si>
  <si>
    <t>University of Buenos Aires, 1955</t>
  </si>
  <si>
    <t>33 Somerset Street West,Ottawa ON  K2P 0H3</t>
  </si>
  <si>
    <t>(613) 233-2308</t>
  </si>
  <si>
    <t>(613) 231-6852</t>
  </si>
  <si>
    <t>First certificate of registration issued: Academic Practice Certificate||Effective:   21 Jun 1976
Transfer of class of registration to: Independent Practice Certificate||Effective:   27 Dec 1979</t>
  </si>
  <si>
    <t>50608</t>
  </si>
  <si>
    <t xml:space="preserve">Active Member as of 01 Jul 1982 </t>
  </si>
  <si>
    <t xml:space="preserve">Independent Practice as of 17 Aug 1992 </t>
  </si>
  <si>
    <t>University of Los Andes, 1978</t>
  </si>
  <si>
    <t>Suite 290,180 King Street South,Waterloo ON  N2J 1P8</t>
  </si>
  <si>
    <t>(519) 745-2621</t>
  </si>
  <si>
    <t>(519) 745-7174</t>
  </si>
  <si>
    <t>Sute 1011,20 Erb Street West,Waterloo ON  N2C1T2,Canada,Phone:519-3715217,County:Regional Municipality of Waterloo,Electoral District:03
Suite 11,945 3rd Avenue,Owen Sound ON  N4K 2K8,Canada,Phone:519-371-5217,Fax:519-371-5736,County:County of Grey,Electoral District:03</t>
  </si>
  <si>
    <t>First certificate of registration issued: Postgraduate Education Certificate||Effective:   01 Jul 1982
Transfer of class of registration to: Hospital Practice Certificate||Effective:   01 Jul 1988
Transfer of class of registration to: Independent Practice Certificate||Effective:   17 Aug 1992</t>
  </si>
  <si>
    <t>Dr. Willy Galarraga-Carrero Medicine Professional Corporation</t>
  </si>
  <si>
    <t>Issued Date:  Jan 07 2009</t>
  </si>
  <si>
    <t>Dr. C. Galarraga-Carrero (CPSO# 50608)</t>
  </si>
  <si>
    <t>Suite 290,180 King Street South,Waterloo ON  N2J 1P8,(519) 745-2621
11-945 3rd Avenue,11-945 3rd Avenue,Owen Sound ON  N4K 2K8,(519) 371-5217
1101-20 Erb Street South,1101-20 Erb Street South,Waterloo ON  N2L 1T2,(519) 371-5217</t>
  </si>
  <si>
    <t>71463</t>
  </si>
  <si>
    <t>Dalhousie University, 1997</t>
  </si>
  <si>
    <t>BPD Clinic,CAMH - Queen Street Site,60 White Squirrel Way,Toronto ON  M6J 1H4</t>
  </si>
  <si>
    <t>(416) 535-8501 Ext. 32368</t>
  </si>
  <si>
    <t>(416) 595-6399</t>
  </si>
  <si>
    <t>University of Toronto, 01 Jul 1997  to 30 Jun 1998|PostGrad Yr 1 - Psychiatry
University of Toronto, 01 Jul 1998  to 30 Jun 1999|PostGrad Yr 2 - Psychiatry
University of Toronto, 01 Jul 1999  to 30 Jun 2000|PostGrad Yr 3 - Psychiatry
University of Toronto, 01 Jul 2000  to 30 Jun 2001|PostGrad Yr 4 - Psychiatry
University of Toronto, 01 Jul 2001  to 30 Jun 2002|PostGrad Yr 5 - Psychiatry</t>
  </si>
  <si>
    <t>79930</t>
  </si>
  <si>
    <t xml:space="preserve">Active Member as of 07 Sep 2018 </t>
  </si>
  <si>
    <t xml:space="preserve">Independent Practice as of 07 Sep 2018 </t>
  </si>
  <si>
    <t>University of Saskatchewan, 2001</t>
  </si>
  <si>
    <t>Saskatchewan</t>
  </si>
  <si>
    <t>University of Ottawa, 01 Jul 2006  to 30 Jun 2007|PostGrad Yr 2 - Psychiatry
University of Ottawa, 01 Jul 2007  to 30 Jun 2008|PostGrad Yr 3 - Psychiatry
University of Ottawa, 01 Jul 2008  to 30 Jun 2009|PostGrad Yr 4 - Psychiatry
University of Ottawa, 01 Jul 2009  to 30 Jun 2010|PostGrad Yr 5 - Psychiatry</t>
  </si>
  <si>
    <t>First certificate of registration issued: Independent Practice Certificate||Effective:   03 Jul 2003
Expired: Failure to Renew Membership||Expiry:      16 Aug 2018
Subsequent certificate of registration Issued: Independent Practice Certificate||Effective:   07 Sep 2018</t>
  </si>
  <si>
    <t>102192</t>
  </si>
  <si>
    <t xml:space="preserve">Active Member as of 03 Oct 2013 </t>
  </si>
  <si>
    <t xml:space="preserve">Restricted as of 03 Oct 2013 </t>
  </si>
  <si>
    <t>University of the West Indies, 1995</t>
  </si>
  <si>
    <t>Parkwood Institute,Mental Health Care,550 Wellington Rd,London ON  N6C 0A7</t>
  </si>
  <si>
    <t>(519) 455-5110 Ext. 47747</t>
  </si>
  <si>
    <t>(519) 452-4556</t>
  </si>
  <si>
    <t>Jamaica</t>
  </si>
  <si>
    <t>St Joseph Health Care,London- Mental Health:London</t>
  </si>
  <si>
    <t>Psychiatry||Effective: 03 Oct 2013||CPSO Recognized Specialist</t>
  </si>
  <si>
    <t>First certificate of registration issued: Restricted certificate||Effective:   03 Oct 2013
Terms and conditions imposed on certificate by Registration Committee||Effective:   03 Oct 2013
Expiry date attached to certificate of registration.||Expiry Date: 30 Jun 2016
Terms and conditions amended by Registration Committee||Effective:   14 Sep 2016
Expiry date attached to certificate of registration||Expiry Date: 30 Jun 2019</t>
  </si>
  <si>
    <t>McDaniel Medicine Professional Corporation</t>
  </si>
  <si>
    <t>Issued Date:  Sep 24 2014</t>
  </si>
  <si>
    <t>Dr. C. McDaniel (CPSO# 102192)</t>
  </si>
  <si>
    <t>Parkwood Institute,Mental Health Care,550 Wellington Road,London ON  N6C 0A7,(519) 646-6000</t>
  </si>
  <si>
    <t>50809</t>
  </si>
  <si>
    <t xml:space="preserve">Active Member as of 15 Jun 1979 </t>
  </si>
  <si>
    <t xml:space="preserve">Independent Practice as of 02 Sep 1983 </t>
  </si>
  <si>
    <t>University of Ottawa, 1979</t>
  </si>
  <si>
    <t>(613) 233-2269</t>
  </si>
  <si>
    <t>First certificate of registration issued: Postgraduate Education Certificate||Effective:   15 Jun 1979
Transfer of class of registration to: Independent Practice Certificate||Effective:   02 Sep 1983</t>
  </si>
  <si>
    <t>Dr. Carol Husband Medicine Professional Corporation</t>
  </si>
  <si>
    <t>Inactive: Aug 14 2018</t>
  </si>
  <si>
    <t>98802</t>
  </si>
  <si>
    <t>University College, Cork, 2012</t>
  </si>
  <si>
    <t>Ontario Shores Centre for Mental,Health Sciences,700 Gordon St,Whitby ON  L1N 5S9</t>
  </si>
  <si>
    <t>905-430-4052</t>
  </si>
  <si>
    <t>University of Toronto, 01 Jul 2012  to 22 Sep 2012|Assessment Verification Period - Psychiatry
University of Toronto, 23 Sep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Psychiatry</t>
  </si>
  <si>
    <t>First certificate of registration issued: Pre Entry Assessment Program Certificate||Effective:   01 Jul 2012
Transfer of class of registration to: Postgraduate Education Certificate||Effective:   23 Sep 2012
Transfer of class of registration to: Independent Practice Certificate||Effective:   30 Jun 2017</t>
  </si>
  <si>
    <t>Dr. Carol Tse Medicine Professional Corporation</t>
  </si>
  <si>
    <t>Issued Date:  Jul 06 2017</t>
  </si>
  <si>
    <t>Dr. C. Tse (CPSO# 98802)</t>
  </si>
  <si>
    <t>Ontario Shores Centre for Mental Health Science,700 Gordon Street,Suite 2-2012,Whitby ON  L1N 5S9,(905) 430-4055</t>
  </si>
  <si>
    <t>51359</t>
  </si>
  <si>
    <t xml:space="preserve">Active Member as of 19 Jun 1982 </t>
  </si>
  <si>
    <t xml:space="preserve">Independent Practice as of 17 Jun 1983 </t>
  </si>
  <si>
    <t>University of Toronto, 1982</t>
  </si>
  <si>
    <t>PO Box 153,Caledon East ON  L7C 3L9</t>
  </si>
  <si>
    <t>9054664003</t>
  </si>
  <si>
    <t>First certificate of registration issued: Postgraduate Education Certificate||Effective:   19 Jun 1982
Transfer of class of registration to: Independent Practice Certificate||Effective:   17 Jun 1983</t>
  </si>
  <si>
    <t>Dr. Carol Parlow Medicine Professional Corporation</t>
  </si>
  <si>
    <t>Issued Date:  Dec 23 2005</t>
  </si>
  <si>
    <t>Dr. C. Parlow (CPSO# 51359)</t>
  </si>
  <si>
    <t>PO Box 153,Caledon East ON  L7C 3L9,(905) 466-4003</t>
  </si>
  <si>
    <t>50271</t>
  </si>
  <si>
    <t xml:space="preserve">Active Member as of 14 Jun 1982 </t>
  </si>
  <si>
    <t>Sunnybrook Health Sciences Centre,Room F307,2075 Bayview Avenue,Toronto ON  M4N 3M5</t>
  </si>
  <si>
    <t>(416) 480-4663</t>
  </si>
  <si>
    <t>(416) 480-5889</t>
  </si>
  <si>
    <t>First certificate of registration issued: Postgraduate Education Certificate||Effective:   14 Jun 1982
Transfer of class of registration to: Independent Practice Certificate||Effective:   11 Mar 1985</t>
  </si>
  <si>
    <t>Carole Cohen Medicine Professional Corporation</t>
  </si>
  <si>
    <t>Issued Date:  Sep 11 2012</t>
  </si>
  <si>
    <t>Dr. C. Cohen (CPSO# 50271)</t>
  </si>
  <si>
    <t>Sunnybrook Health Sciences Centre,Room F307,2075 Bayview Avenue,Toronto ON  M4N 3M5,(416) 480-4663</t>
  </si>
  <si>
    <t>95298</t>
  </si>
  <si>
    <t>Gulf Medical College Ajman, 2006</t>
  </si>
  <si>
    <t>(705) 876-5076</t>
  </si>
  <si>
    <t>(705) 876-5160</t>
  </si>
  <si>
    <t>University of Ottawa, 01 Jul 2011  to 26 Sep 2011|Assessment Verification Period - Psychiatry
University of Ottawa, 27 Sep 2011  to 30 Jun 2012|PostGrad Yr 1 - Psychiatry
University of Ottawa, 01 Jul 2012  to 30 Jun 2013|PostGrad Yr 2 - Psychiatry
University of Ottawa, 01 Jul 2013  to 30 Jun 2014|PostGrad Yr 3 - Psychiatry
University of Ottawa, 01 Jul 2014  to 30 Jun 2015|PostGrad Yr 4 - Psychiatry
University of Ottawa, 01 Jul 2015  to 30 Jun 2016|PostGrad Yr 5 - Psychiatry
University of Ottawa, 01 Jul 2016  to 30 Jun 2017|PostGrad Yr 6 - Geriatric Psychiatry
University of Ottawa, 01 Jul 2017  to 31 Jul 2017|PostGrad Yr 6 - Geriatric Psychiatry</t>
  </si>
  <si>
    <t>First certificate of registration issued: Pre Entry Assessment Program Certificate||Effective:   01 Jul 2011
Transfer of class of registration to: Postgraduate Education Certificate||Effective:   27 Sep 2011
Transfer of class of registration to: Independent Practice Certificate||Effective:   30 Jun 2017</t>
  </si>
  <si>
    <t>71610</t>
  </si>
  <si>
    <t xml:space="preserve">Active Member as of 04 Jul 2002 </t>
  </si>
  <si>
    <t xml:space="preserve">Independent Practice as of 04 Jul 2002 </t>
  </si>
  <si>
    <t>Suite 5,697 Coronation Boulevard,Cambridge ON  N1R 3G5</t>
  </si>
  <si>
    <t>(519) 621-2828</t>
  </si>
  <si>
    <t>(519) 621-4904</t>
  </si>
  <si>
    <t>P.O. Box 9056,3570 King Street East,Kitchener ON  N2A 2W1,Canada,Phone:(519) 749-4300,County:Regional Municipality of Waterloo,Electoral District:03</t>
  </si>
  <si>
    <t>Grand River Hospital Corporation,Freeport Site:Kitchener</t>
  </si>
  <si>
    <t>McMaster University, 01 Jul 1997  to 30 Jun 1998|PostGrad Yr 1 - Psychiatry
McMaster University, 01 Jul 1998  to 30 Jun 1999|PostGrad Yr 2 - Psychiatry
McMaster University, 01 Jul 1999  to 30 Jun 2000|PostGrad Yr 3 - Psychiatry
McMaster University, 01 Jul 2000  to 30 Jun 2001|PostGrad Yr 4 - Psychiatry
McMaster University, 01 Jul 2001  to 30 Jun 2002|PostGrad Yr 5 - Psychiatry</t>
  </si>
  <si>
    <t>First certificate of registration issued: Postgraduate Education Certificate||Effective:   01 Jul 1997
Expired: Terms and conditions of certificate of registration||Expiry:      30 Jun 2002
Subsequent certificate of registration Issued: Independent Practice Certificate||Effective:   04 Jul 2002</t>
  </si>
  <si>
    <t>CD Pittman Medicine Professional Corporation</t>
  </si>
  <si>
    <t>Issued Date:  Mar 09 2015</t>
  </si>
  <si>
    <t>Dr. C. Pittman (CPSO# 71610)</t>
  </si>
  <si>
    <t>Grand River Hospital ACT Team,5 - 697 Coronation Boulevard,Cambridge ON  N1R 3G5,(519) 621-2828
3570 King Street East,3570 King Street East,Kitchener ON  N2A 2W1,(519) 749-4300</t>
  </si>
  <si>
    <t>65960</t>
  </si>
  <si>
    <t xml:space="preserve">Active Member as of 31 Aug 1992 </t>
  </si>
  <si>
    <t xml:space="preserve">Independent Practice as of 31 Aug 1992 </t>
  </si>
  <si>
    <t>University of Montreal, 1987</t>
  </si>
  <si>
    <t>Suite 200,4 Beechwood,Ottawa ON  K1L 8L9</t>
  </si>
  <si>
    <t>(613) 741-7174 Ext. 3</t>
  </si>
  <si>
    <t>(613) 741-0176</t>
  </si>
  <si>
    <t>First certificate of registration issued: Independent Practice Certificate||Effective:   31 Aug 1992</t>
  </si>
  <si>
    <t>J &amp; C Buteau Medicine Professional Corporation</t>
  </si>
  <si>
    <t>Issued Date:  Jul 15 2004</t>
  </si>
  <si>
    <t>Dr. J. Buteau (CPSO# 65995),Dr. C. Menard-Buteau (CPSO# 65960)</t>
  </si>
  <si>
    <t>200 - 4 Beechwood Road,Ottawa ON  K1L 8L9,(613) 741-7174</t>
  </si>
  <si>
    <t>91478</t>
  </si>
  <si>
    <t xml:space="preserve">Active Member as of 30 Dec 2014 </t>
  </si>
  <si>
    <t xml:space="preserve">Independent Practice as of 30 Dec 2014 </t>
  </si>
  <si>
    <t>Northern Ontario School Of Medicine, 2009</t>
  </si>
  <si>
    <t>Programme psychiatrique francophone,du Nord de l'Ontario,1145 Carling Avenue,Ottawa ON  K1Z 7K4</t>
  </si>
  <si>
    <t>(613) 715-5829</t>
  </si>
  <si>
    <t>(613) 715-5839</t>
  </si>
  <si>
    <t>Services de Counselling de,Kapuskasing Hearst,Kapuskasing ON  P5N 1W6,Canada,Phone:705-335-8468,Fax:705-337-6008,County:Territorial District of Cochrane,Electoral District:08
Mattawa Hospital,P.O. Box 70,Mattawa ON  P0H 1V0,Canada,Phone:705-744-5511,Fax:705-744-6020,County:Territorial District of Nipissing,Electoral District:08
Hôpital de Témiscamingue-Kipawa,180, Anvik,Témiscamingue QC  J0Z 3R0,Canada,Phone:819-627-3385,Fax:819-627-9497,County:Electoral District
Pavillon Sainte-Famille,Hôpital de Ville-Marie,22 Notre-Dame Nord,Ville-Marie QC  J9V 1W8,Canada,Phone:819-629-2420,Fax:819-629-3069,County:Electoral District
c/o CMHA,20 May Street South,New Liskeard ON  P0J 1P0,Canada,Phone:705-647-4444 Ext. 3345,Fax:705-647-4434,County:Territorial District of Timiskaming,Electoral District:08
North Bay Jail,2550 Trout Lake Road,North Bay ON  P1B 7S7,Canada,Phone:705-472-8115,Fax:705-472-1131,County:Territorial District of Nipissing,Electoral District:08
West Nipissing Family Health Team,172 Ethel Street, Unit 4, Box E1,Sturgeon Falls ON  P2B 1V9,Canada,Phone:(705) 753-5775,Fax:705-753-5788,County:Territorial District of Nipissing,Electoral District:08</t>
  </si>
  <si>
    <t>Mattawa General Hospital:Mattawa
Notre-Dame Hospital:Hearst
West Nipissing General Hospital:Sturgeon Falls</t>
  </si>
  <si>
    <t>Psychiatry||Effective: 30 Dec 2014||RCPSC Specialist</t>
  </si>
  <si>
    <t>University of Ottawa, 01 Jul 2009  to 30 Jun 2010|PostGrad Yr 1 - Psychiatry
University of Ottawa, 01 Jul 2010  to 30 Jun 2011|PostGrad Yr 2 - Psychiatry
University of Ottawa, 01 Jul 2011  to 30 Dec 2011|PostGrad Yr 2 - Psychiatry
University of Ottawa, 31 Dec 2011  to 30 Dec 2012|PostGrad Yr 3 - Psychiatry
University of Ottawa, 31 Dec 2012  to 30 Jun 2013|PostGrad Yr 4 - Psychiatry
University of Ottawa, 01 Jul 2013  to 30 Dec 2013|PostGrad Yr 4 - Psychiatry
University of Ottawa, 31 Dec 2013  to 30 Jun 2014|PostGrad Yr 5 - Psychiatry
University of Ottawa, 01 Jul 2014  to 30 Dec 2014|PostGrad Yr 5 - Psychiatry
McMaster University, 29 Jun 2015  to 30 Jun 2015|Clinical Fellow - Psychiatry
McMaster University, 01 Jul 2015  to 29 Jun 2016|Clinical Fellow - Psychiatry</t>
  </si>
  <si>
    <t>First certificate of registration issued: Postgraduate Education Certificate||Effective:   01 Jul 2009
Expired: Terms and conditions of certificate of registration||Expiry:      30 Jun 2014
Subsequent certificate of registration issued: Restricted certificate||Effective:   01 Jul 2014
Expired: Terms and conditions imposed on certificate by Registration Committee||Effective:   30 Dec 2014
Subsequent certificate of registration Issued: Independent Practice Certificate||Effective:   30 Dec 2014</t>
  </si>
  <si>
    <t>Dr. Carole Tessier Medicine Professional Corporation</t>
  </si>
  <si>
    <t>Issued Date:  Jan 12 2015</t>
  </si>
  <si>
    <t>Dr. C. Tessier (CPSO# 91478)</t>
  </si>
  <si>
    <t>West Nipissing Family Health Team,172 Ethel Street,Box E1,Suite 4,Sturgeon Falls ON  P2B 1V9,(705) 753-5775
West Nipissing General Hospital,West Nipissing General Hospital,725 Coursol Road,Sturgeon Falls ON  P2B 2Y6,(705) 753-3110
Mattawa General Hospital,Mattawa General Hospital,217 Turcotte Park Road,Mattawa ON  P0H 1V0,(705) 744-5511
CMHA New Liskeard,CMHA New Liskeard,20 May Street South,New Liskeard ON  P0J 1P0,(705) 647-4444
Hearst/Kapuskasing Counselling Services,Hearst/Kapuskasing Counselling Services,29 Byng Avenue,Suite 1,Kapuskasing ON  P5N 1W6,(705) 335-8468
North Bay Jail,North Bay Jail,2550 Trout Lake Road,North Bay ON  P1B 7S7,(705) 472-8115
Programme Psychiatrique Fancophone du,Programme Psychiatrique Fancophone du,Nord de l-Ontario,1145 Carling Avenue,Ottawa ON  K1Z 7K4,(613) 715-5829
Hopital de Temiscamingue-Kipawa,Hopital de Temiscamingue-Kipawa,180 Anvik,Temiscamingue QC  J0Z 3R0,(819) 627-3385
Pavillon Sainte-Famille Hopital de Ville-Marie,Pavillon Sainte-Famille Hopital de Ville-Marie,22 Notre Dame Nord,Ville-Marie QC  J9V 1W8,(819) 629-2420</t>
  </si>
  <si>
    <t>31388</t>
  </si>
  <si>
    <t xml:space="preserve">Active Member as of 31 Mar 1980 </t>
  </si>
  <si>
    <t xml:space="preserve">Independent Practice as of 31 Mar 1980 </t>
  </si>
  <si>
    <t>1560 Yonge Street,Suite 230,Toronto ON  M4T 2S9</t>
  </si>
  <si>
    <t>(416) 920-0930</t>
  </si>
  <si>
    <t>First certificate of registration issued: Independent Practice Certificate||Effective:   31 Mar 1980</t>
  </si>
  <si>
    <t>Carolina Johnston Medicine Professional Corporation</t>
  </si>
  <si>
    <t>Issued Date:  Jan 10 2011</t>
  </si>
  <si>
    <t>Dr. C. Johnston (CPSO# 31388)</t>
  </si>
  <si>
    <t>1560 Yonge Street,Suite 230,Toronto ON  M4T 2S9,(416) 920-0930</t>
  </si>
  <si>
    <t>70164</t>
  </si>
  <si>
    <t>The University of Western Ontario, 1996</t>
  </si>
  <si>
    <t>Suite 105,17 King Street East,Dundas ON  L9H 1B7</t>
  </si>
  <si>
    <t>(905) 628-5656</t>
  </si>
  <si>
    <t>(905) 628-5049</t>
  </si>
  <si>
    <t>St Joseph's Centre for Mountain Health Services:Hamilton</t>
  </si>
  <si>
    <t>The University of Western Ontario, 01 Jul 1996  to 30 Jun 1997|PostGrad Yr 1 - Psychiatry
The University of Western Ontario, 01 Jul 1997  to 30 Jun 1998|PostGrad Yr 2 - Psychiatry
The University of Western Ontario, 01 Jul 1998  to 30 Jun 1999|PostGrad Yr 3 - Psychiatry
The University of Western Ontario, 01 Jul 1999  to 30 Jun 2000|PostGrad Yr 4 - Psychiatry
The University of Western Ontario, 01 Jul 2000  to 30 Jun 2001|PostGrad Yr 5 - Psychiatry</t>
  </si>
  <si>
    <t>Misiaszek &amp; King Medicine Professional Corporation</t>
  </si>
  <si>
    <t>Issued Date:  Apr 19 2011</t>
  </si>
  <si>
    <t>Dr. C. King (CPSO# 70164),Dr. B. Misiaszek (CPSO# 71425)</t>
  </si>
  <si>
    <t>Centre for Healthy Aging,St Peter's Hospital,88 Maplewood Avenue,Hamilton ON  L8M 1W9,(905) 777-3837
Suite 105,Suite 105,17 King Street East,Dundas ON  L9H 1B7,(905) 628-5656</t>
  </si>
  <si>
    <t>56794</t>
  </si>
  <si>
    <t xml:space="preserve">Independent Practice as of 16 Nov 1987 </t>
  </si>
  <si>
    <t>118 Eglinton Avenue West,Suite 740,Toronto ON  M4R 2G4</t>
  </si>
  <si>
    <t>(416) 964-2540</t>
  </si>
  <si>
    <t>University of Toronto, 16 Jun 1986  to 15 Jun 1987|Other - Comprehensive Internship
University of Toronto, 15 Jun 1987  to 10 Oct 1987|Other - Comprehensive Internship
University of Toronto, 01 Jan 1988  to 30 Jun 1988|Resident 1 - Psychiatry
University of Toronto, 01 Jul 1988  to 31 Dec 1988|Resident 1 - Psychiatry
University of Toronto, 01 Jan 1989  to 30 Jun 1989|Resident 2 - Psychiatry
University of Toronto, 01 Jul 1989  to 30 Jun 1990|Resident 3 - Psychiatry
University of Toronto, 01 Jul 1990  to 30 Jun 1991|Resident 4 - Psychiatry</t>
  </si>
  <si>
    <t>First certificate of registration issued: Postgraduate Education Certificate||Effective:   16 Jun 1986
Transfer of class of registration to: Independent Practice Certificate||Effective:   16 Nov 1987</t>
  </si>
  <si>
    <t>69012</t>
  </si>
  <si>
    <t xml:space="preserve">Active Member as of 01 Jul 1995 </t>
  </si>
  <si>
    <t>University of Ottawa, 1995</t>
  </si>
  <si>
    <t>Ottawa Hospital,General Site,501 Smyth Road,Box 918,Ottawa ON  K1H 8L6</t>
  </si>
  <si>
    <t>(613) 737-8899 Ext. 70516</t>
  </si>
  <si>
    <t>(613) 737-8331</t>
  </si>
  <si>
    <t>451 Smyth Rd,,Office 3030,Ottawa ON  K1H 8M5,Canada,Phone:(613) 562-5800 Ext. 8507,County:Regional Municipality of Ottawa-Carleton,Electoral District:07</t>
  </si>
  <si>
    <t>Ottawa Hospital,Civic Site:Ottawa
Ottawa Hospital,General Site:Ottawa
Ottawa Hospital,Riverside Site:Ottawa</t>
  </si>
  <si>
    <t>University of Ottawa, 01 Jul 1995  to 30 Jun 1996|PostGrad Yr 1 - Psychiatry
University of Ottawa, 01 Jul 1996  to 30 Jun 1997|PostGrad Yr 2 - Psychiatry
University of Ottawa, 01 Jul 1997  to 30 Jun 1998|PostGrad Yr 3 - Psychiatry
University of Ottawa, 01 Jul 1998  to 30 Jun 1999|PostGrad Yr 4 - Psychiatry
University of Ottawa, 01 Jul 1999  to 30 Jun 2000|PostGrad Yr 5 - Psychiatry</t>
  </si>
  <si>
    <t>First certificate of registration issued: Postgraduate Education Certificate||Effective:   01 Jul 1995
Transfer of class of registration to: Independent Practice Certificate||Effective:   30 Jun 2000</t>
  </si>
  <si>
    <t>G. Hebert Medicine Professional Corporation</t>
  </si>
  <si>
    <t>Issued Date:  Aug 24 2007</t>
  </si>
  <si>
    <t>Dr. C. Gerin-Lajoie (CPSO# 69012),Dr. G. Hebert (CPSO# 62218)</t>
  </si>
  <si>
    <t>Ottawa Hospital - Civic Campus,1053 Carling Avenue,Ottawa ON  K1Y 4E9,(613) 761-4773
Ottawa Hospital - General Site,Ottawa Hospital - General Site,501 Smyth Road,Ottawa ON  K1H 8L6,(613) 737-8222</t>
  </si>
  <si>
    <t>93282</t>
  </si>
  <si>
    <t xml:space="preserve">Active Member as of 01 Jul 2014 </t>
  </si>
  <si>
    <t xml:space="preserve">Independent Practice as of 31 Dec 2015 </t>
  </si>
  <si>
    <t>Thunder Bay Regional,Health Sciences Centre,Department of Psychiatry,980 Oliver Road,Thunder Bay ON  P7B 6V4</t>
  </si>
  <si>
    <t>(807) 684-6000</t>
  </si>
  <si>
    <t>09</t>
  </si>
  <si>
    <t>Psychiatry||Effective: 31 Dec 2015||RCPSC Specialist</t>
  </si>
  <si>
    <t>McMaster University, 01 Jul 2010  to 30 Jun 2011|PostGrad Yr 1 - Psychiatry
McMaster University, 01 Jul 2011  to 30 Jun 2012|PostGrad Yr 2 - Psychiatry
McMaster University, 01 Jul 2012  to 31 Dec 2012|PostGrad Yr 2 - Psychiatry
McMaster University, 01 Jan 2013  to 30 Jun 2013|PostGrad Yr 3 - Psychiatry
McMaster University, 01 Jul 2013  to 31 Dec 2013|PostGrad Yr 3 - Psychiatry
McMaster University, 01 Jan 2014  to 30 Jun 2014|PostGrad Yr 4 - Psychiatry
McMaster University, 01 Jul 2014  to 31 Dec 2014|PostGrad Yr 4 - Psychiatry
McMaster University, 01 Jan 2015  to 30 Jun 2015|PostGrad Yr 5 - Psychiatry
McMaster University, 01 Jul 2015  to 31 Dec 2015|PostGrad Yr 5 - Psychiatry</t>
  </si>
  <si>
    <t>First certificate of registration issued: Postgraduate Education Certificate||Effective:   01 Jul 2010
Expired: Terms and conditions of certificate of registration||Expiry:      31 Aug 2013
Subsequent certificate of registration issued: Restricted certificate||Effective:   01 Sep 2013
Expired: Terms and conditions imposed on certificate by Registration Committee||Effective:   30 Jun 2014
Subsequent certificate of registration Issued: Postgraduate Education Certificate||Effective:   01 Jul 2014
Transfer of class of registration to: Independent Practice Certificate||Effective:   31 Dec 2015</t>
  </si>
  <si>
    <t>51879</t>
  </si>
  <si>
    <t xml:space="preserve">Independent Practice as of 04 Jun 1984 </t>
  </si>
  <si>
    <t>4 Shaftesbury Place,Toronto ON  M4T 2A5</t>
  </si>
  <si>
    <t>(416) 925-5543</t>
  </si>
  <si>
    <t>Psychiatry||Effective: 06 Jun 1988||RCPSC Specialist</t>
  </si>
  <si>
    <t>First certificate of registration issued: Postgraduate Education Certificate||Effective:   14 Jun 1982
Transfer of class of registration to: Independent Practice Certificate||Effective:   04 Jun 1984</t>
  </si>
  <si>
    <t>Carolyn J. Robertson Medicine Professional Corporation</t>
  </si>
  <si>
    <t>Issued Date:  Dec 08 2010</t>
  </si>
  <si>
    <t>Dr. C. Robertson (CPSO# 51879)</t>
  </si>
  <si>
    <t>4 Shaftesbury Place,Toronto ON  M4T 2A5,(416) 925-5543</t>
  </si>
  <si>
    <t>88876</t>
  </si>
  <si>
    <t>University of Toronto, 2008</t>
  </si>
  <si>
    <t>Centre for Addiction and Mental,Health,60 White Squirrel Way,Toronto ON  M6J 1H4</t>
  </si>
  <si>
    <t>(416) 535-8501 Ext. 33904</t>
  </si>
  <si>
    <t>416-595-6399</t>
  </si>
  <si>
    <t>Centre for Addiction &amp; Mental Health,- Russell Street Site:Toronto
Centre for Addiction &amp; Mental Health,Queen Street Site:Toronto</t>
  </si>
  <si>
    <t>Dr. Carolyn Whitty Medicine Professional Corporation</t>
  </si>
  <si>
    <t>Issued Date:  Sep 03 2013</t>
  </si>
  <si>
    <t>Dr. C. Whitty (CPSO# 88876)</t>
  </si>
  <si>
    <t>Centre for Addiction and Mental,Health,3rd Floor Suite 3091,33 Russell Street,Toronto ON  M5S 2S1,(416) 535-8501
1025 - 100 Stokes Street,1025 - 100 Stokes Street,4th Floor,Toronto ON  M6J 1H4</t>
  </si>
  <si>
    <t>54500</t>
  </si>
  <si>
    <t xml:space="preserve">Independent Practice as of 28 Aug 1987 </t>
  </si>
  <si>
    <t>Memorial University of Newfoundland, 1983</t>
  </si>
  <si>
    <t>Sunnybrook Health Science Centre,2075 Bayview Avenue,North York ON  M4N 3M5</t>
  </si>
  <si>
    <t>(416) 480-4098</t>
  </si>
  <si>
    <t>Mackenzie Health Hospital,10 Trench Street,Richmond Hill ON  L4C 4Z3,Canada,Phone:905-883-1212,County:Regional Municipality of York,Electoral District:05</t>
  </si>
  <si>
    <t>Mackenzie Health,Richmond Hill:Richmond Hill
Sunnybrook Health Sciences Centre:Toronto</t>
  </si>
  <si>
    <t>First certificate of registration issued: Postgraduate Education Certificate||Effective:   01 Jul 1984
Transfer of class of registration to: Independent Practice Certificate||Effective:   28 Aug 1987</t>
  </si>
  <si>
    <t>28508</t>
  </si>
  <si>
    <t xml:space="preserve">Active Member as of 16 Jul 1976 </t>
  </si>
  <si>
    <t xml:space="preserve">Independent Practice as of 16 Jul 1976 </t>
  </si>
  <si>
    <t>Queen's University, 1971</t>
  </si>
  <si>
    <t>41 MacDonnell St,Kingston ON  K7L 5T7</t>
  </si>
  <si>
    <t>(613) 546-3925</t>
  </si>
  <si>
    <t>Psychiatry||Effective: 09 Nov 1976||RCPSC Specialist</t>
  </si>
  <si>
    <t>First certificate of registration issued: Postgraduate Education Certificate||Effective:   01 Jul 1971
Transfer of class of registration to: Independent Practice Certificate||Effective:   16 Jul 1976</t>
  </si>
  <si>
    <t>62640</t>
  </si>
  <si>
    <t xml:space="preserve">Active Member as of 15 Jun 1990 </t>
  </si>
  <si>
    <t xml:space="preserve">Independent Practice as of 29 Apr 1992 </t>
  </si>
  <si>
    <t>McGill University, 1990</t>
  </si>
  <si>
    <t>361 Waverley St W,Ottawa ON  K2P 0W4</t>
  </si>
  <si>
    <t>(613) 567-7267</t>
  </si>
  <si>
    <t>Psychiatry||Effective: 30 Sep 1995||RCPSC Specialist</t>
  </si>
  <si>
    <t>University of Ottawa, 01 Jul 1995  to 30 Sep 1995|Resident 4 - Psychiatry</t>
  </si>
  <si>
    <t>First certificate of registration issued: Postgraduate Education Certificate||Effective:   15 Jun 1990
Transfer of class of registration to: Independent Practice Certificate||Effective:   29 Apr 1992</t>
  </si>
  <si>
    <t>94420</t>
  </si>
  <si>
    <t xml:space="preserve">Active Member as of 14 Sep 2010 </t>
  </si>
  <si>
    <t xml:space="preserve">Restricted as of 14 Sep 2010 </t>
  </si>
  <si>
    <t>Universidad De La Laguna, 1982</t>
  </si>
  <si>
    <t>Providence Care Hospital,Mood Disorders Service,752 King Street West,Kingston ON  K7L 4X3</t>
  </si>
  <si>
    <t>613 544 4900</t>
  </si>
  <si>
    <t>Psychiatry||Effective: 10 Nov 2015||RCPSC Specialist</t>
  </si>
  <si>
    <t>First certificate of registration issued: Restricted certificate||Effective:   14 Sep 2010
Terms and conditions imposed on certificate by Registration Committee||Effective:   14 Sep 2010
Expiry date attached to certificate of registration.||Expiry Date: 30 Jun 2013
Expiry date attached to certificate of registration.||Expiry Date: 30 Jun 2023</t>
  </si>
  <si>
    <t>Casimiro Cabrera Abreu Medicine Professional Corporation</t>
  </si>
  <si>
    <t>Issued Date:  Mar 30 2012</t>
  </si>
  <si>
    <t>Dr. C. Cabrera Abreu (CPSO# 94420)</t>
  </si>
  <si>
    <t>Providence Care Mental Health Services Site,Department of Psychiatry,752 King Street West,Kingston ON  K7L 4X3,(613) 548-5567
Providence Care Mental Health Services Site,Department of Psychiatry,752 King Street West,Kingston ON  K7L 4X3,(613) 548-556</t>
  </si>
  <si>
    <t>Vazquez Medicine Professional Corporation</t>
  </si>
  <si>
    <t>Issued Date:  Nov 01 2016</t>
  </si>
  <si>
    <t>Dr. G. Vazquez (CPSO# 110614),Dr. C. Cabrera Abreu (CPSO# 94420)</t>
  </si>
  <si>
    <t>Queens University,Department of Psychiatry,752 King Street West,Kingston ON  K7M 2G4,(613) 548-5567
Kingston General Hosptial,Kingston General Hosptial,76 Stuart Street,Kingston ON  K7L 2V7,(613) 548-3232</t>
  </si>
  <si>
    <t>99543</t>
  </si>
  <si>
    <t xml:space="preserve">Active Member as of 30 Aug 2013 </t>
  </si>
  <si>
    <t xml:space="preserve">Independent Practice as of 30 Aug 2013 </t>
  </si>
  <si>
    <t>Universidad Autonoma de Guadalajara, 2001</t>
  </si>
  <si>
    <t>Baycrest Centre,Department of Psychiatry,3560 Bathurst Street,Suite 4W02C,Toronto ON  M6A 2E1</t>
  </si>
  <si>
    <t>(416) 785-2500 Ext. 3359</t>
  </si>
  <si>
    <t>(416) 785-2450</t>
  </si>
  <si>
    <t>Baycrest Hospital:Toronto</t>
  </si>
  <si>
    <t>Psychiatry||Effective: 29 Jul 2013||RCPSC Specialist
Geriatric Psychiatry||Effective: 31 Dec 2014||RCPSC Specialist</t>
  </si>
  <si>
    <t>University of Toronto, 01 Nov 2012  to 31 Dec 2012|Elective Trainee - Psychiatry
University of Ottawa, 01 Jan 2013  to 28 Feb 2013|Elective Trainee - Geriatric Psychiatry
University of Toronto, 01 Sep 2013  to 30 Jun 2014|PostGrad Yr 6 - Geriatric Psychiatry
University of Toronto, 01 Jul 2014  to 31 Dec 2014|PostGrad Yr 7 - Geriatric Psychiatry</t>
  </si>
  <si>
    <t>First certificate of registration issued: Postgraduate Education Certificate||Effective:   01 Nov 2012
Expired: Terms and conditions of certificate of registration||Expiry:      28 Feb 2013
Subsequent certificate of registration Issued: Independent Practice Certificate||Effective:   30 Aug 2013</t>
  </si>
  <si>
    <t>C. Lopez de Lara Gutierrez Medicine Professional Corporation</t>
  </si>
  <si>
    <t>Issued Date:  Aug 28 2015</t>
  </si>
  <si>
    <t>Dr. C. Lopez de Lara Gutierrez (CPSO# 99543)</t>
  </si>
  <si>
    <t>Baycrest Centre,Department of Psychiatry,3560 Bathurst Street,Suite 4W02D,Toronto ON  M6A 2E1,(416) 785-2500</t>
  </si>
  <si>
    <t>69409</t>
  </si>
  <si>
    <t xml:space="preserve">Active Member as of 12 Feb 2001 </t>
  </si>
  <si>
    <t xml:space="preserve">Independent Practice as of 12 Feb 2001 </t>
  </si>
  <si>
    <t>McMaster University, 1995</t>
  </si>
  <si>
    <t>McMaster University MUSC B101,Student Wellness Centre,1280 Main Street West,Hamilton ON  L8S 4S4</t>
  </si>
  <si>
    <t>(905) 525-9140 Ext. 27717</t>
  </si>
  <si>
    <t>(905) 546-1663</t>
  </si>
  <si>
    <t>McMaster University, 01 Jul 1995  to 30 Jun 1996|PostGrad Yr 1 - Psychiatry
McMaster University, 01 Jul 1996  to 30 Jun 1997|PostGrad Yr 2 - Psychiatry
McMaster University, 01 Jul 1997  to 30 Jun 1998|PostGrad Yr 3 - Psychiatry
McMaster University, 01 Jul 1998  to 30 Jun 1999|PostGrad Yr 4 - Psychiatry
McMaster University, 01 Jul 1999  to 30 Jun 2000|PostGrad Yr 5 - Psychiatry</t>
  </si>
  <si>
    <t>First certificate of registration issued: Postgraduate Education Certificate||Effective:   01 Jul 1995
Expired: Terms and conditions of certificate of registration||Expiry:      30 Jun 2000
Subsequent certificate of registration Issued: Independent Practice Certificate||Effective:   12 Feb 2001</t>
  </si>
  <si>
    <t>Dr. D. Richards Medicine Professional Corporation</t>
  </si>
  <si>
    <t>Issued Date:  May 18 2006</t>
  </si>
  <si>
    <t>Dr. C. Munn (CPSO# 69409),Dr. D. Richards (CPSO# 68941)</t>
  </si>
  <si>
    <t>1230 North Shore Boulevard,Burlington ON  L7S 1W7,(905) 632-3730
1280 Main Street West,1280 Main Street West,Hamilton ON  L8S 4L8,(905) 521-2100
Hamilton Health Sciences Centre,Hamilton Health Sciences Centre,Department of Emergency Medicine,237 Barton Street East,Hamilton ON  L8L 2X2,(905) 527-0721
St. Joseph's Hospital,St. Joseph's Hospital,50 Charlton Avenue East,Hamilton ON  L8N 4A6,(905) 522-1155</t>
  </si>
  <si>
    <t>60717</t>
  </si>
  <si>
    <t xml:space="preserve">Independent Practice as of 21 Jun 1990 </t>
  </si>
  <si>
    <t>Suite 205,1407 Yonge St.,Toronto ON  M4T 1Y7</t>
  </si>
  <si>
    <t>(416) 923-9653</t>
  </si>
  <si>
    <t>First certificate of registration issued: Postgraduate Education Certificate||Effective:   12 Jun 1989
Transfer of class of registration to: Independent Practice Certificate||Effective:   21 Jun 1990</t>
  </si>
  <si>
    <t>65676</t>
  </si>
  <si>
    <t xml:space="preserve">Independent Practice as of 02 Jul 1996 </t>
  </si>
  <si>
    <t>Universite de Lyon I, 1989</t>
  </si>
  <si>
    <t>27 Roncesvalles Avenue,Suite 508-509,Toronto ON  M6R 3B2</t>
  </si>
  <si>
    <t>(416) 464-5832</t>
  </si>
  <si>
    <t>(416) 538-1338</t>
  </si>
  <si>
    <t>CMHA,26 James Street,Parry Sound ON  P2A 1T5,Canada,Phone:(705)746-4264,Fax:(705)746-1537,County:Territorial District of Parry Sound,Electoral District:08
Centre Francophone de Toronto,555 Richmond St. West,Toronto ON  M5V 3B1,Canada,Phone:416-922-2672,County:City of Toronto,Electoral District:10
Unison Health and Community Service,1651 Keele Street,Toronto ON  M6M 3W2,Canada,Phone:416-653-5400,County:City of Toronto,Electoral District:10</t>
  </si>
  <si>
    <t>Psychiatry||Effective: 30 Jun 1996||RCPSC Specialist</t>
  </si>
  <si>
    <t>University of Toronto, 01 Jul 1992  to 30 Jun 1993|Resident 1 - Psychiatry
University of Toronto, 01 Jul 1993  to 30 Jun 1994|Resident 2 - Psychiatry
University of Toronto, 01 Jul 1994  to 30 Jun 1995|Resident 3 - Psychiatry
University of Toronto, 01 Jul 1995  to 30 Jun 1996|Resident 4 - Psychiatry</t>
  </si>
  <si>
    <t>First certificate of registration issued: Postgraduate Education Certificate||Effective:   01 Jul 1992
Transfer of class of registration to: Independent Practice Certificate||Effective:   02 Jul 1996</t>
  </si>
  <si>
    <t>Dr. Catherine Benes Medicine Professional Corporation</t>
  </si>
  <si>
    <t>Issued Date:  Aug 01 2006</t>
  </si>
  <si>
    <t>Dr. C. Benes (CPSO# 65676)</t>
  </si>
  <si>
    <t>26 James Street,Parry Sound ON  P2A 1T5,(705) 746-4264
Suites 508 and 509,Suites 508 and 509,27 Roncesvalles Avenue,Toronto ON  M6R 3B2,(416) 464-5832
555 Richmond Street West,555 Richmond Street West,3rd Floor,Toronto ON  M5V 3B1,(416) 922-2672
1651 Keele Street,1651 Keele Street,Toronto ON  M6M 3W2,(416) 653-5400
1235 Wilson Avenue,1235 Wilson Avenue,Toronto ON  M3M 0B2,(416) 242-1000</t>
  </si>
  <si>
    <t>59350</t>
  </si>
  <si>
    <t xml:space="preserve">Active Member as of 13 Dec 1996 </t>
  </si>
  <si>
    <t xml:space="preserve">Independent Practice as of 13 Dec 1996 </t>
  </si>
  <si>
    <t>University of Sherbrooke, 1987</t>
  </si>
  <si>
    <t>Pedopsychiatrie,81 rue Albert,Moncton NB  E1C 1B3</t>
  </si>
  <si>
    <t>(506) 869-3450</t>
  </si>
  <si>
    <t>(506) 869-3451</t>
  </si>
  <si>
    <t>New Brunswick
Quebec</t>
  </si>
  <si>
    <t>Psychiatry||Effective: 14 Oct 2010||CPSO Recognized Specialist</t>
  </si>
  <si>
    <t>Queen's University, 01 Jul 1988  to 30 Jun 1989|Resident 1 - Psychiatry
Queen's University, 01 Jul 1989  to 30 Jun 1990|Resident 2 - Psychiatry
Queen's University, 01 Jul 1990  to 30 Jun 1991|Resident 3 - Psychiatry
University of Ottawa, 01 Jul 1991  to 30 Jun 1992|Resident 4 - Psychiatry</t>
  </si>
  <si>
    <t>First certificate of registration issued: Postgraduate Education Certificate||Effective:   01 Jul 1988
Transfer of class of registration to: Independent Practice Certificate||Effective:   30 Dec 1988
Expired: Resigned from membership.||Expiry:      18 Dec 1995
Subsequent certificate of registration Issued: Independent Practice Certificate||Effective:   13 Dec 1996</t>
  </si>
  <si>
    <t>70376</t>
  </si>
  <si>
    <t xml:space="preserve">Active Member as of 09 Aug 2002 </t>
  </si>
  <si>
    <t xml:space="preserve">Independent Practice as of 09 Aug 2002 </t>
  </si>
  <si>
    <t>Mann-Hamilton, Catherine Dorothy (used until: 08 Aug 2002 )</t>
  </si>
  <si>
    <t>Department of Psychiatry,The Ottawa Hospital - Gen Campus,501 Smyth Road,Ottawa ON  K1H 8L6</t>
  </si>
  <si>
    <t>(613) 737-8010</t>
  </si>
  <si>
    <t>(613) 737-8115</t>
  </si>
  <si>
    <t>Ottawa Hospital,Civic Site:Ottawa
Ottawa Hospital,General Site:Ottawa</t>
  </si>
  <si>
    <t>University of Ottawa, 01 Jul 1996  to 30 Jun 1997|PostGrad Yr 1 - Psychiatry
University of Ottawa, 01 Jul 1997  to 30 Jun 1998|PostGrad Yr 2 - Psychiatry
University of Ottawa, 01 Jul 1998  to 30 Jun 1999|PostGrad Yr 3 - Psychiatry
University of Ottawa, 01 Jul 1999  to 28 Mar 2000|PostGrad Yr 3 - Psychiatry
University of Ottawa, 29 Mar 2000  to 15 Jan 2001|PostGrad Yr 4 - Psychiatry
University of Ottawa, 16 Jan 2001  to 30 May 2001|PostGrad Yr 4 - Psychiatry
University of Ottawa, 31 May 2001  to 30 Jun 2001|PostGrad Yr 5 - Psychiatry
University of Ottawa, 01 Jul 2001  to 31 May 2002|PostGrad Yr 5 - Psychiatry
University of Ottawa, 01 Jun 2002  to 30 Jun 2002|PostGrad Yr 5 - Psychiatry</t>
  </si>
  <si>
    <t>First certificate of registration issued: Postgraduate Education Certificate||Effective:   01 Jul 1996
Expired: Terms and conditions of certificate of registration||Expiry:      30 Jun 2002
Subsequent certificate of registration Issued: Independent Practice Certificate||Effective:   09 Aug 2002</t>
  </si>
  <si>
    <t>85546</t>
  </si>
  <si>
    <t xml:space="preserve">Active Member as of 03 Oct 2011 </t>
  </si>
  <si>
    <t xml:space="preserve">Independent Practice as of 03 Oct 2011 </t>
  </si>
  <si>
    <t>Croatian, English, French</t>
  </si>
  <si>
    <t>1200 Fourth Avenue,St Catharines ON  L2S 0A9</t>
  </si>
  <si>
    <t>905 572 1838</t>
  </si>
  <si>
    <t>5546 Portage Road,Niagara Falls ON  L2E 6X2,Canada,County:Regional Municipality of Niagara,Electoral District:04</t>
  </si>
  <si>
    <t>New Zealand</t>
  </si>
  <si>
    <t>Niagara Health System Greater Niagara Site:Niagara Falls
Niagara Health System Ontario Street Site:St Catharines</t>
  </si>
  <si>
    <t>Psychiatry||Effective: 31 Aug 2011||RCPSC Specialist</t>
  </si>
  <si>
    <t>McMaster University, 01 Sep 2006  to 31 Aug 2007|PostGrad Yr 1 - Psychiatry
McMaster University, 01 Sep 2007  to 31 Aug 2008|PostGrad Yr 2 - Psychiatry
McMaster University, 01 Sep 2008  to 31 Aug 2009|PostGrad Yr 3 - Psychiatry
McMaster University, 01 Sep 2009  to 31 Aug 2010|PostGrad Yr 4 - Psychiatry
McMaster University, 01 Sep 2010  to 30 Jun 2011|PostGrad Yr 5 - Psychiatry
McMaster University, 01 Jul 2011  to 30 Sep 2011|PostGrad Yr 5 - Psychiatry
McMaster University, 01 Oct 2011  to 30 Sep 2012|Clinical Fellow - Psychiatry</t>
  </si>
  <si>
    <t>First certificate of registration issued: Postgraduate Education Certificate||Effective:   01 Sep 2006
Expired: Terms and conditions of certificate of registration||Expiry:      30 Sep 2011
Subsequent certificate of registration Issued: Independent Practice Certificate||Effective:   03 Oct 2011</t>
  </si>
  <si>
    <t>Dr. C. Krasnik Medicine Professional Corporation</t>
  </si>
  <si>
    <t>Issued Date:  Nov 16 2011</t>
  </si>
  <si>
    <t>Dr. C. Krasnik (CPSO# 85546)</t>
  </si>
  <si>
    <t>No business address available</t>
  </si>
  <si>
    <t>52004</t>
  </si>
  <si>
    <t>Tsoulis, Catherine Lucy (used until: 17 Oct 1983 )</t>
  </si>
  <si>
    <t>The University of Western Ontario, 1982</t>
  </si>
  <si>
    <t>Anxiety Treatment &amp; Research Clinic,St. Joseph's Healthcare Hamilton,West 5th Site, Room B143,100 West 5th Street,Hamilton ON  L8N 3K7</t>
  </si>
  <si>
    <t>Hamilton Health Sciences Centre McMaster &amp; Childrens Hosp,McMaster &amp; Children's Hospital:Hamilton
St Joseph's Healthcare System,Hamilton:Hamilton</t>
  </si>
  <si>
    <t>First certificate of registration issued: Postgraduate Education Certificate||Effective:   01 Jul 1982
Transfer of class of registration to: Independent Practice Certificate||Effective:   23 Jul 1986</t>
  </si>
  <si>
    <t>61919</t>
  </si>
  <si>
    <t xml:space="preserve">Active Member as of 19 Sep 1991 </t>
  </si>
  <si>
    <t xml:space="preserve">Independent Practice as of 19 Sep 1991 </t>
  </si>
  <si>
    <t>University of Saskatchewan, 1986</t>
  </si>
  <si>
    <t>Department Of Geriatric Psychiatry,Royal Ottawa Mental Health Centre,1145 Carling Avenue,Ottawa ON  K1Z 7K4</t>
  </si>
  <si>
    <t>(613) 722-6521 Ext. 6001</t>
  </si>
  <si>
    <t>Brockville General Hospital:Brockville
Cornwall Community Hospital:Cornwall
Royal Ottawa Health Care Group:Ottawa</t>
  </si>
  <si>
    <t>Psychiatry||Effective: 14 Nov 1991||RCPSC Specialist
Geriatric Psychiatry||Effective: 26 Sep 2013||RCPSC Specialist</t>
  </si>
  <si>
    <t>University of Ottawa, 01 Oct 1991  to 30 Sep 1992|Clinical Fellow - Psychiatry</t>
  </si>
  <si>
    <t>First certificate of registration issued: Postgraduate Education Certificate||Effective:   01 Jul 1990
Expired: Terms and conditions of certificate of registration||Expiry:      30 Jun 1991
Subsequent certificate of registration Issued: Independent Practice Certificate||Effective:   19 Sep 1991</t>
  </si>
  <si>
    <t>Braidek Medicine Professional Corporation</t>
  </si>
  <si>
    <t>Inactive: Aug 28 2018</t>
  </si>
  <si>
    <t>71980</t>
  </si>
  <si>
    <t xml:space="preserve">Active Member as of 10 Oct 1997 </t>
  </si>
  <si>
    <t xml:space="preserve">Independent Practice as of 10 Oct 1997 </t>
  </si>
  <si>
    <t>National University of Ireland, 1983</t>
  </si>
  <si>
    <t>Maple Family Health Team,1036 Princess St,Kingston,Kingston ON  K7L 1H2</t>
  </si>
  <si>
    <t>(613) 531-5888</t>
  </si>
  <si>
    <t>Maple Family Health Team,Kingston ON  K7L 1H2,Canada,Phone:(613) 531-5888 Ext. 107,Fax:(613) 531-5887,County:County of Frontenac,Electoral District:06</t>
  </si>
  <si>
    <t>Psychiatry||Effective: 12 Nov 1992||RCPSC Specialist
Child and Adolescent Psychiatry||Effective: 26 Sep 2013||RCPSC Specialist</t>
  </si>
  <si>
    <t>First certificate of registration issued: Independent Practice Certificate||Effective:   10 Oct 1997</t>
  </si>
  <si>
    <t>Fitzpatrick Medicine Professional Corporation</t>
  </si>
  <si>
    <t>Dr. C. Fitzpatrick (CPSO# 71980),Dr. M. Fitzpatrick (CPSO# 71964)</t>
  </si>
  <si>
    <t>Queen's University, Department of Psychiatry,Providence Care, Mental Health Services,752 King Street West,Postal Bag 603,Kingston ON  K7L 7X3,(613) 548-5567
Queen's University,Queen's University,Division of Respiratory and Critical Care Medicine,Richardson House,102 Stuart Street,Kingston ON  K7L 3N6,(613) 548-2379
1036 Princess Street,1036 Princess Street,Unit D2,Kingston ON  K7L 1H2,(613) 531-5888</t>
  </si>
  <si>
    <t>33828</t>
  </si>
  <si>
    <t xml:space="preserve">Active Member as of 29 Nov 1982 </t>
  </si>
  <si>
    <t xml:space="preserve">Independent Practice as of 29 Nov 1982 </t>
  </si>
  <si>
    <t>Suite #503 - #504,1110 Sheppard Avenue East,North York ON  M2K 2W2</t>
  </si>
  <si>
    <t>(416) 226-4294</t>
  </si>
  <si>
    <t>(416) 226-1928</t>
  </si>
  <si>
    <t>University of Toronto, 18 Jun 1979  to 16 Jun 1980|Other - Family Medicine
University of Toronto, 01 Jul 1980  to 30 Jun 1981|Resident 2 - Family Medicine
University of Toronto, 01 Jul 1981  to 30 Jun 1982|Resident 2 - Psychiatry
University of Toronto, 01 Jul 1982  to 31 Dec 1982|Resident 2 - Psychiatry
University of Toronto, 01 Jan 1983  to 31 Dec 1983|Resident 3 - Psychiatry
University of Toronto, 01 Jan 1984  to 30 Jun 1984|Resident 4 - Psychiatry
University of Toronto, 01 Jul 1984  to 30 Jun 1985|Resident 4 - Psychiatry</t>
  </si>
  <si>
    <t>First certificate of registration issued: Postgraduate Education Certificate||Effective:   18 Jun 1979
Transfer of class of registration to: Independent Practice Certificate||Effective:   29 Nov 1982</t>
  </si>
  <si>
    <t>56991</t>
  </si>
  <si>
    <t xml:space="preserve">Active Member as of 01 Jan 1988 </t>
  </si>
  <si>
    <t xml:space="preserve">Independent Practice as of 16 Mar 1988 </t>
  </si>
  <si>
    <t>McMaster University, 1986</t>
  </si>
  <si>
    <t>University of Toronto, 16 Jun 1986  to 15 Jun 1987|Other - Comprehensive Internship
University of Toronto, 01 Oct 1987  to 30 Jun 1988|Resident 2 - Family Medicine
University of Toronto, 01 Jan 1988  to 30 Jun 1988|Resident 1 - Psychiatry
University of Toronto, 01 Jul 1989  to 30 Jun 1990|Resident 3 - Psychiatry
University of Toronto, 01 Jul 1991  to 30 Jun 1992|Resident 4 - Psychiatry
University of Toronto, 01 Jul 1992  to 30 Jun 1993|Resident 4 - Psychiatry</t>
  </si>
  <si>
    <t>First certificate of registration issued: Postgraduate Education Certificate||Effective:   16 Jun 1986
Expired: Terms and conditions of certificate of registration||Expiry:      30 Oct 1987
Subsequent certificate of registration Issued: Postgraduate Education Certificate||Effective:   01 Jan 1988
Transfer of class of registration to: Independent Practice Certificate||Effective:   16 Mar 1988</t>
  </si>
  <si>
    <t>108347</t>
  </si>
  <si>
    <t xml:space="preserve">Active Member as of 22 Dec 2015 </t>
  </si>
  <si>
    <t xml:space="preserve">Restricted as of 22 Dec 2015 </t>
  </si>
  <si>
    <t>University of Milan, 1990</t>
  </si>
  <si>
    <t>Centre for Addiction and,Mental Health,80 Workman Way,Toronto ON  M6J 1H4</t>
  </si>
  <si>
    <t>Italy</t>
  </si>
  <si>
    <t>Child and Adolescent Psychiatry||Effective: 22 Dec 2015||CPSO Recognized Specialist</t>
  </si>
  <si>
    <t>First certificate of registration issued: Restricted certificate||Effective:   22 Dec 2015
Terms and conditions imposed on certificate by Registration Committee||Effective:   22 Dec 2015</t>
  </si>
  <si>
    <t>Battaglia &amp; Marino Medicine Professional Corporation</t>
  </si>
  <si>
    <t>Issued Date:  Apr 12 2016</t>
  </si>
  <si>
    <t>Dr. C. Marino (CPSO# 108347),Dr. M. Battaglia (CPSO# 108348)</t>
  </si>
  <si>
    <t>Centre for Addiction and Mental Health,80 Workman Way,Toronto ON  M6J 1H4</t>
  </si>
  <si>
    <t>96170</t>
  </si>
  <si>
    <t>Queen's University, 2011</t>
  </si>
  <si>
    <t>Michael Garron Hospital,Department of Psychiatry,5th Floor,825 Coxwell Avenue,Toronto ON  M4C 3E7</t>
  </si>
  <si>
    <t>(416) 469-6580 Ext. 6209</t>
  </si>
  <si>
    <t>University of Toronto, 01 Jul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Psychiatry</t>
  </si>
  <si>
    <t>First certificate of registration issued: Postgraduate Education Certificate||Effective:   01 Jul 2011
Transfer of class of registration to: Independent Practice Certificate||Effective:   30 Jun 2016</t>
  </si>
  <si>
    <t>Dr. Cedric Gabilondo Medicine Professional Corporation</t>
  </si>
  <si>
    <t>Issued Date:  Dec 09 2016</t>
  </si>
  <si>
    <t>Dr. C. Gabilondo (CPSO# 96170)</t>
  </si>
  <si>
    <t>Michael Garron Hospital,Department of Psychiatry,5th Floor,825 Coxwell Avenue,Toronto ON  M4C 3E7,(416) 469-6580</t>
  </si>
  <si>
    <t>76629</t>
  </si>
  <si>
    <t xml:space="preserve">Active Member as of 18 Apr 2013 </t>
  </si>
  <si>
    <t xml:space="preserve">Independent Practice as of 18 Apr 2013 </t>
  </si>
  <si>
    <t>McMaster University, 2000</t>
  </si>
  <si>
    <t>The Centre for Sleep and,Chronobiology,295 College St,Suite 301,Toronto ON  M5T 1S2</t>
  </si>
  <si>
    <t>(416) 603-9531</t>
  </si>
  <si>
    <t>(416) 603-2388</t>
  </si>
  <si>
    <t>411 Horner Ave. #1,Etobicoke ON  M8W 4W3,Canada,Phone:416 251-1055,Fax:416 251-2446,County:City of Toronto,Electoral District:10
Sleep Disorders Clinic of The,Centre for Sleep &amp; Chronobiology,Unit 15,951 Wilson Avenue,Toronto ON  M3K 2A7,Canada,Phone:(416) 746-3012,Fax:416 746 7016,County:City of Toronto,Electoral District:10</t>
  </si>
  <si>
    <t>McMaster University, 01 Jul 2001  to 31 Oct 2001|PostGrad Yr 1 - Psychiatry
McMaster University, 01 Nov 2001  to 30 Jun 2002|PostGrad Yr 1 - Neurosurgery
McMaster University, 01 Jul 2002  to 30 Jun 2003|PostGrad Yr 2 - Neurosurgery
McMaster University, 01 Jul 2003  to 31 Dec 2003|PostGrad Yr 2 - Neurosurgery
McMaster University, 01 Jan 2004  to 30 Jun 2004|PostGrad Yr 2 - Psychiatry
McMaster University, 01 Jul 2004  to 31 Dec 2004|PostGrad Yr 2 - Psychiatry
McMaster University, 01 Jan 2005  to 30 Jun 2005|PostGrad Yr 3 - Psychiatry
McMaster University, 01 Jul 2005  to 30 Jun 2006|PostGrad Yr 3 - Psychiatry
McMaster University, 01 Jul 2006  to 30 Jun 2007|PostGrad Yr 4 - Psychiatry
McMaster University, 01 Jul 2007  to 30 Jun 2008|PostGrad Yr 4 - Psychiatry
McMaster University, 01 Jul 2008  to 31 Aug 2008|PostGrad Yr 4 - Psychiatry
McMaster University, 01 Sep 2008  to 30 Jun 2009|PostGrad Yr 5 - Psychiatry
McMaster University, 01 Jul 2009  to 31 Dec 2009|PostGrad Yr 5 - Psychiatry
University of Toronto, 01 Apr 2010  to 30 Jun 2010|Clinical Fellow - Psychiatry
University of Toronto, 01 Jul 2010  to 30 Jun 2011|Clinical Fellow - Psychiatry
University of Toronto, 01 Jul 2011  to 28 Feb 2012|Clinical Fellow - Psychiatry</t>
  </si>
  <si>
    <t>First certificate of registration issued: Postgraduate Education Certificate||Effective:   01 Jul 2001
Expired: Terms and conditions of certificate of registration||Expiry:      31 Dec 2009
Subsequent certificate of registration issued: Restricted certificate||Effective:   07 May 2010
Expired: Terms and conditions imposed on certificate by Registration Committee||Effective:   18 Apr 2013
Subsequent certificate of registration Issued: Independent Practice Certificate||Effective:   18 Apr 2013</t>
  </si>
  <si>
    <t>Celeste J. Thirlwell Medicine Professional Corporation</t>
  </si>
  <si>
    <t>Issued Date:  Apr 02 2012</t>
  </si>
  <si>
    <t>Dr. C. Thirlwell (CPSO# 76629)</t>
  </si>
  <si>
    <t>2352 Yonge Street,2nd Floor,Toronto ON  M4P 2E6,(877) 321-0854
1 - 411 Horner Road,1 - 411 Horner Road,Etobicoke ON  M8W 2B2,(416) 251-2446
Suite 15,Suite 15,951 Wilson Avenue,Toronto ON  M3K 2A7,(416) 746-3012
301 - 295 College Street,301 - 295 College Street,Toronto ON  M5T 1S2,(416) 603-9531
300 - 226 Bathurst Street,300 - 226 Bathurst Street,Toronto ON  M5T 2R9,(647) 527-8740</t>
  </si>
  <si>
    <t>87450</t>
  </si>
  <si>
    <t xml:space="preserve">Active Member as of 30 Jun 2012 </t>
  </si>
  <si>
    <t>University of Medicine and Pharmacy, 1995</t>
  </si>
  <si>
    <t>Lakeridge Health,1 Hospital Court,Oshawa ON  L1G 2B9</t>
  </si>
  <si>
    <t>(905) 721-4742</t>
  </si>
  <si>
    <t>First certificate of registration issued: Postgraduate Education Certificate||Effective:   16 Jul 2007
Expired: Terms and conditions of certificate of registration||Expiry:      14 Jan 2011
Subsequent certificate of registration issued: Restricted certificate||Effective:   14 Jan 2011
Terms and conditions amended by Registration Committee||Effective:   30 Jun 2011
Expired: Terms and conditions of certificate of registration||Expiry:      30 Jun 2012
Subsequent certificate of registration Issued: Independent Practice Certificate||Effective:   30 Jun 2012</t>
  </si>
  <si>
    <t>Dr.Cerasela Betlen Medicine Professional Corporation</t>
  </si>
  <si>
    <t>Dr. C. Betlen (CPSO# 87450)</t>
  </si>
  <si>
    <t>Lakeridge Health,1 Hospital Court,Oshawa ON  L1G 2B9,(905) 576-8711</t>
  </si>
  <si>
    <t>65706</t>
  </si>
  <si>
    <t xml:space="preserve">Active Member as of 12 Sep 1996 </t>
  </si>
  <si>
    <t>University of Santo Tomas, 1984</t>
  </si>
  <si>
    <t>Suite 202,531 Davis Drive,Newmarket ON  L3Y 6P5</t>
  </si>
  <si>
    <t>(905) 895-5199</t>
  </si>
  <si>
    <t>(905) 895-4033</t>
  </si>
  <si>
    <t>Southlake Regional Health Centre,596 Davis Drive,Newmarket ON  L3Y 2P9,Canada,Phone:(905) 895-4521,County:Regional Municipality of York,Electoral District:05</t>
  </si>
  <si>
    <t>Southlake Regional Health Centre:Newmarket</t>
  </si>
  <si>
    <t>University of Toronto, 01 Jul 1992  to 30 Jun 1993|Resident 1 - Psychiatry
University of Toronto, 01 Jul 1993  to 30 Jun 1994|Resident 2 - Psychiatry
University of Toronto, 01 Jul 1994  to 30 Jun 1995|Resident 3 - Psychiatry
University of Toronto, 01 Jul 1995  to 30 Jun 1996|Resident 4 - Psychiatry
McMaster University, 10 Sep 1996  to 30 Jun 1997|Clinical Fellow - Psychiatry</t>
  </si>
  <si>
    <t>First certificate of registration issued: Postgraduate Education Certificate||Effective:   01 Jul 1992
Expired: Terms and conditions of certificate of registration||Expiry:      30 Jun 1996
Subsequent certificate of registration Issued: Postgraduate Education Certificate||Effective:   12 Sep 1996
Transfer of class of registration to: Independent Practice Certificate||Effective:   13 Dec 1996</t>
  </si>
  <si>
    <t>Dr. Cesar P. Garcia Medicine Professional Corporation</t>
  </si>
  <si>
    <t>Issued Date:  Jul 26 2016</t>
  </si>
  <si>
    <t>Dr. C. Garcia (CPSO# 65706)</t>
  </si>
  <si>
    <t>596 Davis Drive,Newmarket ON  L3Y 2P9,(905) 895-4521
202 - 531 Davis Drive,202 - 531 Davis Drive,Newmarket ON  L3Y 6P5,(905) 895-5199</t>
  </si>
  <si>
    <t>56323</t>
  </si>
  <si>
    <t xml:space="preserve">Active Member as of 11 Sep 1985 </t>
  </si>
  <si>
    <t>English, Gujarati, Hindi, Marathi</t>
  </si>
  <si>
    <t>University of Bombay, 1975</t>
  </si>
  <si>
    <t>14914-104 Avenue,Suite 108,Surrey BC  V3R 1M7</t>
  </si>
  <si>
    <t>(604) 589-2426</t>
  </si>
  <si>
    <t>(604) 589-3225</t>
  </si>
  <si>
    <t>Psychiatry||Effective: 27 Nov 1984||RCPSC Specialist</t>
  </si>
  <si>
    <t>First certificate of registration issued: Independent Practice Certificate||Effective:   11 Sep 1985</t>
  </si>
  <si>
    <t>117049</t>
  </si>
  <si>
    <t xml:space="preserve">Active Member as of 15 Oct 2018 </t>
  </si>
  <si>
    <t xml:space="preserve">Restricted as of 15 Oct 2018 </t>
  </si>
  <si>
    <t>Washington University, 1989</t>
  </si>
  <si>
    <t>LHSC Victoria Hospital,Department of Psychiatry,800 Commissioners Rd E,London ON  N6A 5W9</t>
  </si>
  <si>
    <t>(519) 685-8500</t>
  </si>
  <si>
    <t>Psychiatry||Effective: 15 Oct 2018||CPSO Recognized Specialist</t>
  </si>
  <si>
    <t>First certificate of registration issued: Restricted certificate||Effective:   15 Oct 2018
Terms and conditions imposed on certificate by Registration Committee||Effective:   15 Oct 2018
Expiry date attached to certificate of registration.||Expiry Date: 20 Sep 2023</t>
  </si>
  <si>
    <t>55690</t>
  </si>
  <si>
    <t xml:space="preserve">Independent Practice as of 08 Oct 1986 </t>
  </si>
  <si>
    <t>c/o Carlington Community Health,Center,900 Merivale Road,Ottawa ON  K1Z 5Z8</t>
  </si>
  <si>
    <t>(613) 722-9731 Ext. 264</t>
  </si>
  <si>
    <t>(613) 722-8244</t>
  </si>
  <si>
    <t>University of Toronto, 17 Jun 1985  to 16 Jun 1986|Other - Rotating Internship
University of Toronto, 01 Jul 1986  to 30 Jun 1987|Resident 1 - Psychiatry
University of Toronto, 01 Jul 1987  to 30 Jun 1988|Resident 2 - Psychiatry
University of Toronto, 01 Jul 1988  to 30 Jun 1989|Resident 3 - Psychiatry
University of Toronto, 01 Jul 1989  to 30 Jun 1990|Resident 4 - Psychiatry</t>
  </si>
  <si>
    <t>First certificate of registration issued: Postgraduate Education Certificate||Effective:   17 Jun 1985
Transfer of class of registration to: Independent Practice Certificate||Effective:   08 Oct 1986</t>
  </si>
  <si>
    <t>64818</t>
  </si>
  <si>
    <t xml:space="preserve">Active Member as of 05 Feb 1992 </t>
  </si>
  <si>
    <t xml:space="preserve">Independent Practice as of 04 Mar 1997 </t>
  </si>
  <si>
    <t>University of Zambia, 1984</t>
  </si>
  <si>
    <t>Elgin Mills Professional Centre,1650 Elgin Mills Road East,Suite 212,Richmond Hill ON  L4S 0B2</t>
  </si>
  <si>
    <t>905-237-4814</t>
  </si>
  <si>
    <t>905-237-4815</t>
  </si>
  <si>
    <t>Brain Injury Community Re-Entry,3340 Schmon Parkway, Unit 2,Thorold ON  L2V 4Y6,Canada,Phone:905-687-6788,Fax:905-641-2785,County:Regional Municipality of Niagara,Electoral District:04
Mind Forward,176 Robert Speck Parkway,Mississauga ON  L4Z 3G1,Canada,Phone:(905) 949-4411,Fax:(905) 949-4019,County:Regional Municipality of Peel,Electoral District:05
Toronto Western Hospital,University Health Network,399 Bathurst Street,Department of Psychiatry,Toronto ON  M5T 2S8,Canada,Phone:416-603-5934,Fax:416-603-5292,County:City of Toronto,Electoral District:10
PACE - ABI Services,Edwards Manor,340 Royal York Rd,Toronto ON  M8Y 2P9,Canada,Phone:416-789-7806 Ext. 314,Fax:416-789-7807,County:City of Toronto,Electoral District:10
CHIRS,62 Finch Avenue West,Toronto ON  M2N 7G1,Canada,Phone:(416) 240-8000,Fax:(416) 240-1149,County:City of Toronto,Electoral District:10
YSBIS,13311 Yonge Street,Oak Ridges ON  L4E 3S8,Canada,Phone:(905) 773-3038,Fax:(905) 773-5176,County:Regional Municipality of York,Electoral District:05
March of Dimes Canada,75 Cooperage Street,Toronto ON  M5A 0J5,Canada,Phone:(416) 238-5868 Ext. 6401,Fax:(647) 689-2584,County:City of Toronto,Electoral District:10</t>
  </si>
  <si>
    <t>University Health Network,Princess Margaret Hospital-Ontario Cancer Institute:Toronto
University Health Network,Toronto General Hospital Site:Toronto
University Health Network,Toronto Rehabilitation Institute:Toronto
University Health Network,Toronto Western Hospital Site:Toronto</t>
  </si>
  <si>
    <t>Psychiatry||Effective: 04 Feb 1996||RCPSC Specialist</t>
  </si>
  <si>
    <t>University of Toronto, 01 Jan 1992  to 30 Jun 1992|Resident 1 - Psychiatry
University of Toronto, 01 Jul 1992  to 31 Dec 1992|Resident 1 - Psychiatry
University of Toronto, 01 Jan 1993  to 30 Jun 1993|Resident 2 - Psychiatry
University of Toronto, 01 Jul 1993  to 04 Feb 1994|Resident 2 - Psychiatry
University of Toronto, 05 Feb 1994  to 30 Jun 1994|Resident 3 - Psychiatry
University of Toronto, 01 Jul 1994  to 04 Feb 1995|Resident 3 - Psychiatry
University of Toronto, 05 Feb 1995  to 30 Jun 1995|Resident 4 - Psychiatry
University of Toronto, 01 Jul 1995  to 04 Feb 1996|Resident 4 - Psychiatry
University of Toronto, 05 Feb 1996  to 30 Jun 1996|Clinical Fellow - Psychiatry
University of Toronto, 01 Jul 1996  to 30 Jun 1997|Clinical Fellow - Psychiatry
University of Toronto, 01 Jul 1997  to 04 Feb 1998|Clinical Fellow - Psychiatry</t>
  </si>
  <si>
    <t>First certificate of registration issued: Postgraduate Education Certificate||Effective:   05 Feb 1992
Transfer of class of registration to: Independent Practice Certificate||Effective:   04 Mar 1997</t>
  </si>
  <si>
    <t>Seyone Medicine Professional Corporation</t>
  </si>
  <si>
    <t>Issued Date:  Oct 13 2009</t>
  </si>
  <si>
    <t>Dr. C. Seyone (CPSO# 64818)</t>
  </si>
  <si>
    <t>Elgin Mills Professional Centre,212-1650 Elgin Mills Road East,Richmond Hill ON  L4S 0B2,(905) 237-4814
Toronto Western Hospital,Toronto Western Hospital,University Health Network,Room MP 7-427,399 Bathurst Street,Toronto ON  M5T 2S8,(416) 603-5009
176 Robert Speck Parkway,176 Robert Speck Parkway,Mississauga ON  L4Z 3G1,(905) 949-4411
62 Finch Avenue West,62 Finch Avenue West,Toronto ON  M2N 7G1,(416) 240-8000
13311 Yonge Street,13311 Yonge Street,Oak Ridges ON  L4W 3S8,(905) 773-3038</t>
  </si>
  <si>
    <t>90435</t>
  </si>
  <si>
    <t xml:space="preserve">Active Member as of 24 Nov 2009 </t>
  </si>
  <si>
    <t xml:space="preserve">Independent Practice as of 24 Nov 2009 </t>
  </si>
  <si>
    <t>Univ of Ghana, 1997</t>
  </si>
  <si>
    <t>William Osler Health System,Brampton Civic Hospital,Brampton ON  L6R 3J7</t>
  </si>
  <si>
    <t>101 Humber College Blvd,WILLIAM OSLER HEALTH SYSYTEM,Etobicoke ON  M9V 1R8,Canada,Phone:(416) 494-2120,County:City of Toronto,Electoral District:10</t>
  </si>
  <si>
    <t>New Brunswick
United Kingdom</t>
  </si>
  <si>
    <t>William Osler - Peel Memorial Centre,for Integrated Health and Wellness:Brampton
William Osler Health Centre Etobicoke General Site:Toronto
William Osler Health Centre-Brampton Civic Hospital:Brampton</t>
  </si>
  <si>
    <t>Psychiatry||Effective: 22 Apr 2009||RCPSC Specialist</t>
  </si>
  <si>
    <t>First certificate of registration issued: Restricted certificate||Effective:   01 Jun 2009
Terms and conditions imposed on certificate by Registration Committee||Effective:   01 Jun 2009
Expiry date attached to certificate of registration.||Expiry Date: 30 Jun 2010
Expired: Terms and conditions imposed on certificate by Registration Committee||Effective:   24 Nov 2009
Subsequent certificate of registration Issued: Independent Practice Certificate||Effective:   24 Nov 2009</t>
  </si>
  <si>
    <t>Dr. Charles Ohene-Darkoh Medicine Professional Corporation</t>
  </si>
  <si>
    <t>Issued Date:  Jan 11 2012</t>
  </si>
  <si>
    <t>Dr. C. Ohene-Darkoh (CPSO# 90435)</t>
  </si>
  <si>
    <t>Brampton Civic Hospital,2100 Bovaird Drive East,Brampton ON  L6R 3J7,(905) 494-2120</t>
  </si>
  <si>
    <t>28959</t>
  </si>
  <si>
    <t xml:space="preserve">Active Member as of 17 Feb 1977 </t>
  </si>
  <si>
    <t xml:space="preserve">Independent Practice as of 17 Feb 1977 </t>
  </si>
  <si>
    <t>Student Health Service,Western University,1151 Richmond St,London ON  N6A 3K7</t>
  </si>
  <si>
    <t>First certificate of registration issued: Postgraduate Education Certificate||Effective:   01 Jul 1974
Transfer of class of registration to: Independent Practice Certificate||Effective:   17 Feb 1977</t>
  </si>
  <si>
    <t>C.H.Chamberlaine Medicine Professional Corporation</t>
  </si>
  <si>
    <t>Issued Date:  Mar 23 2006</t>
  </si>
  <si>
    <t>Dr. C. Chamberlaine (CPSO# 28959)</t>
  </si>
  <si>
    <t>University of Western Ontario,University Community Centre,Student Health Services,Suite 11,London ON  N6A 3K7,(519) 661-3030</t>
  </si>
  <si>
    <t>53194</t>
  </si>
  <si>
    <t xml:space="preserve">Active Member as of 04 Oct 2012 </t>
  </si>
  <si>
    <t xml:space="preserve">Independent Practice as of 04 Oct 2012 </t>
  </si>
  <si>
    <t>University of London, 1976</t>
  </si>
  <si>
    <t>Mental Health Commission,Waterloo Exchange,Waterloo Road,Dublin,Dublin D04E5W7,Ireland</t>
  </si>
  <si>
    <t>0035316362400</t>
  </si>
  <si>
    <t>0035316362440</t>
  </si>
  <si>
    <t>Ireland</t>
  </si>
  <si>
    <t>The University of Western Ontario, 01 Jul 1983  to 30 Jun 1984|PostGrad Yr 1 - Psychiatry
The University of Western Ontario, 01 Jul 1984  to 30 Jun 1985|PostGrad Yr 2 - Psychiatry
The University of Western Ontario, 01 Jul 1985  to 30 Jun 1986|PostGrad Yr 4 - Psychiatry
The University of Western Ontario, 01 Jul 1986  to 31 Jan 1987|Clinical Fellow - Psychiatry</t>
  </si>
  <si>
    <t>First certificate of registration issued: Postgraduate Education Certificate||Effective:   01 Jul 1983
Transfer of class of registration to: Independent Practice Certificate||Effective:   22 Nov 1985
Expired: Failure to Renew Membership||Expiry:      06 Nov 1996
Subsequent certificate of registration Issued: Independent Practice Certificate||Effective:   04 Oct 2012</t>
  </si>
  <si>
    <t>54219</t>
  </si>
  <si>
    <t xml:space="preserve">Independent Practice as of 05 Sep 1985 </t>
  </si>
  <si>
    <t>The Royal Bank Plaza,P O Box 83,200 Bay Street,Toronto ON  M5J 2J2</t>
  </si>
  <si>
    <t>(416) 363-8850</t>
  </si>
  <si>
    <t>(416) 363-9466</t>
  </si>
  <si>
    <t>Trilium Health Centre,Community Mental Health Centre,Suite 300,2085 Hurontario Street,Mississauga ON  L5A 4G1,Canada,Phone:(905) 848-7583,Fax:(905) 848-7357,County:Regional Municipality of Peel,Electoral District:05
St. Joseph's Healthcare Hamilton,100 West 5th Street,Hamilton ON  L8N 3K7,Canada,Phone:(905) 388-2511 Ext. 36294,Fax:(905) 575-6082,County:Regional Municipality of Hamilton-Wentworth,Electoral District:04</t>
  </si>
  <si>
    <t>Hamilton Health Sciences,General Site:Hamilton
St Joseph's Centre for Mountain Health Services:Hamilton
Trillium Health Partners,Mississauga Hospital:Mississauga</t>
  </si>
  <si>
    <t>University of Toronto, 11 Jun 1984  to 17 Jun 1985|Other - Comprehensive Internship
University of Toronto, 01 Jul 1985  to 30 Jun 1986|Resident 1 - Psychiatry
University of Toronto, 01 Jul 1986  to 30 Jun 1987|Resident 2 - Psychiatry
University of Toronto, 01 Jul 1988  to 30 Jun 1989|Resident 4 - Psychiatry
University of Toronto, 01 Jul 1989  to 30 Jun 1990|Resident 4 - Psychiatry
University of Toronto, 01 Jul 1990  to 30 Jun 1991|Clinical Fellow - Psychiatry</t>
  </si>
  <si>
    <t>First certificate of registration issued: Postgraduate Education Certificate||Effective:   11 Jun 1984
Transfer of class of registration to: Independent Practice Certificate||Effective:   05 Sep 1985</t>
  </si>
  <si>
    <t>61903</t>
  </si>
  <si>
    <t xml:space="preserve">Active Member as of 18 Aug 2009 </t>
  </si>
  <si>
    <t xml:space="preserve">Independent Practice as of 18 Aug 2009 </t>
  </si>
  <si>
    <t>University of Madras, 1983</t>
  </si>
  <si>
    <t>Ontario Shores Centre for,Mental Health Sciences,700 Gordon Street,Whitby ON  L1N 5S9</t>
  </si>
  <si>
    <t>(416) 314-2862 Ext. 6070</t>
  </si>
  <si>
    <t>Markham Stouffville Hospital:Markham
Ontario Shores Centre for Mental Health Sciences:Whitby</t>
  </si>
  <si>
    <t>First certificate of registration issued: Postgraduate Education Certificate||Effective:   06 Feb 1990
Expired: Terms and conditions of certificate of registration||Expiry:      31 Dec 1990
Subsequent certificate of registration Issued: Independent Practice Certificate||Effective:   07 Jan 1991
Expired: Failure to Renew Membership||Expiry:      14 Aug 2009
Subsequent certificate of registration Issued: Independent Practice Certificate||Effective:   18 Aug 2009</t>
  </si>
  <si>
    <t>71041</t>
  </si>
  <si>
    <t xml:space="preserve">Active Member as of 20 Oct 2000 </t>
  </si>
  <si>
    <t xml:space="preserve">Independent Practice as of 20 Oct 2000 </t>
  </si>
  <si>
    <t>Memorial University of Newfoundland, 1994</t>
  </si>
  <si>
    <t>191 Portsmouth Avenue,Kingston ON  K7M 8A6</t>
  </si>
  <si>
    <t>(613) 549-7944</t>
  </si>
  <si>
    <t>(613) 549-7387</t>
  </si>
  <si>
    <t>Psychiatry||Effective: 09 Feb 2000||RCPSC Specialist</t>
  </si>
  <si>
    <t>University of Ottawa, 06 Apr 1997  to 27 Jun 1997|Elective Trainee - Psychiatry</t>
  </si>
  <si>
    <t>First certificate of registration issued: Postgraduate Education Certificate||Effective:   10 Apr 1997
Expired: Terms and conditions of certificate of registration||Expiry:      27 Jun 1997
Subsequent certificate of registration Issued: Independent Practice Certificate||Effective:   20 Oct 2000</t>
  </si>
  <si>
    <t>52146</t>
  </si>
  <si>
    <t>26 Pine Ridge Drive,London ON  N5X 3G7</t>
  </si>
  <si>
    <t>(519) 660-1795</t>
  </si>
  <si>
    <t>First certificate of registration issued: Postgraduate Education Certificate||Effective:   15 Jun 1982
Transfer of class of registration to: Independent Practice Certificate||Effective:   09 Jul 1987</t>
  </si>
  <si>
    <t>Lefcoe Medicine Professional Corporation</t>
  </si>
  <si>
    <t>Issued Date:  Oct 23 2006</t>
  </si>
  <si>
    <t>Dr. C. Zilli (CPSO# 52146),Dr. D. Lefcoe (CPSO# 32922)</t>
  </si>
  <si>
    <t>London Health Sciences Centre,Victoria Hospital,800 Commissioners Road,London ON  N6A 5W9,(519) 667-6868</t>
  </si>
  <si>
    <t>53187</t>
  </si>
  <si>
    <t xml:space="preserve">Independent Practice as of 21 Jun 1984 </t>
  </si>
  <si>
    <t>Dalhousie University, 1980</t>
  </si>
  <si>
    <t>86 Dearbourne Avenue,Toronto ON  M4K 1M7</t>
  </si>
  <si>
    <t>(416) 469-8064</t>
  </si>
  <si>
    <t>(416) 469-4554</t>
  </si>
  <si>
    <t>First certificate of registration issued: Postgraduate Education Certificate||Effective:   01 Jul 1983
Transfer of class of registration to: Independent Practice Certificate||Effective:   21 Jun 1984</t>
  </si>
  <si>
    <t>66838</t>
  </si>
  <si>
    <t>King Faisal Specialist Hospital and,Research Center, MBC 93,Department of Mental Health,PO Box 3354,Riyadh 11211,Saudi Arabia</t>
  </si>
  <si>
    <t>966114647272 Ext. 36357</t>
  </si>
  <si>
    <t>PsychCare Clinics,Dabab Street,Sulaymania,Riyadh 11587,Saudi Arabia,Saudi Arabia,Phone:+96614633144,County:Electoral District</t>
  </si>
  <si>
    <t>Saudi Arabia</t>
  </si>
  <si>
    <t>University of Ottawa, 01 Jul 1993  to 30 Jun 1994|PostGrad Yr 1 - Psychiatry
University of Ottawa, 01 Jul 1994  to 30 Jun 1995|Resident 1 - Psychiatry
University of Ottawa, 01 Jul 1995  to 30 Jun 1996|Resident 2 - Psychiatry
University of Ottawa, 01 Jul 1996  to 30 Jun 1997|Resident 3 - Psychiatry
University of Ottawa, 01 Jul 1997  to 30 Jun 1998|Resident 4 - Psychiatry</t>
  </si>
  <si>
    <t>91695</t>
  </si>
  <si>
    <t xml:space="preserve">Active Member as of 14 Jul 2014 </t>
  </si>
  <si>
    <t xml:space="preserve">Independent Practice as of 14 Jul 2014 </t>
  </si>
  <si>
    <t>McMaster University, 2009</t>
  </si>
  <si>
    <t>Bluewater Health,89 Normal Street,Sarnia,Sarnia ON  N7T 6S3</t>
  </si>
  <si>
    <t>519-464-4400</t>
  </si>
  <si>
    <t>Bluewater Health:Sarnia</t>
  </si>
  <si>
    <t>The University of Western Ontario, 01 Jul 2009  to 30 Jun 2010|PostGrad Yr 1 - Psychiatry
The University of Western Ontario, 01 Jul 2010  to 06 Jul 2010|PostGrad Yr 1 - Psychiatry
The University of Western Ontario, 07 Jul 2010  to 06 Jul 2011|PostGrad Yr 2 - Psychiatry
The University of Western Ontario, 07 Jul 2011  to 06 Jul 2012|PostGrad Yr 3 - Psychiatry
The University of Western Ontario, 07 Jul 2012  to 30 Jun 2013|PostGrad Yr 4 - Psychiatry
The University of Western Ontario, 01 Jul 2013  to 06 Jul 2013|PostGrad Yr 4 - Psychiatry
The University of Western Ontario, 07 Jul 2013  to 30 Jun 2014|PostGrad Yr 5 - Psychiatry</t>
  </si>
  <si>
    <t>First certificate of registration issued: Postgraduate Education Certificate||Effective:   01 Jul 2009
Expired: Terms and conditions of certificate of registration||Expiry:      30 Jun 2014
Subsequent certificate of registration Issued: Independent Practice Certificate||Effective:   14 Jul 2014</t>
  </si>
  <si>
    <t>77601</t>
  </si>
  <si>
    <t xml:space="preserve">Active Member as of 25 Aug 2008 </t>
  </si>
  <si>
    <t xml:space="preserve">Independent Practice as of 25 Aug 2008 </t>
  </si>
  <si>
    <t>English, Marathi</t>
  </si>
  <si>
    <t>The Hospital for Sick Children,555 University Ave,Toronto ON  M5G 1X8</t>
  </si>
  <si>
    <t>(416) 813-8941</t>
  </si>
  <si>
    <t>First certificate of registration issued: Postgraduate Education Certificate||Effective:   01 Jul 2002
Expired: Terms and conditions of certificate of registration||Expiry:      30 Jun 2007
Subsequent certificate of registration Issued: Independent Practice Certificate||Effective:   25 Aug 2008</t>
  </si>
  <si>
    <t>Chetana Kulkarni Medicine Professional Corporation</t>
  </si>
  <si>
    <t>Issued Date:  Jun 17 2010</t>
  </si>
  <si>
    <t>Dr. C. Kulkarni (CPSO# 77601)</t>
  </si>
  <si>
    <t>555 University Avenue,Toronto ON  M5G 1X8,(416) 813-1500</t>
  </si>
  <si>
    <t>107784</t>
  </si>
  <si>
    <t xml:space="preserve">Active Member as of 02 Nov 2016 </t>
  </si>
  <si>
    <t xml:space="preserve">Restricted as of 02 Nov 2016 </t>
  </si>
  <si>
    <t>Rajasthan University, 2004</t>
  </si>
  <si>
    <t>UHN Toronto Western Hospital,Division of Child and Adolescent,Psychiatry,399 Bathurst Street,Toronto ON  M5T 2S8</t>
  </si>
  <si>
    <t>(416) 303-5800</t>
  </si>
  <si>
    <t>Youthdale Treatment Centres,227 Victoria street,Toronto ON  M5B1T8,Canada,Phone:4163684896,Fax:4163685025,County:City of Toronto,Electoral District:10
Youthdale Treatment Centres,227 Victoria Street,Toronto ON  M5B 1T8,Canada,Phone:(416) 368-4896,Fax:(416) 368-5025,County:City of Toronto,Electoral District:10</t>
  </si>
  <si>
    <t>Psychiatry||Effective: 10 May 2016||RCPSC Specialist</t>
  </si>
  <si>
    <t>University of Toronto, 01 Jul 2015  to 22 Sep 2015|PEAP - Clinical Fellow - Psychiatry
University of Toronto, 23 Sep 2015  to 30 Jun 2016|Clinical Fellow - Psychiatry
University of Toronto, 01 Jul 2016  to 31 Dec 2016|Clinical Fellow - Psychiatry</t>
  </si>
  <si>
    <t>First certificate of registration issued: Pre Entry Assessment Program Certificate||Effective:   05 Aug 2015
Transfer of class of registration to: Postgraduate Education Certificate||Effective:   23 Sep 2015
Expired: Terms and conditions of certificate of registration||Expiry:      02 Nov 2016
Subsequent certificate of registration issued: Restricted certificate||Effective:   02 Nov 2016
Expiry as per terms and conditions imposed on certificate||Expiry Date: 01 Nov 2019</t>
  </si>
  <si>
    <t>Bohra Medicine Professional Corporation</t>
  </si>
  <si>
    <t>Issued Date:  Jun 17 2014</t>
  </si>
  <si>
    <t>Dr. C. Kaushik (CPSO# 107784),Dr. M. Bohra (CPSO# 95280)</t>
  </si>
  <si>
    <t>116B - 617 Victoria Street West,Whitby ON  L1N 0E4,(905) 668-2975
205 - 611 Holly Avenue,205 - 611 Holly Avenue,Milton ON  L9T 0K4,(905) 636-9772
International Sleep Clinic,International Sleep Clinic,6 Albert Street,Parry Sound ON  P2A 3A4,(705) 378-1162
415 Water Street North,415 Water Street North,Peterborough ON  K9H 3L9,(705) 748-6687</t>
  </si>
  <si>
    <t>71164</t>
  </si>
  <si>
    <t>Queen's University, 1997</t>
  </si>
  <si>
    <t>Sister Margaret Smith Centre,St Josephs Care Group,Mental Health &amp; Addictions Programs,301 North Lillie St,Thunder Bay ON  P7C 0A6</t>
  </si>
  <si>
    <t>(807) 684-5100</t>
  </si>
  <si>
    <t>(807) 622-1779</t>
  </si>
  <si>
    <t>Suite 105,984 Oliver Road,Thunder Bay ON  P7B 6V4,Canada,Phone:807 346-1440,Fax:807 346-1445,County:District of Thunder Bay,Electoral District:09</t>
  </si>
  <si>
    <t>St Joseph's Care Group,Lakehead Psychiatric Hospital:Thunder Bay
Thunder Bay Regional Health Sciences Centre:Thunder Bay</t>
  </si>
  <si>
    <t>Harris and Cheng Medicine Professional Corporation</t>
  </si>
  <si>
    <t>Issued Date:  May 19 2006</t>
  </si>
  <si>
    <t>Dr. C. Cheng (CPSO# 71164),Dr. W. Harris (CPSO# 71388)</t>
  </si>
  <si>
    <t>Suite 105,984 Oilver Road,Thunder Bay ON  P7B 7C7,(807) 346-1440
301 North Lillie Street,301 North Lillie Street,Thunder Bay ON  P7C 0A6</t>
  </si>
  <si>
    <t>114182</t>
  </si>
  <si>
    <t xml:space="preserve">Active Member as of 30 Nov 2017 </t>
  </si>
  <si>
    <t xml:space="preserve">Restricted as of 30 Nov 2017 </t>
  </si>
  <si>
    <t>University of Nigeria, 1998</t>
  </si>
  <si>
    <t>Scarborough and Rouge Hospital,3030 Birchmount Rd,Scarborough ON  M1W 3W3</t>
  </si>
  <si>
    <t>416-495-2563</t>
  </si>
  <si>
    <t>Ireland
New Brunswick
Nigeria
United Kingdom</t>
  </si>
  <si>
    <t>First certificate of registration issued: Restricted certificate||Effective:   30 Nov 2017
Terms and conditions imposed on certificate by Registration Committee||Effective:   30 Nov 2017
Expiry date attached to certificate of registration.||Expiry Date: 29 Nov 2020</t>
  </si>
  <si>
    <t>112602</t>
  </si>
  <si>
    <t xml:space="preserve">Active Member as of 12 Jun 2017 </t>
  </si>
  <si>
    <t xml:space="preserve">Independent Practice as of 12 Jun 2017 </t>
  </si>
  <si>
    <t>University of Nigeria, 1996</t>
  </si>
  <si>
    <t>First certificate of registration issued: Independent Practice Certificate||Effective:   12 Jun 2017</t>
  </si>
  <si>
    <t>C. Uhoegbu Medicine Professional Corporation</t>
  </si>
  <si>
    <t>Issued Date:  Sep 18 2017</t>
  </si>
  <si>
    <t>Dr. C. Uhoegbu (CPSO# 112602)</t>
  </si>
  <si>
    <t>Peterborough Regional Health Centre,1 Hospital Drive,Peterborough ON  K9J 7C6,(705) 743-2121</t>
  </si>
  <si>
    <t>100053</t>
  </si>
  <si>
    <t xml:space="preserve">Active Member as of 15 Dec 2015 </t>
  </si>
  <si>
    <t xml:space="preserve">Independent Practice as of 15 Dec 2015 </t>
  </si>
  <si>
    <t>University of Ibadan, 1995</t>
  </si>
  <si>
    <t>First certificate of registration issued: Restricted certificate||Effective:   28 Mar 2013
Terms and conditions imposed on certificate by Registration Committee||Effective:   28 Mar 2013
Expiry date attached to certificate of registration.||Expiry Date: 27 Mar 2016
Expired: Terms and conditions imposed on certificate by Registration Committee||Effective:   14 Dec 2015
Subsequent certificate of registration Issued: Independent Practice Certificate||Effective:   15 Dec 2015</t>
  </si>
  <si>
    <t>Chinedu Ogbonna Medicine Professional Corporation</t>
  </si>
  <si>
    <t>Issued Date:  May 22 2013</t>
  </si>
  <si>
    <t>Dr. C. Ogbonna (CPSO# 100053)</t>
  </si>
  <si>
    <t>Sault Area Hospital,Department of Psychiatry,750 Great Northern Road,Sault Ste Marie ON  P6B 0A8,(705) 759-3434</t>
  </si>
  <si>
    <t>110343</t>
  </si>
  <si>
    <t xml:space="preserve">Active Member as of 30 Jun 2016 </t>
  </si>
  <si>
    <t>Saba University School of Medicine, 2011</t>
  </si>
  <si>
    <t>3001 Hospital Gate,Oakville ON  L6M 0L8</t>
  </si>
  <si>
    <t>9058452571</t>
  </si>
  <si>
    <t>First certificate of registration issued: Independent Practice Certificate||Effective:   30 Jun 2016</t>
  </si>
  <si>
    <t>Himanshu H. Shah Medicine Professional Corporation</t>
  </si>
  <si>
    <t>Issued Date:  Jul 17 2009</t>
  </si>
  <si>
    <t>Dr. C. Shah (CPSO# 110343),Dr. H. Shah (CPSO# 88216)</t>
  </si>
  <si>
    <t>West Park Walk-In Clinic,Unit 1,456 Holland Street West,Bradford ON  L3Z 0G1,(905) 551-5500
West Park Walk-In Clinic,Unit 1,456 Holland Street West,Bradford ON  L3Z 0G1,(905) 551-550</t>
  </si>
  <si>
    <t>Chintan Shah Medicine Professional Corporation</t>
  </si>
  <si>
    <t>Issued Date:  Sep 21 2016</t>
  </si>
  <si>
    <t>Dr. C. Shah (CPSO# 110343)</t>
  </si>
  <si>
    <t>4th Floor,3001 Hospital Gate,Oakville ON  L6M 0L8,(905) 845-2571</t>
  </si>
  <si>
    <t>81753</t>
  </si>
  <si>
    <t xml:space="preserve">Active Member as of 27 Jul 2004 </t>
  </si>
  <si>
    <t xml:space="preserve">Independent Practice as of 27 Jul 2004 </t>
  </si>
  <si>
    <t>University of Ibadan, 1983</t>
  </si>
  <si>
    <t>(905) 576-8711 Ext. 2206</t>
  </si>
  <si>
    <t>Canadian Mental Health Association,60 Bond Street West,Oshawa ON  L1G 1A5,Canada,Phone:(905) 436-8760,Fax:(905) 436-1569,County:Regional Municipality of Durham,Electoral District:05</t>
  </si>
  <si>
    <t>Psychiatry||Effective: 16 Jul 2000||RCPSC Specialist</t>
  </si>
  <si>
    <t>First certificate of registration issued: Independent Practice Certificate||Effective:   27 Jul 2004</t>
  </si>
  <si>
    <t>Dr. C. Ojiegbe Medicine Professional Corporation</t>
  </si>
  <si>
    <t>Issued Date:  May 26 2006</t>
  </si>
  <si>
    <t>Dr. C. Ojiegbe (CPSO# 81753)</t>
  </si>
  <si>
    <t>60 Bond Street West,Oshawa ON  L1G 1A5,(905) 436-8763
Lakeridge Health Oshawa,Lakeridge Health Oshawa,Department of Psychiatry,1 Hospital Court,Oshawa ON  L1G 2B9,(905) 576-8711</t>
  </si>
  <si>
    <t>86346</t>
  </si>
  <si>
    <t>McMaster University, 2007</t>
  </si>
  <si>
    <t>CAMH,7th Floor,250 College St,Toronto ON  M5T 1R8</t>
  </si>
  <si>
    <t>(416)260-4197</t>
  </si>
  <si>
    <t>CMHA,700 Lawrence Ave West, Suite 480,Toronto ON  M6A 3B4,Canada,Phone:(416) 789-7957,Fax:416.789.9079,County:City of Toronto,Electoral District:10
Suite 200,455 Spadina Avenue,Toronto ON  M5S 2G8,Canada,Phone:(416) 260-4147,Fax:(416) 971-7172,County:City of Toronto,Electoral District:10</t>
  </si>
  <si>
    <t>Dr. Chloe Leon Medicine Professional Corporation</t>
  </si>
  <si>
    <t>Issued Date:  Jul 05 2012</t>
  </si>
  <si>
    <t>Dr. C. Leon (CPSO# 86346)</t>
  </si>
  <si>
    <t>200 - 455 Spadina Avenue,Toronto ON  M5S 2G8,(416) 260-4147
480 - 700 Lawrence Avenue West,480 - 700 Lawrence Avenue West,Toronto ON  M6A 3B4,(416) 789-7957
250 College Street,250 College Street,7th Floor,Toronto ON  M5T 1R8,(416) 535-8501</t>
  </si>
  <si>
    <t>42355</t>
  </si>
  <si>
    <t xml:space="preserve">Active Member as of 25 May 1979 </t>
  </si>
  <si>
    <t xml:space="preserve">Independent Practice as of 21 Nov 1991 </t>
  </si>
  <si>
    <t>Stavrakaki-Mintsioulis, Chrissoula (used until: 09 Mar 2006 )
Stavrakaki, Chrissoula Stylianides (used until: 10 Dec 1997 )</t>
  </si>
  <si>
    <t>Aristotelian University of Thessaloniki, 1970</t>
  </si>
  <si>
    <t>513 Leimerk Court,Manotick ON  K4M 0E8</t>
  </si>
  <si>
    <t>(613) 692-3917</t>
  </si>
  <si>
    <t>(613) 692-4167</t>
  </si>
  <si>
    <t>Psychiatry||Effective: 17 Nov 1981||RCPSC Specialist</t>
  </si>
  <si>
    <t>First certificate of registration issued: Academic Practice Certificate||Effective:   25 May 1979
Transfer of class of registration to: Independent Practice Certificate||Effective:   21 Nov 1991</t>
  </si>
  <si>
    <t>Chrissoula Stavrakaki Medicine Professional Corporation</t>
  </si>
  <si>
    <t>Issued Date:  Dec 22 2005</t>
  </si>
  <si>
    <t>Dr. C. Stavrakaki (CPSO# 42355)</t>
  </si>
  <si>
    <t>513 Leimerk Court,Manotick ON  K4M 0E8,(613) 692-3917</t>
  </si>
  <si>
    <t>89285</t>
  </si>
  <si>
    <t xml:space="preserve">Active Member as of 25 Jun 2008 </t>
  </si>
  <si>
    <t xml:space="preserve">Independent Practice as of 25 Jun 2008 </t>
  </si>
  <si>
    <t>Laval University, 1995</t>
  </si>
  <si>
    <t>cisssat,Rouyn Noranda QC  J9X 2B2</t>
  </si>
  <si>
    <t>(819) 764-5131 Ext. 43807</t>
  </si>
  <si>
    <t>(819) 764-2921</t>
  </si>
  <si>
    <t>First certificate of registration issued: Independent Practice Certificate||Effective:   25 Jun 2008</t>
  </si>
  <si>
    <t>74747</t>
  </si>
  <si>
    <t>St Joseph's Hospital,50 Charlton Avenue,200 main st east,Hamilton ON  L8N 4A6</t>
  </si>
  <si>
    <t>(905) 522-1155 Ext. 4029</t>
  </si>
  <si>
    <t>200 Main St. East,Hamilton ON  L8N 1H3,Canada,County:Regional Municipality of Hamilton-Wentworth,Electoral District:04
100 west 5th street,Hamilton ON  L9C 3N6,Canada,Phone:(905) 522-1155,County:Regional Municipality of Hamilton-Wentworth,Electoral District:04</t>
  </si>
  <si>
    <t>Hamilton Health Sciences Centre McMaster &amp; Childrens Hosp,McMaster &amp; Children's Hospital:Hamilton
St Joseph's Centre for Mountain Health Services:Hamilton
St Joseph's Healthcare System,Hamilton:Hamilton</t>
  </si>
  <si>
    <t>Dr. C. Adam Medicine Professional Corporation</t>
  </si>
  <si>
    <t>Issued Date:  Oct 04 2013</t>
  </si>
  <si>
    <t>Dr. C. Adam (CPSO# 74747)</t>
  </si>
  <si>
    <t>St Joseph's Hospital,50 Charlton Avenue,Hamilton ON  L8N 4A6,(905) 522-1155
St Joseph's Hospital,St Joseph's Hospital,100 West 5th Street,Hamilton ON  L8N 3K7,(905) 388-2511
The Hamilton Clinic,The Hamilton Clinic,200 Main Street East,Hamilton ON  L8N 1H3,(905) 523-4567</t>
  </si>
  <si>
    <t>88349</t>
  </si>
  <si>
    <t>McMaster University,Children's Hospital,1200 Main Street West,Hamilton ON  L8N 3Z5</t>
  </si>
  <si>
    <t>(905) 521-2100</t>
  </si>
  <si>
    <t>Banyan Youth Services,681 Main St E,Hamilton ON  L8M 1K3,Canada,County:Regional Municipality of Hamilton-Wentworth,Electoral District:04
Syl Apps Youth Center,475 Iroquois Shore Rd,Oakville, ON,L6H 1M3,Oakville ON  L6H 1M3,Canada,Phone:905-844-4110,County:Regional Municipality of Halton,Electoral District:04</t>
  </si>
  <si>
    <t>Hamilton Health Sciences Centre McMaster &amp; Childrens Hosp,McMaster &amp; Children's Hospital:Hamilton</t>
  </si>
  <si>
    <t>McMaster University, 01 Jul 2008  to 30 Jun 2009|PostGrad Yr 1 - Psychiatry
McMaster University, 01 Jul 2009  to 30 Jun 2010|PostGrad Yr 2 - Psychiatry
McMaster University, 01 Jul 2010  to 30 Jun 2011|PostGrad Yr 3 - Psychiatry
McMaster University, 01 Jul 2011  to 30 Jun 2012|PostGrad Yr 4 - Psychiatry
McMaster University, 01 Jul 2012  to 30 Jun 2013|PostGrad Yr 5 - Psychiatry</t>
  </si>
  <si>
    <t>Dr. Christina McDonald Medicine Professional Corporation</t>
  </si>
  <si>
    <t>Issued Date:  Jul 17 2014</t>
  </si>
  <si>
    <t>Dr. C. McDonald (CPSO# 88349)</t>
  </si>
  <si>
    <t>681 Main Street East,Hamilton ON  L8M 1K3
McMaster's University Children's Hospital,McMaster's University Children's Hospital,1200 Main Street West,Hamilton ON  L8N 3Z5,(905) 521-2100
475 Iroquois Shore Road,475 Iroquois Shore Road,Oakville ON  L6H 1M3,(905) 844-4110</t>
  </si>
  <si>
    <t>55628</t>
  </si>
  <si>
    <t xml:space="preserve">Active Member as of 15 Jun 1985 </t>
  </si>
  <si>
    <t xml:space="preserve">Independent Practice as of 11 Mar 1988 </t>
  </si>
  <si>
    <t>Queen's University, 1985</t>
  </si>
  <si>
    <t>770 Broadview Avenue Suite 206,Ottawa ON  K2A 3Z3</t>
  </si>
  <si>
    <t>(613) 729-9355</t>
  </si>
  <si>
    <t>(613) 729-9350</t>
  </si>
  <si>
    <t>Ottawa Hospital Civic Campus,Outpatient Mental Health A6,1053 Carling Avenue,Ottawa ON  K1Y 4E9,Canada,Phone:(613) 798-5555 Ext. 16787,Fax:(613) 761-4911,County:Regional Municipality of Ottawa-Carleton,Electoral District:07</t>
  </si>
  <si>
    <t>Ottawa Hospital,Civic Site:Ottawa</t>
  </si>
  <si>
    <t>The University of Western Ontario, 15 Jun 1985  to 14 Jun 1986|Other - Comprehensive Internship
The University of Western Ontario, 01 Jul 1986  to 30 Jun 1987|Resident 2 - Family Medicine
University of Ottawa, 01 Jul 1987  to 30 Jun 1988|Resident 2 - Psychiatry
University of Ottawa, 01 Jul 1988  to 30 Jun 1989|Resident 3 - Psychiatry
University of Ottawa, 01 Jul 1989  to 30 Jun 1990|Resident 4 - Psychiatry</t>
  </si>
  <si>
    <t>First certificate of registration issued: Postgraduate Education Certificate||Effective:   15 Jun 1985
Transfer of class of registration to: Independent Practice Certificate||Effective:   11 Mar 1988</t>
  </si>
  <si>
    <t>26865</t>
  </si>
  <si>
    <t xml:space="preserve">Active Member as of 09 Aug 1974 </t>
  </si>
  <si>
    <t xml:space="preserve">Independent Practice as of 09 Aug 1974 </t>
  </si>
  <si>
    <t>University of Otago, 1968</t>
  </si>
  <si>
    <t>229 Major Street,Toronto ON  M5S 2L5</t>
  </si>
  <si>
    <t>(416) 922-7778</t>
  </si>
  <si>
    <t>(416) 922-6661</t>
  </si>
  <si>
    <t>Psychiatry||Effective: 18 Nov 1975||RCPSC Specialist</t>
  </si>
  <si>
    <t>First certificate of registration issued: Temporary Employment Practice Certificate||Effective:   05 Jun 1973
Transfer of class of registration to: Independent Practice Certificate||Effective:   09 Aug 1974</t>
  </si>
  <si>
    <t>Dunbar Medicine Professional Corporation</t>
  </si>
  <si>
    <t>Issued Date:  Dec 16 2011</t>
  </si>
  <si>
    <t>Dr. C. Dunbar (CPSO# 26865)</t>
  </si>
  <si>
    <t>229 Major Street,Toronto ON  M5S 2L5,(416) 922-7778</t>
  </si>
  <si>
    <t>59831</t>
  </si>
  <si>
    <t xml:space="preserve">Independent Practice as of 24 Jun 1989 </t>
  </si>
  <si>
    <t>333 Eglinton Ave E,Toronto ON  M4P1L7</t>
  </si>
  <si>
    <t>(416) 485-4802</t>
  </si>
  <si>
    <t>Psychiatry||Effective: 31 Dec 1993||RCPSC Specialist</t>
  </si>
  <si>
    <t>University of Toronto, 13 Jun 1988  to 12 Jun 1989|Other - Comprehensive Internship
University of Toronto, 01 Jul 1989  to 30 Jun 1990|Resident 1 - Psychiatry
University of Toronto, 01 Jan 1991  to 30 Jun 1991|Resident 1 - Psychiatry
University of Toronto, 01 Jul 1991  to 14 Feb 1992|Resident 2 - Psychiatry
University of Toronto, 15 Feb 1992  to 31 Dec 1992|Resident 3 - Psychiatry
University of Toronto, 01 Jan 1993  to 30 Jun 1993|Resident 4 - Psychiatry
University of Toronto, 01 Jul 1993  to 31 Dec 1993|Resident 4 - Psychiatry</t>
  </si>
  <si>
    <t>First certificate of registration issued: Postgraduate Education Certificate||Effective:   13 Jun 1988
Transfer of class of registration to: Independent Practice Certificate||Effective:   24 Jun 1989</t>
  </si>
  <si>
    <t>76569</t>
  </si>
  <si>
    <t xml:space="preserve">Independent Practice as of 30 Jun 2006 </t>
  </si>
  <si>
    <t>University of Toronto, 2001</t>
  </si>
  <si>
    <t>Michael Garron Hosp Toronto East HN,Department of Psychiatry,825 Coxwell Avenue,(for CAMH Gender Clinic see below),Toronto ON  M4C 3E7</t>
  </si>
  <si>
    <t>(416) 469-6580 Ext. 6198</t>
  </si>
  <si>
    <t>CAMH Gender Identity Clinic,Centre for Addiction Mental Health,100 Stokes Street,Toronto ON  M6J 1H4,Canada,Phone:(416) 535-8501 Ext. 36833,Fax:(416) 595-6821,County:City of Toronto,Electoral District:10</t>
  </si>
  <si>
    <t>Centre of Addiction &amp; Mental Health,- College Street Site:Toronto
Michael Garron Hospital - Toronto East Health Network:Toronto</t>
  </si>
  <si>
    <t>First certificate of registration issued: Postgraduate Education Certificate||Effective:   01 Jul 2001
Transfer of class of registration to: Independent Practice Certificate||Effective:   30 Jun 2006</t>
  </si>
  <si>
    <t>Dr. Christopher A. McIntosh Medicine Professional Corporation</t>
  </si>
  <si>
    <t>Issued Date:  Mar 19 2015</t>
  </si>
  <si>
    <t>Dr. C. McIntosh (CPSO# 76569)</t>
  </si>
  <si>
    <t>Toronto East General Hospital,Department of Psychiatry,825 Coxwell Avenue,Toronto ON  M4C 3E7,(416) 469-6580
100 Stokes Street,100 Stokes Street,Toronto ON  M6J 1H4,(416) 535-8501</t>
  </si>
  <si>
    <t>86576</t>
  </si>
  <si>
    <t>St Michaels Hospital,Mental Health &amp; Addictions Service,17-037, 17th Floor Cardinal Carter,30 Bond Street,Toronto ON  M5B 1W8</t>
  </si>
  <si>
    <t>(416) 864-6060</t>
  </si>
  <si>
    <t>First certificate of registration issued: Postgraduate Education Certificate||Effective:   01 Jul 2007
Expired: Terms and conditions of certificate of registration||Expiry:      30 Jun 2011
Subsequent certificate of registration issued: Restricted certificate||Effective:   01 Jul 2011
Expired: Terms and conditions imposed on certificate by Registration Committee||Effective:   30 Jun 2012
Subsequent certificate of registration Issued: Independent Practice Certificate||Effective:   30 Jun 2012</t>
  </si>
  <si>
    <t>Dr. Christopher Willer Medicine Professional Corporation</t>
  </si>
  <si>
    <t>Issued Date:  Jan 21 2015</t>
  </si>
  <si>
    <t>Dr. C. Willer (CPSO# 86576)</t>
  </si>
  <si>
    <t>St Michaels Hospital,Cardinal Carter Wing,Suite 17-037,30 Bond Street,Toronto ON  M5B 1W8,(416) 864-6000</t>
  </si>
  <si>
    <t>88704</t>
  </si>
  <si>
    <t xml:space="preserve">Independent Practice as of 30 May 2014 </t>
  </si>
  <si>
    <t>Memorial University of Newfoundland, 2008</t>
  </si>
  <si>
    <t>Western University,Student Health Services,University Community Centre Room 11,London ON  N6A 3K7</t>
  </si>
  <si>
    <t>The University of Western Ontario, 01 Jul 2008  to 30 Jun 2009|PostGrad Yr 1 - Psychiatry
The University of Western Ontario, 01 Jul 2009  to 30 Jun 2010|PostGrad Yr 2 - Psychiatry
The University of Western Ontario, 01 Jul 2010  to 30 Jun 2011|PostGrad Yr 3 - Psychiatry
The University of Western Ontario, 01 Jul 2011  to 30 Jun 2012|PostGrad Yr 4 - Psychiatry
The University of Western Ontario, 01 Jul 2012  to 30 Jun 2013|PostGrad Yr 5 - Psychiatry
The University of Western Ontario, 01 Jul 2013  to 30 Jun 2014|Clinical Fellow - Psychiatry</t>
  </si>
  <si>
    <t>First certificate of registration issued: Postgraduate Education Certificate||Effective:   01 Jul 2008
Transfer of class of registration to: Independent Practice Certificate||Effective:   30 May 2014</t>
  </si>
  <si>
    <t>Christopher G. Ryan Medicine Professional Corporation</t>
  </si>
  <si>
    <t>Issued Date:  Oct 16 2014</t>
  </si>
  <si>
    <t>Dr. C. Ryan (CPSO# 88704)</t>
  </si>
  <si>
    <t>Western University,Student Health Services,University Community Centre, Room 11,London ON  N6A 3K7,(519) 661-3030</t>
  </si>
  <si>
    <t>77986</t>
  </si>
  <si>
    <t xml:space="preserve">Active Member as of 01 Aug 2008 </t>
  </si>
  <si>
    <t xml:space="preserve">Independent Practice as of 01 Aug 2008 </t>
  </si>
  <si>
    <t>University of Toronto, 2002</t>
  </si>
  <si>
    <t>(905) 430-4055 Ext. 6100</t>
  </si>
  <si>
    <t>(905) 430-4469</t>
  </si>
  <si>
    <t>Ontario Shores Centre for Mental Health Sciences:Whitby
St Michael's Hospital:Toronto</t>
  </si>
  <si>
    <t>First certificate of registration issued: Postgraduate Education Certificate||Effective:   01 Jul 2002
Expired: Terms and conditions of certificate of registration||Expiry:      30 Jun 2007
Subsequent certificate of registration Issued: Independent Practice Certificate||Effective:   01 Aug 2008</t>
  </si>
  <si>
    <t>74960</t>
  </si>
  <si>
    <t xml:space="preserve">Active Member as of 27 Jun 2006 </t>
  </si>
  <si>
    <t xml:space="preserve">Independent Practice as of 27 Jun 2006 </t>
  </si>
  <si>
    <t>Lanark County Mental Health,Unit 14,5 Bates Drive,Carleton Place ON  K7C 4J8</t>
  </si>
  <si>
    <t>(613) 257-8101</t>
  </si>
  <si>
    <t>ADMH,350 John St N,Arnprior ON  K7S 2P6,Canada,Phone:613-623-3166 Ext. 266,Fax:613-623-3354,County:County of Renfrew,Electoral District:07
CMHS,128 Mary St -- Unit C,Arnprior ON  K7S 1E6,Canada,Phone:18009927711 Ext. 5705,Fax:(613) 623-4121,County:County of Renfrew,Electoral District:07
CMHS,Suite 1,180 Plaunt St,Renfrew ON  K7V1M8,Canada,Phone:18009917711,Fax:6134323806,County:County of Renfrew,Electoral District:07</t>
  </si>
  <si>
    <t>Arnprior and District Memorial Hospital:Arnprior</t>
  </si>
  <si>
    <t>Psychiatry||Effective: 09 Jun 2006||RCPSC Specialist</t>
  </si>
  <si>
    <t>The University of Western Ontario, 01 Jul 2000  to 30 Jun 2001|PostGrad Yr 1 - Psychiatry
The University of Western Ontario, 01 Jul 2001  to 31 Jan 2002|PostGrad Yr 1 - Psychiatry
University of Ottawa, 01 Feb 2002  to 31 Jan 2003|PostGrad Yr 2 - Psychiatry
University of Ottawa, 01 Feb 2003  to 30 Jun 2003|PostGrad Yr 3 - Psychiatry
University of Ottawa, 01 Jul 2003  to 31 Jan 2004|PostGrad Yr 3 - Psychiatry
University of Ottawa, 01 Feb 2004  to 30 Jun 2004|PostGrad Yr 4 - Psychiatry
University of Ottawa, 01 Jul 2004  to 08 Mar 2005|PostGrad Yr 4 - Psychiatry
University of Ottawa, 09 Mar 2005  to 30 Jun 2005|PostGrad Yr 5 - Psychiatry
University of Ottawa, 01 Jul 2005  to 09 Jun 2006|PostGrad Yr 5 - Psychiatry</t>
  </si>
  <si>
    <t>First certificate of registration issued: Postgraduate Education Certificate||Effective:   01 Jul 2000
Expired: Terms and conditions of certificate of registration||Expiry:      09 Jun 2006
Subsequent certificate of registration Issued: Independent Practice Certificate||Effective:   27 Jun 2006</t>
  </si>
  <si>
    <t>CJ Rae Medicine Professional Corporation</t>
  </si>
  <si>
    <t>Issued Date:  Oct 11 2013</t>
  </si>
  <si>
    <t>Dr. C. Rae (CPSO# 74960)</t>
  </si>
  <si>
    <t>350 John Street North,Arnprior ON  K7S 2P6,(613) 623-3166
5 Bates Drive,5 Bates Drive,Suite 14,Carleton Place ON  K7C 4J9,(613) 283-2170
1 - 180 Plaunt Street,1 - 180 Plaunt Street,Renfrew ON  K7V 1M8
128C Mary Street,128C Mary Street,Arnprior ON  K7S 1E6</t>
  </si>
  <si>
    <t>76276</t>
  </si>
  <si>
    <t xml:space="preserve">Active Member as of 18 Aug 2015 </t>
  </si>
  <si>
    <t xml:space="preserve">Restricted as of 15 Sep 2016 </t>
  </si>
  <si>
    <t>The University of Manitoba, 2001</t>
  </si>
  <si>
    <t>University of Ottawa, 01 Jul 2001  to 30 Jun 2002|PostGrad Yr 1 - Psychiatry
University of Ottawa, 01 Jul 2002  to 30 Jun 2003|PostGrad Yr 2 - Psychiatry
University of Ottawa, 01 Jul 2003  to 30 Jun 2004|PostGrad Yr 3 - Psychiatry
University of Ottawa, 01 Jul 2004  to 30 Jun 2005|PostGrad Yr 4 - Psychiatry
University of Ottawa, 01 Jul 2005  to 30 Jun 2006|PostGrad Yr 5 - Psychiatry</t>
  </si>
  <si>
    <t>First certificate of registration issued: Postgraduate Education Certificate||Effective:   01 Jul 2001
Transfer of class of registration to: Independent Practice Certificate||Effective:   30 Jun 2006
Expired: Failure to Renew Membership||Expiry:      13 Aug 2015
Subsequent certificate of registration Issued: Independent Practice Certificate||Effective:   18 Aug 2015
Transfer of class of certificate to: Restricted certificate||Effective:   15 Sep 2016
Terms and conditions imposed on certificate by member||Effective:   15 Sep 2016
Terms and conditions amended by member||Effective:   07 Sep 2017
Terms and conditions amended by member||Effective:   06 Oct 2017
Terms and conditions amended by member||Effective:   20 Oct 2017</t>
  </si>
  <si>
    <t>C. J. Eaton Medicine Professional Corporation</t>
  </si>
  <si>
    <t>Inactive: Nov 26 2010</t>
  </si>
  <si>
    <t>95949</t>
  </si>
  <si>
    <t>University of Toronto, 2011</t>
  </si>
  <si>
    <t>Baycrest Health Sciences,3560 Bathurst Street,3rd Floor, Posluns Building,Toronto ON  M6A 2E1</t>
  </si>
  <si>
    <t>(416) 785-2500 Ext. x2068</t>
  </si>
  <si>
    <t>(416) 785-2492</t>
  </si>
  <si>
    <t>Temskaming Hospital,421 Shepherdson Road,New Liskeard ON  P0J 1P0,Canada,Phone:(705) 647-8121,Fax:(416) 352-1653,County:Territorial District of Timiskaming,Electoral District:08
1849 Yonge Street, Suite 500,Toronto ON  M4S 1Y2,Canada,Fax:(416) 352-1653,County:City of Toronto,Electoral District:10
Inner City Health Associates,59 Adelaide St. East, 2nd Floor,Toronto ON  M5C 1K6,Canada,Phone:(416) 591-4417,Fax:(416) 352-1653,County:City of Toronto,Electoral District:10</t>
  </si>
  <si>
    <t>Baycrest Hospital:Toronto
North Bay Regional Health Centre:North Bay
St Michael's Hospital:Toronto
Temiskaming Hospital:New Liskeard</t>
  </si>
  <si>
    <t>University of Toronto, 01 Jul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Geriatric Psychiatry
University of Toronto, 01 Jul 2016  to 30 Jun 2017|PostGrad Yr 6 - Geriatric Psychiatry</t>
  </si>
  <si>
    <t>61420</t>
  </si>
  <si>
    <t xml:space="preserve">Independent Practice as of 10 Jan 1990 </t>
  </si>
  <si>
    <t>University of Minnesota, 1988</t>
  </si>
  <si>
    <t>Suite 402,60 St Clair Avenue East,Toronto ON  M4T 1N5</t>
  </si>
  <si>
    <t>(416) 921-6023</t>
  </si>
  <si>
    <t>(416) 921-6652</t>
  </si>
  <si>
    <t>First certificate of registration issued: Postgraduate Education Certificate||Effective:   01 Jul 1989
Transfer of class of registration to: Independent Practice Certificate||Effective:   10 Jan 1990</t>
  </si>
  <si>
    <t>95411</t>
  </si>
  <si>
    <t>McMaster University, 2011</t>
  </si>
  <si>
    <t>Health and Wellness Centre,Koffler Student Services Centre,University of Toronto,214 College Street, 2nd Floor,Toronto ON  M5T 2Z9</t>
  </si>
  <si>
    <t>(416) 978-8030</t>
  </si>
  <si>
    <t>Springboard Clinic,Suite 301,1055 Yonge Street,Toronto ON  M4W2L2,Canada,Phone:(416) 901-3077,Fax:(416) 901-3079,County:City of Toronto,Electoral District:10
CAMH,250 College Street,Toronto ON  M5T1L8,Canada,Phone:(416) 535-8501,County:City of Toronto,Electoral District:10
183 Glenrose Avenue,Toronto ON  M4T1K7,Canada,Phone:(416) 754-8358,Fax:(416) 484-9900,County:City of Toronto,Electoral District:10</t>
  </si>
  <si>
    <t>105429</t>
  </si>
  <si>
    <t xml:space="preserve">Active Member as of 28 Jan 2015 </t>
  </si>
  <si>
    <t xml:space="preserve">Independent Practice as of 28 Jan 2015 </t>
  </si>
  <si>
    <t>Memorial University of Newfoundland, 2004</t>
  </si>
  <si>
    <t>Homewood Health Centre,,150 Delhi Street,Guelph ON  N1E 6K9</t>
  </si>
  <si>
    <t>New Brunswick</t>
  </si>
  <si>
    <t>Psychiatry||Effective: 30 Jun 2009||RCPSC Specialist
Forensic Psychiatry||Effective: 26 Sep 2013||RCPSC Specialist</t>
  </si>
  <si>
    <t>First certificate of registration issued: Independent Practice Certificate||Effective:   28 Jan 2015</t>
  </si>
  <si>
    <t>Dr. C. S. Bryniak Medicine Professional Corporation</t>
  </si>
  <si>
    <t>Issued Date:  Mar 21 2016</t>
  </si>
  <si>
    <t>Dr. C. Bryniak (CPSO# 105429)</t>
  </si>
  <si>
    <t>Homewood Health Centre,Transitional Care,151 Delhi Street,Guelph ON  N1E 6K9,(519) 824-1010</t>
  </si>
  <si>
    <t>54177</t>
  </si>
  <si>
    <t xml:space="preserve">Independent Practice as of 14 Dec 1988 </t>
  </si>
  <si>
    <t>English, Greek, Macedonian</t>
  </si>
  <si>
    <t>Aristotelian University of Thessaloniki, 1981</t>
  </si>
  <si>
    <t>Suite 308,658 Danforth Avenue,Toronto ON  M4J 5B9</t>
  </si>
  <si>
    <t>(416) 778-6534</t>
  </si>
  <si>
    <t>(416) 778-9990</t>
  </si>
  <si>
    <t>Psychiatry||Effective: 22 Nov 1988||RCPSC Specialist</t>
  </si>
  <si>
    <t>University of Toronto, 01 Jul 1988  to 30 Jun 1989|Clinical Fellow - Psychiatry</t>
  </si>
  <si>
    <t>First certificate of registration issued: Postgraduate Education Certificate||Effective:   01 Jul 1984
Transfer of class of registration to: Independent Practice Certificate||Effective:   14 Dec 1988</t>
  </si>
  <si>
    <t>54067</t>
  </si>
  <si>
    <t xml:space="preserve">Independent Practice as of 02 Jan 1986 </t>
  </si>
  <si>
    <t>Suite 304,1407 Yonge Street,Toronto ON  M4T 1Y7</t>
  </si>
  <si>
    <t>(416) 922-6699</t>
  </si>
  <si>
    <t>(416) 922-7250</t>
  </si>
  <si>
    <t>Family Medicine||Effective: 01 Jul 1987||CFPC Specialist
Psychiatry||Effective: 31 Dec 1995||RCPSC Specialist
Family Medicine (Emergency Medicine)||Effective: 20 Sep 1991||CFPC Specialist</t>
  </si>
  <si>
    <t>University of Toronto, 11 Jun 1984  to 17 Jun 1985|Other - Comprehensive Internship
University of Toronto, 01 Jul 1985  to 30 Jun 1986|Resident 2 - Family Medicine
University of Toronto, 04 May 1992  to 30 Jun 1992|Resident 1 - Psychiatry
University of Toronto, 01 Jul 1992  to 31 May 1993|Resident 1 - Psychiatry
University of Toronto, 01 Jun 1993  to 30 Jun 1993|Resident 2 - Psychiatry
University of Toronto, 01 Jul 1993  to 30 Oct 1993|Resident 1 - Psychiatry
University of Toronto, 01 Nov 1993  to 30 Jun 1994|Resident 2 - Psychiatry
University of Toronto, 01 Jul 1994  to 31 Oct 1994|Resident 2 - Psychiatry
University of Toronto, 01 Nov 1994  to 30 Jun 1995|Resident 3 - Psychiatry
University of Toronto, 01 Jul 1995  to 30 Jun 1996|Resident 4 - Psychiatry</t>
  </si>
  <si>
    <t>First certificate of registration issued: Postgraduate Education Certificate||Effective:   11 Jun 1984
Transfer of class of registration to: Independent Practice Certificate||Effective:   02 Jan 1986</t>
  </si>
  <si>
    <t>69099</t>
  </si>
  <si>
    <t>University of Toronto, 1995</t>
  </si>
  <si>
    <t>Baycrest Hospital,Department of Psychiatry,3560 Bathurst Street,North York ON  M6A 2E1</t>
  </si>
  <si>
    <t>(416) 785-2500 Ext. 3070</t>
  </si>
  <si>
    <t>University of Toronto, 01 Jul 1995  to 30 Jun 1996|PostGrad Yr 1 - Psychiatry
University of Toronto, 01 Jul 1996  to 30 Jun 1997|PostGrad Yr 2 - Psychiatry
University of Toronto, 01 Jul 1997  to 30 Jun 1998|PostGrad Yr 3 - Psychiatry
University of Toronto, 01 Jul 1998  to 30 Jun 1999|PostGrad Yr 4 - Psychiatry
University of Toronto, 01 Jul 1999  to 30 Jun 2000|PostGrad Yr 5 - Psychiatry
University of Toronto, 29 Aug 2000  to 30 Jun 2001|Clinical Fellow - Psychiatry
University of Toronto, 01 Jul 2001  to 30 Jun 2002|Clinical Fellow - Psychiatry</t>
  </si>
  <si>
    <t>S. E. Albert Medicine Professional Corporation</t>
  </si>
  <si>
    <t>Issued Date:  Oct 27 2009</t>
  </si>
  <si>
    <t>Dr. S. Albert (CPSO# 55696),Dr. C. Grief (CPSO# 69099)</t>
  </si>
  <si>
    <t>1929 Bayveiw Avenue,Toronto ON  M4G 3E8,(416) 580-5590
Baycrest Geriatric Health Care System,Baycrest Geriatric Health Care System,3560 Bathurst Street,4C91D,Toronto ON  M6A 2E1,(416) 785-2500</t>
  </si>
  <si>
    <t>85511</t>
  </si>
  <si>
    <t xml:space="preserve">Active Member as of 13 Jun 2013 </t>
  </si>
  <si>
    <t xml:space="preserve">Independent Practice as of 13 Jun 2013 </t>
  </si>
  <si>
    <t>Universidade Luterana do Brasil, 2002</t>
  </si>
  <si>
    <t>Womens College Hospital,Department of Psychiatry,7th Floor,76 Grenville Street,Toronto ON  M5S 1B2</t>
  </si>
  <si>
    <t>(416) 323-6400 Ext. 3043</t>
  </si>
  <si>
    <t>4163236356</t>
  </si>
  <si>
    <t>Psychiatry||Effective: 02 May 2013||RCPSC Specialist
Child and Adolescent Psychiatry||Effective: 23 Sep 2014||RCPSC Specialist</t>
  </si>
  <si>
    <t>University of Toronto, 16 Aug 2006  to 23 Oct 2006|PEAP - Clinical Fellow - Psychiatry
University of Toronto, 24 Oct 2006  to 30 Jun 2007|Clinical Fellow - Psychiatry
University of Toronto, 01 Jul 2007  to 30 Jun 2008|Clinical Fellow - Psychiatry
McMaster University, 01 Jul 2008  to 23 Sep 2008|Assessment Verification Period - Psychiatry
McMaster University, 24 Sep 2008  to 30 Jun 2009|PostGrad Yr 1 - Psychiatry
McMaster University, 01 Jul 2009  to 30 Jun 2010|PostGrad Yr 2 - Psychiatry
McMaster University, 01 Jul 2010  to 31 Dec 2010|PostGrad Yr 3 - Psychiatry
McMaster University, 01 Jan 2011  to 31 Dec 2011|PostGrad Yr 5 - Psychiatry
McMaster University, 01 Jan 2012  to 14 Dec 2012|PostGrad Yr 5 - Psychiatry</t>
  </si>
  <si>
    <t>First certificate of registration issued: Pre Entry Assessment Program Certificate||Effective:   16 Aug 2006
Transfer of class of registration to: Postgraduate Education Certificate||Effective:   24 Oct 2006
Transfer of class of registration to: Pre Entry Assessment Program Certificate||Effective:   01 Jul 2008
Transfer of class of registration to: Postgraduate Education Certificate||Effective:   24 Sep 2008
Expired: Terms and conditions of certificate of registration||Expiry:      14 Dec 2012
Subsequent certificate of registration issued: Restricted certificate||Effective:   15 Feb 2013
Expired: Terms and conditions imposed on certificate by Registration Committee||Effective:   13 Jun 2013
Subsequent certificate of registration Issued: Independent Practice Certificate||Effective:   13 Jun 2013</t>
  </si>
  <si>
    <t>Dr. Cintia Vontobel Padoin Medicine Professional Corporation</t>
  </si>
  <si>
    <t>Issued Date:  Apr 22 2015</t>
  </si>
  <si>
    <t>Dr. C. Padoin (CPSO# 85511)</t>
  </si>
  <si>
    <t>Womens College Hospital,Department of Psychiatry,7th Floor Suite 7217,76 Grenville Street,Toronto ON  M5S 1B2,(416) 323-6400</t>
  </si>
  <si>
    <t>95605</t>
  </si>
  <si>
    <t xml:space="preserve">Independent Practice as of 13 Jun 2017 </t>
  </si>
  <si>
    <t>Ontario Shores Centre,for Mental Health Sciences,700 Gordon Street,Whitby ON  L1N 5S9</t>
  </si>
  <si>
    <t>647 885 3104</t>
  </si>
  <si>
    <t>University of Toronto, 01 Jul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Psychiatry
University of Toronto, 01 Jul 2016  to 30 Jun 2017|PostGrad Yr 6 - Forensic Psychiatry</t>
  </si>
  <si>
    <t>First certificate of registration issued: Postgraduate Education Certificate||Effective:   01 Jul 2011
Transfer of class of registration to: Independent Practice Certificate||Effective:   13 Jun 2017</t>
  </si>
  <si>
    <t>Dr. Claire Harrigan Medicine Professional Corporation</t>
  </si>
  <si>
    <t>Dr. C. Harrigan (CPSO# 95605)</t>
  </si>
  <si>
    <t>700 Gordon Street,Whitby ON  L1N 5S9</t>
  </si>
  <si>
    <t>93721</t>
  </si>
  <si>
    <t xml:space="preserve">Active Member as of 09 Sep 2015 </t>
  </si>
  <si>
    <t xml:space="preserve">Independent Practice as of 09 Sep 2015 </t>
  </si>
  <si>
    <t>Ben Gurion University of the Negev, 2010</t>
  </si>
  <si>
    <t>(705) 743-2121 Ext. 5028</t>
  </si>
  <si>
    <t>University of Toronto, 01 Jul 2010  to 22 Sep 2010|Assessment Verification Period - Psychiatry
University of Toronto, 23 Sep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t>
  </si>
  <si>
    <t>First certificate of registration issued: Pre Entry Assessment Program Certificate||Effective:   01 Jul 2010
Transfer of class of registration to: Postgraduate Education Certificate||Effective:   23 Sep 2010
Expired: Terms and conditions of certificate of registration||Expiry:      02 Oct 2013
Subsequent certificate of registration issued: Restricted certificate||Effective:   02 Oct 2013
Expired: Terms and conditions imposed on certificate by Registration Committee||Effective:   30 Jun 2014
Subsequent certificate of registration Issued: Postgraduate Education Certificate||Effective:   01 Jul 2014
Expired: Terms and conditions of certificate of registration||Expiry:      30 Jun 2015
Subsequent certificate of registration Issued: Independent Practice Certificate||Effective:   09 Sep 2015</t>
  </si>
  <si>
    <t>Claire Fantus Medicine Professional Corporation</t>
  </si>
  <si>
    <t>Dr. C. Fantus (CPSO# 93721)</t>
  </si>
  <si>
    <t>71382</t>
  </si>
  <si>
    <t>The Hospital for Sick Children,Department of Psychiatry,555 University Avenue,Toronto ON  M5G 1X8</t>
  </si>
  <si>
    <t>(416) 813-6511</t>
  </si>
  <si>
    <t>62034</t>
  </si>
  <si>
    <t xml:space="preserve">Independent Practice as of 12 Jul 1990 </t>
  </si>
  <si>
    <t>St Joseph's Healthcare Hamilton,10th Floor,50 Charlton Avenue East,Hamilton ON  L8N 4A6</t>
  </si>
  <si>
    <t>(905) 522-1155 Ext. 34334</t>
  </si>
  <si>
    <t>(905) 540-6595</t>
  </si>
  <si>
    <t>Psychiatry||Effective: 30 Nov 1994||RCPSC Specialist</t>
  </si>
  <si>
    <t>McMaster University, 01 Jul 1994  to 30 Nov 1994|Resident 4 - Psychiatry</t>
  </si>
  <si>
    <t>First certificate of registration issued: Postgraduate Education Certificate||Effective:   01 Jul 1990
Transfer of class of registration to: Independent Practice Certificate||Effective:   12 Jul 1990</t>
  </si>
  <si>
    <t>Dr. Clara Cebrian Medicine Professional Corporation</t>
  </si>
  <si>
    <t>Dr. C. Cebrian (CPSO# 62034)</t>
  </si>
  <si>
    <t>St Joseph's Healthcare Hamilton,50 Charlton Avenue East 10th Floor,Hamilton ON  L8N 4A6,(905) 522-1155</t>
  </si>
  <si>
    <t>59703</t>
  </si>
  <si>
    <t xml:space="preserve">Independent Practice as of 05 Apr 1990 </t>
  </si>
  <si>
    <t>Evans, Clare Elisabeth (used until: 16 Aug 1989 )</t>
  </si>
  <si>
    <t>Queen's University, 1988</t>
  </si>
  <si>
    <t>Outpatient Psychiatry Department,Children's Hospital Of,Eastern Ontario, 401 Smyth Road,Ottawa ON  K1H 8L1</t>
  </si>
  <si>
    <t>Children's Hospital of Eastern Ontario:Ottawa
Cornwall Community Hospital:Cornwall
Royal Ottawa Health Care Group:Ottawa</t>
  </si>
  <si>
    <t>Psychiatry||Effective: 30 Jun 1993||RCPSC Specialist
Child and Adolescent Psychiatry||Effective: 21 Sep 2015||RCPSC Specialist</t>
  </si>
  <si>
    <t>University of Ottawa, 15 Jun 1988  to 14 Jun 1989|Other - Rotating Internship
University of Ottawa, 01 Jul 1989  to 30 Jun 1990|Resident 1 - Psychiatry
University of Ottawa, 01 Jul 1990  to 30 Jun 1991|Resident 2 - Psychiatry
University of Ottawa, 01 Jul 1991  to 30 Jun 1992|Resident 3 - Psychiatry
University of Ottawa, 01 Jul 1992  to 30 Jun 1993|Resident 4 - Psychiatry</t>
  </si>
  <si>
    <t>First certificate of registration issued: Postgraduate Education Certificate||Effective:   15 Jun 1988
Transfer of class of registration to: Independent Practice Certificate||Effective:   05 Apr 1990
Expiry date attached to certificate of registration.||Expiry Date: 30 Jun 1991</t>
  </si>
  <si>
    <t>C. Gray Medicine Professional Corporation</t>
  </si>
  <si>
    <t>Issued Date:  Sep 10 2007</t>
  </si>
  <si>
    <t>Dr. C. Gray (CPSO# 59703)</t>
  </si>
  <si>
    <t>Children's Hospital of Eastern Ontario,401 Smyth Road,Ottawa ON  K1H 8L1,(613) 737-7600</t>
  </si>
  <si>
    <t>72767</t>
  </si>
  <si>
    <t xml:space="preserve">Active Member as of 10 Jul 2003 </t>
  </si>
  <si>
    <t xml:space="preserve">Independent Practice as of 10 Jul 2003 </t>
  </si>
  <si>
    <t>Children's Hospital of,Eastern Ontario,401 Smyth Road,Ottawa ON  K1H 8L1</t>
  </si>
  <si>
    <t>(613) 737-7600 Ext. 2973</t>
  </si>
  <si>
    <t>Psychiatry||Effective: 30 Jun 2003||RCPSC Specialist
Child and Adolescent Psychiatry||Effective: 23 Sep 2014||RCPSC Specialist</t>
  </si>
  <si>
    <t>University of Toronto, 01 Jul 1998  to 30 Jun 1999|PostGrad Yr 1 - Psychiatry
University of Toronto, 01 Jul 1999  to 30 Jun 2000|PostGrad Yr 2 - Psychiatry
University of Toronto, 01 Jul 2000  to 30 Jun 2001|PostGrad Yr 3 - Psychiatry
University of Toronto, 01 Jul 2001  to 30 Jun 2002|PostGrad Yr 4 - Psychiatry
University of Toronto, 01 Jul 2002  to 30 Jun 2003|PostGrad Yr 5 - Psychiatry
University of Toronto, 01 Aug 2003  to 30 Jun 2004|Clinical Fellow - Psychiatry
University of Toronto, 01 Jul 2004  to 31 Jul 2004|Clinical Fellow - Psychiatry</t>
  </si>
  <si>
    <t>First certificate of registration issued: Postgraduate Education Certificate||Effective:   01 Jul 1998
Expired: Terms and conditions of certificate of registration||Expiry:      07 Jul 2003
Subsequent certificate of registration Issued: Independent Practice Certificate||Effective:   10 Jul 2003</t>
  </si>
  <si>
    <t>Clare Roscoe Medicine Professional Corporation</t>
  </si>
  <si>
    <t>Dr. C. Roscoe (CPSO# 72767)</t>
  </si>
  <si>
    <t>Children's Hospital of Eastern Ontario,5th North,401 Smyth Road,Ottawa ON  K1H 8L1,(613) 737-7600</t>
  </si>
  <si>
    <t>55389</t>
  </si>
  <si>
    <t xml:space="preserve">Active Member as of 18 Sep 1986 </t>
  </si>
  <si>
    <t xml:space="preserve">Independent Practice as of 18 Sep 1986 </t>
  </si>
  <si>
    <t>McMaster University, 1985</t>
  </si>
  <si>
    <t>Mount Sinai Hospital,Department of Psychiatry,600 University Avenue,Toronto ON  M5G 1X5</t>
  </si>
  <si>
    <t>(416) 586-4800 Ext. 8890</t>
  </si>
  <si>
    <t>Centre of Addiction &amp; Mental Health,- College Street Site:Toronto
Mount Sinai Hospital:Toronto
St Michael's Hospital:Toronto
University Health Network,Toronto General Hospital Site:Toronto</t>
  </si>
  <si>
    <t>University of Toronto, 17 Jun 1985  to 16 Jun 1986|Other - Rotating Internship
University of Ottawa, 01 Jul 1987  to 30 Jun 1988|Resident 1 - Internal Medicine
University of Ottawa, 01 Jul 1988  to 30 Jun 1989|Resident 1 - Internal Medicine
University of Ottawa, 01 Jul 1989  to 30 Jun 1990|Resident 1 - Psychiatry
University of Ottawa, 01 Jul 1990  to 30 Jun 1991|Resident 2 - Psychiatry
University of Ottawa, 01 Jul 1991  to 30 Jun 1992|Resident 4 - Psychiatry
University of Ottawa, 01 Sep 1992  to 31 Aug 1993|Clinical Fellow - Psychiatry</t>
  </si>
  <si>
    <t>First certificate of registration issued: Postgraduate Education Certificate||Effective:   17 Jun 1985
Expired: Terms and conditions of certificate of registration||Expiry:      16 Jun 1986
Subsequent certificate of registration Issued: Independent Practice Certificate||Effective:   18 Sep 1986</t>
  </si>
  <si>
    <t>28892</t>
  </si>
  <si>
    <t xml:space="preserve">Active Member as of 09 Dec 1976 </t>
  </si>
  <si>
    <t xml:space="preserve">Independent Practice as of 09 Dec 1976 </t>
  </si>
  <si>
    <t>Creole, English, French</t>
  </si>
  <si>
    <t>University of Haiti, 1961</t>
  </si>
  <si>
    <t>610 McConnell Avenue,Cornwall ON  K6H 4M1</t>
  </si>
  <si>
    <t>(613) 938-6986</t>
  </si>
  <si>
    <t>(613) 938-8163</t>
  </si>
  <si>
    <t>Psychiatry||Effective: 02 Dec 1971||RCPSC Specialist</t>
  </si>
  <si>
    <t>First certificate of registration issued: Postgraduate Education Certificate||Effective:   08 Jan 1969
Transfer of class of registration to: Hospital Practice Certificate||Effective:   20 Jan 1972
Transfer of class of registration to: Independent Practice Certificate||Effective:   09 Dec 1976</t>
  </si>
  <si>
    <t>Claude Manigat Medicine Professional Corporation</t>
  </si>
  <si>
    <t>Dr. C. Manigat (CPSO# 28892)</t>
  </si>
  <si>
    <t>610 McConnell Avenue,Cornwall ON  K6H 4M1,(613) 938-6986</t>
  </si>
  <si>
    <t>82250</t>
  </si>
  <si>
    <t xml:space="preserve">Active Member as of 25 Aug 2017 </t>
  </si>
  <si>
    <t xml:space="preserve">Academic Practice as of 25 Aug 2017 </t>
  </si>
  <si>
    <t>University of Sao Paulo, 1989</t>
  </si>
  <si>
    <t>Kingston General Hospital,Adult Psychiatry Division,76 Stuart Street,Kingston ON  K7L 2V7</t>
  </si>
  <si>
    <t>613-549-6666 Ext. 7839</t>
  </si>
  <si>
    <t>Psychiatry||Effective: 03 Apr 2007||RCPSC Specialist</t>
  </si>
  <si>
    <t>First certificate of registration issued: Restricted certificate||Effective:   09 Mar 2005
Terms and conditions imposed on certificate by Registration Committee||Effective:   09 Mar 2005
Expired: Terms and conditions imposed on certificate by Registration Committee||Effective:   21 Jun 2005
Subsequent certificate of registration issued: Restricted certificate||Effective:   21 Jun 2005
Expired: Terms and conditions imposed on certificate by Registration Committee||Effective:   30 Sep 2008
Subsequent certificate of registration Issued: Academic Practice Certificate||Effective:   30 Sep 2008
Expiry date removed from certificate of registration.||Effective:   26 Jan 2011
Terms and conditions amended by member||Effective:   07 Aug 2012
Transfer of class of certificate to: Restricted certificate||Effective:   08 Aug 2012
Terms and conditions imposed on certificate||Effective:   08 Aug 2012
Expired: Terms and conditions of certificate of registration||Expiry:      01 Sep 2012
Subsequent certificate of registration issued: Restricted certificate||Effective:   19 May 2016
Terms and conditions amended by Registration Committee||Effective:   12 Aug 2016
Expired: Terms and conditions imposed on certificate by Registration Committee||Effective:   03 Aug 2017
Subsequent certificate of registration Issued: Academic Practice Certificate||Effective:   03 Aug 2017
Expiry date attached to certificate of registration.||Expiry Date: 30 Jun 2019</t>
  </si>
  <si>
    <t>C. Soares Medicine Professional Corporation</t>
  </si>
  <si>
    <t>Inactive: Nov 30 2012</t>
  </si>
  <si>
    <t>102237</t>
  </si>
  <si>
    <t xml:space="preserve">Active Member as of 11 Oct 2013 </t>
  </si>
  <si>
    <t xml:space="preserve">Independent Practice as of 11 Oct 2013 </t>
  </si>
  <si>
    <t>English, Ibo</t>
  </si>
  <si>
    <t>Grand River Hospital,835 King Street West,Kitchener ON  N2G 1G3</t>
  </si>
  <si>
    <t>519-749-4300 Ext. 5173</t>
  </si>
  <si>
    <t>519-749-4455</t>
  </si>
  <si>
    <t>Medical Centre,Suite 308- 430 The Boardwalk,Waterloo,Waterloo ON  N2T 0C1,Canada,Phone:(519) 744-1785,Fax:(226) 887-8684,County:Regional Municipality of Waterloo,Electoral District:03</t>
  </si>
  <si>
    <t>Grand River Hospital Corporation,Freeport Site:Kitchener
St Mary's General Hospital,Kitchener:Kitchener</t>
  </si>
  <si>
    <t>Psychiatry||Effective: 05 May 2010||RCPSC Specialist
Geriatric Psychiatry||Effective: 23 Sep 2014||RCPSC Specialist</t>
  </si>
  <si>
    <t>First certificate of registration issued: Independent Practice Certificate||Effective:   11 Oct 2013</t>
  </si>
  <si>
    <t>Dr. C. Okonkwo Medicine Professional Corporation</t>
  </si>
  <si>
    <t>Issued Date:  Mar 25 2015</t>
  </si>
  <si>
    <t>Dr. C. Okonkwo (CPSO# 102237)</t>
  </si>
  <si>
    <t>Grand River Hospital,835 King Street West,Kitchener ON  N2G 1G3,(519) 749-4300
Suite 308A,Suite 308A,430 The Boardwalk,Waterloo ON  N2T 0C1,(519) 744-1785</t>
  </si>
  <si>
    <t>66883</t>
  </si>
  <si>
    <t>McGill University, 1993</t>
  </si>
  <si>
    <t>Sunnybrook Health Sciences Centre,2075 Bayview Avenue,Toronto ON  M4N 3M5</t>
  </si>
  <si>
    <t>(416) 480-6100 Ext. 7173</t>
  </si>
  <si>
    <t>Centre for Addiction &amp; Mental Health,- Russell Street Site:Toronto
Sunnybrook Health Sciences Centre:Toronto</t>
  </si>
  <si>
    <t>Clifford Posel Medicine Professional Corporation</t>
  </si>
  <si>
    <t>Issued Date:  Jan 02 2009</t>
  </si>
  <si>
    <t>Dr. C. Posel (CPSO# 66883)</t>
  </si>
  <si>
    <t>Sunnybrook Health Sciences Centre,2075 Bayview Avenue,Room FG14,Toronto ON  M4N 3M5,(416) 480-6100</t>
  </si>
  <si>
    <t>18399</t>
  </si>
  <si>
    <t xml:space="preserve">Active Member as of 09 Jul 1962 </t>
  </si>
  <si>
    <t xml:space="preserve">Restricted as of 12 Jul 2011 </t>
  </si>
  <si>
    <t>University of Toronto, 1961</t>
  </si>
  <si>
    <t>208 St Clair Ave W,Toronto ON  M4V 1R2</t>
  </si>
  <si>
    <t>(416) 535-8501 Ext. 33434</t>
  </si>
  <si>
    <t>250 College St,Toronto ON  M5T1L8,Canada,Phone:416 535 8501 Ext. 33434,County:City of Toronto,Electoral District:10</t>
  </si>
  <si>
    <t>Centre for Addiction &amp; Mental Health,- Russell Street Site:Toronto
Hospital For Sick Children:Toronto</t>
  </si>
  <si>
    <t>Psychiatry||Effective: 27 Nov 1967||RCPSC Specialist</t>
  </si>
  <si>
    <t>First certificate of registration issued: Independent Practice Certificate||Effective:   09 Jul 1962
Transfer of class of certificate to: Restricted certificate||Effective:   12 Jul 2011
Terms and conditions imposed on certificate by member||Effective:   12 Jul 2011</t>
  </si>
  <si>
    <t>C.G. Chamberlain Medicine Professional Corporation</t>
  </si>
  <si>
    <t>Issued Date:  Nov 03 2011</t>
  </si>
  <si>
    <t>Dr. C. Chamberlain (CPSO# 18399)</t>
  </si>
  <si>
    <t>33 Russell Street,Toronto ON  M5S 2S1,(416) 535-8501
208 St Clair Avenue West,208 St Clair Avenue West,Toronto ON  M4V 1R2
7th Floor,7th Floor,525 University Avenue,Toronto ON  M5G 1X8</t>
  </si>
  <si>
    <t>22173</t>
  </si>
  <si>
    <t xml:space="preserve">Active Member as of 14 Jul 1969 </t>
  </si>
  <si>
    <t xml:space="preserve">Independent Practice as of 14 Jul 1969 </t>
  </si>
  <si>
    <t>Queen's University, 1964</t>
  </si>
  <si>
    <t>1987 Bromley Line,Westmeath ON  K0J 2L0</t>
  </si>
  <si>
    <t>613 587-4520</t>
  </si>
  <si>
    <t>1987 Bromley Line,Westmeath ON  K0J 2L0,Canada,Phone:613 587-4520,Fax:613 587-4520,County:County of Renfrew,Electoral District:07</t>
  </si>
  <si>
    <t>Psychiatry||Effective: 12 Apr 1976||RCPSC Specialist</t>
  </si>
  <si>
    <t>First certificate of registration issued: Independent Practice Certificate||Effective:   14 Jul 1969</t>
  </si>
  <si>
    <t>James C. Brown Medicine Professional Corporation</t>
  </si>
  <si>
    <t>Issued Date:  Jun 10 2010</t>
  </si>
  <si>
    <t>Dr. C. Brown (CPSO# 22173),Dr. J. Brown (CPSO# 92084)</t>
  </si>
  <si>
    <t>Unit 1-A,9625 Yonge Street,Richmond Hill ON  L4C 5T2
Unit 1-A,9625 Yonge Street,Richmond Hill ON  L4C 5T</t>
  </si>
  <si>
    <t>C. Donald Brown Medicine Professional Corporation</t>
  </si>
  <si>
    <t>Issued Date:  Jan 04 2012</t>
  </si>
  <si>
    <t>Dr. C. Brown (CPSO# 22173)</t>
  </si>
  <si>
    <t>Mental Health Services,Building 111,258 Somme Road,Petawawa ON  K8H 2X3,(613) 687-5511</t>
  </si>
  <si>
    <t>61816</t>
  </si>
  <si>
    <t xml:space="preserve">Independent Practice as of 01 Jul 1990 </t>
  </si>
  <si>
    <t>English, French, Russian, Spanish</t>
  </si>
  <si>
    <t>McGill University, 1987</t>
  </si>
  <si>
    <t>St Lawrence Valley Correctional and,Treatment Centre,1804 Highway 2 East,Brockville ON  K6V 5W7</t>
  </si>
  <si>
    <t>(613) 341-2870 Ext. 1331</t>
  </si>
  <si>
    <t>(613) 341-2884</t>
  </si>
  <si>
    <t>234 Laurier Ave West,Ottawa ON  K1A 0P9,Canada,Phone:613 992-8789,County:Regional Municipality of Ottawa-Carleton,Electoral District:07
Royal Ottawa Hospital,1145 Carling Avenue,Ottawa ON  K1Z 7K4,Canada,Phone:(613) 722-6521,County:Regional Municipality of Ottawa-Carleton,Electoral District:07</t>
  </si>
  <si>
    <t>First certificate of registration issued: Independent Practice Certificate||Effective:   01 Jul 1990</t>
  </si>
  <si>
    <t>Colin Cameron Medicine Professional Corporation</t>
  </si>
  <si>
    <t>Issued Date:  Apr 06 2006</t>
  </si>
  <si>
    <t>Dr. C. Cameron (CPSO# 61816)</t>
  </si>
  <si>
    <t>St. Lawrence Valley Correctional and,Treatment Centre,1804 Highway 2 East,Brockville ON  K6V 5T1,(613) 341-2870
1145 Carling Avenue,1145 Carling Avenue,Ottawa ON  K1Z 7K4,(613) 722-6521</t>
  </si>
  <si>
    <t>77716</t>
  </si>
  <si>
    <t>(613) 969-7400 Ext. 2232</t>
  </si>
  <si>
    <t>Dr. C. MacPherson Medicine Professional Corporation</t>
  </si>
  <si>
    <t>Issued Date:  Jul 10 2015</t>
  </si>
  <si>
    <t>Dr. C. MacPherson (CPSO# 77716)</t>
  </si>
  <si>
    <t>Quinte Health Centre,265 Dundas Street East,Belleville ON  K8N 5A9,(613) 969-7400</t>
  </si>
  <si>
    <t>61968</t>
  </si>
  <si>
    <t xml:space="preserve">Active Member as of 01 Apr 1990 </t>
  </si>
  <si>
    <t xml:space="preserve">Independent Practice as of 02 Aug 2001 </t>
  </si>
  <si>
    <t>Afrikaans, English</t>
  </si>
  <si>
    <t>University of Witwatersrand, 1977</t>
  </si>
  <si>
    <t>Youthdale Child And Adolescent,Sleep Centre,227 Victoria St,Toronto ON  M5B 1T8</t>
  </si>
  <si>
    <t>(416) 703-0505</t>
  </si>
  <si>
    <t>(416) 703-0507</t>
  </si>
  <si>
    <t>Sleep and Alertness Clinic,800 - 790 Bay St,Toronto ON  M5G 1N8,Canada,Phone:(416) 837-8181,County:City of Toronto,Electoral District:10
239 Oxford St,London ON  N6A 1V2,Canada,Phone:(519) 433-2242,County:County of Middlesex,Electoral District:02
West Parry Sound Health Centre,10 James Street,Parry Sound ON  P2A 1Z3,Canada,Phone:(705) 746-4540 Ext. 3306,Fax:(705) 773-4087,County:Territorial District of Parry Sound,Electoral District:08</t>
  </si>
  <si>
    <t>Psychiatry||Effective: 24 Apr 1998||RCPSC Specialist</t>
  </si>
  <si>
    <t>First certificate of registration issued: Academic Practice Certificate||Effective:   01 Apr 1990
Transfer of class of registration to: Independent Practice Certificate||Effective:   02 Aug 2001</t>
  </si>
  <si>
    <t>C M Shapiro Medicine Professional Corporation</t>
  </si>
  <si>
    <t>Issued Date:  May 23 2008</t>
  </si>
  <si>
    <t>Dr. C. Shapiro (CPSO# 61968)</t>
  </si>
  <si>
    <t>Youthdale Child and Adolescent Sleep Centre,227 Victoria Sreet,Toronto ON  M5B 1T8,(416) 703-0505
6 Albert Street,6 Albert Street,Parry Sound ON  M5G 1N8,(705) 746-4540
800 - 790 Bay Street,800 - 790 Bay Street,Toronto ON  M5G 1N8,(416) 837-8181</t>
  </si>
  <si>
    <t>68915</t>
  </si>
  <si>
    <t>92 Lakeshore Road East,Office 220,Mississauga ON  L5G 4S2</t>
  </si>
  <si>
    <t>(416) 574-8862</t>
  </si>
  <si>
    <t>115 Westminster Drive North,P.O. Box 32128 Preston,Canada,Phone:519-219-2900,Fax:519-219-2901,County:Regional Municipality of Waterloo,Electoral District:03</t>
  </si>
  <si>
    <t>University of Toronto, 01 Jul 1995  to 30 Jun 1996|PostGrad Yr 1 - Psychiatry
University of Toronto, 01 Jul 1996  to 30 Jun 1997|PostGrad Yr 2 - Psychiatry
University of Toronto, 01 Jul 1997  to 30 Jun 1998|PostGrad Yr 3 - Psychiatry
University of Toronto, 01 Jul 1998  to 30 Jun 1999|PostGrad Yr 4 - Psychiatry
University of Toronto, 01 Jul 1999  to 30 Jun 2000|PostGrad Yr 5 - Psychiatry</t>
  </si>
  <si>
    <t>86602</t>
  </si>
  <si>
    <t xml:space="preserve">Independent Practice as of 17 Dec 2012 </t>
  </si>
  <si>
    <t>University of Ottawa, 2007</t>
  </si>
  <si>
    <t>St Josephs Health Centre,Department of Mental Health,Room 5M29,30 The Queensway,Toronto ON  M6R 1B5</t>
  </si>
  <si>
    <t>(416) 530-6000</t>
  </si>
  <si>
    <t>(416) 530-6076</t>
  </si>
  <si>
    <t>Integrated Psychogeriatric Outreach,Program, York Region,194 Eagle St.,Newmarket ON  L3Y 1J6,Canada,Phone:905-830-4444 Ext. 73472,Fax:905-895-9001,County:Regional Municipality of York,Electoral District:05
Unit 116B,617 Victoria St. W,Whitby ON  L1N 0E4,Canada,Phone:905-668-2975,County:Regional Municipality of Durham,Electoral District:05</t>
  </si>
  <si>
    <t>Ontario Shores Centre for Mental Health Sciences:Whitby
St Joseph's Health Centre,Toronto:Toronto</t>
  </si>
  <si>
    <t>Psychiatry||Effective: 15 Aug 2012||RCPSC Specialist</t>
  </si>
  <si>
    <t>University of Toronto, 01 Jul 2007  to 30 Jun 2008|PostGrad Yr 1 - Psychiatry
University of Toronto, 01 Jul 2008  to 30 Jun 2009|PostGrad Yr 2 - Psychiatry
University of Toronto, 01 Jul 2009  to 30 Jun 2010|PostGrad Yr 3 - Psychiatry
University of Toronto, 01 Jul 2010  to 30 Jun 2011|PostGrad Yr 4 - Psychiatry
University of Toronto, 01 Jul 2011  to 30 Jun 2012|PostGrad Yr 5 - Psychiatry
University of Toronto, 01 Jul 2012  to 15 Aug 2012|PostGrad Yr 5 - Psychiatry
University of Toronto, 16 Aug 2012  to 30 Jun 2013|PostGrad Yr 6 - Geriatric Psychiatry
University of Toronto, 01 Jul 2013  to 22 Oct 2013|PostGrad Yr 7 - Geriatric Psychiatry</t>
  </si>
  <si>
    <t>First certificate of registration issued: Postgraduate Education Certificate||Effective:   01 Jul 2007
Transfer of class of registration to: Independent Practice Certificate||Effective:   17 Dec 2012</t>
  </si>
  <si>
    <t>C. Nefsky Medicine Professional Corporation</t>
  </si>
  <si>
    <t>Issued Date:  Nov 11 2013</t>
  </si>
  <si>
    <t>Dr. C. Nefsky (CPSO# 86602)</t>
  </si>
  <si>
    <t>194 Eagle Street,Newmarket ON  L3Y 1J6
Suite 1168,Suite 1168,617 Victoria Street,Whitby ON  L1N 0E4
St Josephs Health Centre,St Josephs Health Centre,Department of Mental Health,Room 5M29,30 The Queensway,Toronto ON  M6R 1B5,(416) 530-6000</t>
  </si>
  <si>
    <t>50294</t>
  </si>
  <si>
    <t xml:space="preserve">Independent Practice as of 31 Jul 1985 </t>
  </si>
  <si>
    <t>University of the Philippines, 1977</t>
  </si>
  <si>
    <t>144 Richmond Road,Ottawa ON  K1Z 6W2</t>
  </si>
  <si>
    <t>(613) 722-5680</t>
  </si>
  <si>
    <t>First certificate of registration issued: Postgraduate Education Certificate||Effective:   01 Jul 1981
Transfer of class of registration to: Independent Practice Certificate||Effective:   31 Jul 1985</t>
  </si>
  <si>
    <t>Cosico De Jesus Medicine Professional Corporation</t>
  </si>
  <si>
    <t>Issued Date:  Oct 29 2007</t>
  </si>
  <si>
    <t>Dr. C. Cosico-De-Jesus (CPSO# 50294),Dr. F. De Jesus (CPSO# 52054)</t>
  </si>
  <si>
    <t>Ottawa Hospital - Civic Campus,1053 Carling Avenue,Ottawa ON  K1Y 4E9,(613) 722-7000
Ottawa Hospital,Ottawa Hospital,501 Smyth Road,Ottawa ON  K1H 8L6
Arnprior &amp; District Memorial Hospital,Arnprior &amp; District Memorial Hospital,350 John Street North,Arnprior ON  K7S 2P6,(613) 623-3166
144 Richmond Road,144 Richmond Road,Ottawa ON  K1Z 6W2,(613) 722-5680
Winchester District Memorial Hospital,Winchester District Memorial Hospital,566 Louise Street,Winchester ON  K0C 2K0,(613) 774-2422</t>
  </si>
  <si>
    <t>81931</t>
  </si>
  <si>
    <t xml:space="preserve">Active Member as of 07 Feb 2007 </t>
  </si>
  <si>
    <t xml:space="preserve">Independent Practice as of 07 Feb 2007 </t>
  </si>
  <si>
    <t>Institute of Medicine, Pharmacy,Iasi, 1996</t>
  </si>
  <si>
    <t>Windsor Regional Hospital,Ouellette Campus,Department of Psychiatry, 3rd Floor,1030 Ouellette Avenue,Windsor ON  N9A 1E1</t>
  </si>
  <si>
    <t>(519) 973-4411</t>
  </si>
  <si>
    <t>Telemedicine via OTNhub.ca,(E-consults),Windsor ON  N9A 1E1,Canada,County:County of Essex,Electoral District:01</t>
  </si>
  <si>
    <t>Erie Shores HealthCare:Leamington
Hotel Dieu Grace Healthcare,Tayfour Campus:Windsor
Windsor Regional Hospital,Metropolitan Site:Windsor
Windsor Regional Hospital,Ouellette Campus:Windsor</t>
  </si>
  <si>
    <t>First certificate of registration issued: Restricted certificate||Effective:   17 Sep 2004
Terms and conditions imposed on certificate by Registration Committee||Effective:   17 Sep 2004
Expiry date attached to certificate of registration.||Expiry Date: 16 Sep 2007
Expired: Terms and conditions imposed on certificate by Registration Committee||Effective:   07 Feb 2007
Subsequent certificate of registration Issued: Independent Practice Certificate||Effective:   07 Feb 2007</t>
  </si>
  <si>
    <t>71232</t>
  </si>
  <si>
    <t xml:space="preserve">Independent Practice as of 22 Nov 2002 </t>
  </si>
  <si>
    <t>Ellis, Corine Elizabeth (used until: 06 May 2001 )</t>
  </si>
  <si>
    <t>The University of British Columbia, 1997</t>
  </si>
  <si>
    <t>Suite 502,790 Bay Street,Mail Box #20,Toronto ON  M5G 1N8</t>
  </si>
  <si>
    <t>(416) 901-4352</t>
  </si>
  <si>
    <t>(416) 901-4392</t>
  </si>
  <si>
    <t>Stella's Place,18 Camden Street,Toronto ON  M5V 1V1,Canada,Phone:416-461-2345,Fax:844-321-8486,County:City of Toronto,Electoral District:10</t>
  </si>
  <si>
    <t>University of Toronto, 01 Jul 1997  to 30 Jun 1998|PostGrad Yr 1 - Psychiatry
University of Toronto, 01 Jul 1998  to 30 Jun 1999|PostGrad Yr 2 - Psychiatry
University of Toronto, 01 Jul 1999  to 30 Jun 2000|PostGrad Yr 3 - Psychiatry
University of Toronto, 01 Jul 2000  to 30 Jun 2001|PostGrad Yr 4 - Psychiatry
University of Toronto, 01 Jul 2001  to 30 Jun 2002|PostGrad Yr 5 - Psychiatry
University of Toronto, 01 Jul 2002  to 30 Jun 2003|Clinical Fellow - Psychiatry
University of Toronto, 01 Jul 2003  to 30 Jun 2004|Clinical Fellow - Psychiatry
University of Toronto, 01 Jul 2004  to 30 Jun 2005|Clinical Fellow - Psychiatry
University of Toronto, 01 Jul 2005  to 30 Jun 2006|Clinical Fellow - Psychiatry
University of Toronto, 01 Jul 2006  to 31 Aug 2006|Clinical Fellow - Psychiatry</t>
  </si>
  <si>
    <t>First certificate of registration issued: Postgraduate Education Certificate||Effective:   01 Jul 1997
Transfer of class of registration to: Independent Practice Certificate||Effective:   22 Nov 2002</t>
  </si>
  <si>
    <t>67362</t>
  </si>
  <si>
    <t xml:space="preserve">Active Member as of 12 Aug 1993 </t>
  </si>
  <si>
    <t xml:space="preserve">Independent Practice as of 12 Aug 1998 </t>
  </si>
  <si>
    <t>St. Michael's Hospital,17-044 Cardinal Carter Wing,30 Bond Street,Toronto ON  M5B 1W8</t>
  </si>
  <si>
    <t>(416) 864-5320</t>
  </si>
  <si>
    <t>Psychiatry||Effective: 12 Aug 1998||RCPSC Specialist
Geriatric Psychiatry||Effective: 26 Sep 2013||RCPSC Specialist</t>
  </si>
  <si>
    <t>University of Toronto, 12 Aug 1993  to 30 Jun 1994|PostGrad Yr 1 - Psychiatry
McMaster University, 01 Jul 1994  to 30 Jun 1995|Resident 1 - Psychiatry
McMaster University, 01 Jul 1995  to 30 Jun 1996|Resident 2 - Psychiatry
McMaster University, 01 Jul 1996  to 30 Jun 1997|Resident 3 - Psychiatry
McMaster University, 01 Jul 1997  to 30 Jun 1998|Resident 4 - Psychiatry
McMaster University, 01 Jul 1998  to 12 Aug 1998|Resident 4 - Psychiatry</t>
  </si>
  <si>
    <t>First certificate of registration issued: Postgraduate Education Certificate||Effective:   12 Aug 1993
Transfer of class of registration to: Independent Practice Certificate||Effective:   12 Aug 1998</t>
  </si>
  <si>
    <t>66991</t>
  </si>
  <si>
    <t>McMaster University, 1993</t>
  </si>
  <si>
    <t>First Nations Health Authority,#507 - 100 Park Royal South,West Vancouver BC  V7T 1A2</t>
  </si>
  <si>
    <t>(604)785-1549</t>
  </si>
  <si>
    <t>(604) 913-2081</t>
  </si>
  <si>
    <t>University of Toronto, 01 Jul 1993  to 30 Jun 1994|PostGrad Yr 1 - Psychiatry
McMaster University, 01 Jul 1994  to 30 Jun 1995|Resident 1 - Psychiatry
McMaster University, 01 Jul 1995  to 30 Jun 1996|Resident 2 - Psychiatry
McMaster University, 01 Jul 1996  to 30 Jun 1997|Resident 3 - Psychiatry
McMaster University, 01 Jul 1997  to 30 Jun 1998|Resident 4 - Psychiatry</t>
  </si>
  <si>
    <t>79257</t>
  </si>
  <si>
    <t xml:space="preserve">Active Member as of 01 Sep 2010 </t>
  </si>
  <si>
    <t xml:space="preserve">Restricted as of 01 Sep 2010 </t>
  </si>
  <si>
    <t>Canadian mental Health Association,80 Waterloo Ave,Guelph ON  N1H 0A1</t>
  </si>
  <si>
    <t>(844) 264-2993</t>
  </si>
  <si>
    <t>Psychiatry||Effective: 01 Sep 2010||CPSO Recognized Specialist</t>
  </si>
  <si>
    <t>University of Toronto, 01 Jul 2003  to 30 Jun 2004|PostGrad Yr 1 - Psychiatry
University of Toronto, 01 Jul 2004  to 30 Jun 2005|PostGrad Yr 2 - Psychiatry</t>
  </si>
  <si>
    <t>First certificate of registration issued: Postgraduate Education Certificate||Effective:   01 Jul 2003
Expired: Terms and conditions of certificate of registration||Expiry:      30 Jun 2005
Subsequent certificate of registration issued: Restricted certificate||Effective:   01 Sep 2010
Terms and conditions amended by Registration Committee||Effective:   17 Jan 2011
Terms and conditions amended by Registration Committee||Effective:   24 Nov 2011
Expiry date removed from certificate of registration.||Effective:   22 Dec 2011</t>
  </si>
  <si>
    <t>Dr. Craig A. Beach Medicine Professional Corporation</t>
  </si>
  <si>
    <t>Dr. C. Beach (CPSO# 79257)</t>
  </si>
  <si>
    <t>Canadian Mental Health Association,Waterloo Wellington Dufferin,80 Waterloo Avenue,Guelph ON  N1H 0A1,(844) 264-2993</t>
  </si>
  <si>
    <t>81036</t>
  </si>
  <si>
    <t>Royal Victoria Regional Health Ctr,201 Georgian Drive,Barrie ON  L4M 6M2</t>
  </si>
  <si>
    <t>(705) 728-9090 Ext. 47210</t>
  </si>
  <si>
    <t>(705) 739-5631</t>
  </si>
  <si>
    <t>Royal Victoria Regional Health Centre:Barrie</t>
  </si>
  <si>
    <t>McMaster University, 01 Jul 2004  to 30 Jun 2005|PostGrad Yr 1 - Psychiatry
McMaster University, 01 Jul 2005  to 30 Jun 2006|PostGrad Yr 2 - Psychiatry
McMaster University, 01 Jul 2006  to 30 Jun 2007|PostGrad Yr 3 - Psychiatry
McMaster University, 01 Jul 2007  to 30 Jun 2008|PostGrad Yr 4 - Psychiatry
McMaster University, 01 Jul 2008  to 30 Jun 2009|PostGrad Yr 5 - Psychiatry</t>
  </si>
  <si>
    <t>Livermore Medicine Professional Corporation</t>
  </si>
  <si>
    <t>Issued Date:  Oct 20 2010</t>
  </si>
  <si>
    <t>Dr. C. Livermore (CPSO# 81036)</t>
  </si>
  <si>
    <t>201 Georgian Drive,Barrie ON  L4M 6M2,(705) 728-9090</t>
  </si>
  <si>
    <t>59713</t>
  </si>
  <si>
    <t xml:space="preserve">Independent Practice as of 07 Jul 1989 </t>
  </si>
  <si>
    <t>Suite 5700,100 King Street West,Toronto ON  M5X 1C7</t>
  </si>
  <si>
    <t>(416) 421-7445</t>
  </si>
  <si>
    <t>(866) 702-1989</t>
  </si>
  <si>
    <t>Alexandra Marine and General Hospital:Goderich
Homewood Health Centre:Guelph
Waypoint Centre for Mental Health Care:Penetanguishene</t>
  </si>
  <si>
    <t>University of Toronto, 13 Jun 1988  to 12 Jun 1989|Other - Rotating Internship
University of Toronto, 01 Jul 1989  to 30 Jun 1990|Resident 1 - Psychiatry
University of Toronto, 01 Jul 1990  to 30 Jun 1991|Resident 2 - Psychiatry
University of Toronto, 01 Jul 1991  to 30 Jun 1992|Resident 3 - Psychiatry
University of Toronto, 01 Jul 1992  to 30 Jun 1993|Resident 4 - Psychiatry
University of Toronto, 01 Jul 1993  to 30 Jun 1994|Clinical Fellow - Psychiatry
University of Toronto, 01 Jul 1994  to 30 Jun 1995|Clinical Fellow - Psychiatry</t>
  </si>
  <si>
    <t>First certificate of registration issued: Postgraduate Education Certificate||Effective:   13 Jun 1988
Transfer of class of registration to: Independent Practice Certificate||Effective:   07 Jul 1989</t>
  </si>
  <si>
    <t>Craig James Hudson Medicine Professional Corporation</t>
  </si>
  <si>
    <t>Issued Date:  Feb 12 2007</t>
  </si>
  <si>
    <t>Dr. C. Hudson (CPSO# 59713)</t>
  </si>
  <si>
    <t>5700 - 100 King Street West,Toronto ON  M5X 1C7,(416) 421-7445</t>
  </si>
  <si>
    <t>98549</t>
  </si>
  <si>
    <t xml:space="preserve">Independent Practice as of 29 Sep 2017 </t>
  </si>
  <si>
    <t>University College of Dublin, 2012</t>
  </si>
  <si>
    <t>St. Joseph's Healthcare London,550 Wellington Road,London ON  N6C 0A7</t>
  </si>
  <si>
    <t>(519) 646-6100</t>
  </si>
  <si>
    <t>40 Finchgate Blvd #216,Brampton ON  L6T 3J1,Canada,Phone:(905) 456-3699 Ext. 23,County:Regional Municipality of Peel,Electoral District:05</t>
  </si>
  <si>
    <t>London Health Sciences Centre Victoria Hospital:London
St Joseph Health Care,London- Mental Health:London</t>
  </si>
  <si>
    <t>Psychiatry||Effective: 24 Sep 2017||RCPSC Specialist</t>
  </si>
  <si>
    <t>The University of Western Ontario, 01 Jul 2012  to 21 Oct 2012|Assessment Verification Period - Psychiatry
The University of Western Ontario, 22 Oct 2012  to 30 Jun 2013|PostGrad Yr 1 - Psychiatry
The University of Western Ontario, 01 Jul 2013  to 30 Jun 2014|PostGrad Yr 2 - Psychiatry
The University of Western Ontario, 01 Jul 2014  to 30 Jun 2015|PostGrad Yr 3 - Psychiatry
The University of Western Ontario, 01 Jul 2015  to 30 Jun 2016|PostGrad Yr 4 - Psychiatry
The University of Western Ontario, 01 Jul 2016  to 20 Oct 2016|PostGrad Yr 4 - Psychiatry
The University of Western Ontario, 21 Oct 2016  to 30 Jun 2017|PostGrad Yr 5 - Psychiatry
The University of Western Ontario, 01 Jul 2017  to 24 Sep 2017|PostGrad Yr 5 - Psychiatry
The University of Western Ontario, 25 Sep 2017  to 23 Mar 2018|Clinical Fellow - Psychiatry</t>
  </si>
  <si>
    <t>First certificate of registration issued: Pre Entry Assessment Program Certificate||Effective:   01 Jul 2012
Transfer of class of registration to: Postgraduate Education Certificate||Effective:   22 Oct 2012
Transfer of class of registration to: Independent Practice Certificate||Effective:   29 Sep 2017</t>
  </si>
  <si>
    <t>77903</t>
  </si>
  <si>
    <t>Ctr for Addiction &amp; Mental Health,College Street Site,Toronto ON  M5T 1R8</t>
  </si>
  <si>
    <t>(416) 535-8501 Ext. 33535</t>
  </si>
  <si>
    <t>93168</t>
  </si>
  <si>
    <t>Outpatient Mental Health,5 Morrow/5 Glendale Wing,St. Joseph's Health Centre,30 The Queensway,Toronto ON  M6R 1B5</t>
  </si>
  <si>
    <t>416-530-6591</t>
  </si>
  <si>
    <t>Inner City Health Associates,59 Adelaide St. E. 2nd floor,Toronto ON  M5C 1K6,Canada,Phone:(416) 591-4410,County:City of Toronto,Electoral District:10</t>
  </si>
  <si>
    <t>St Joseph's Health Centre,Toronto:Toronto
St Michael's Hospital:Toronto</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</si>
  <si>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t>
  </si>
  <si>
    <t>Dr. Crystal Pinto Medicine Professional Corporation</t>
  </si>
  <si>
    <t>Issued Date:  Jul 17 2017</t>
  </si>
  <si>
    <t>Dr. C. Pinto (CPSO# 93168)</t>
  </si>
  <si>
    <t>St. Joseph's Health Centre,Outpatient Mental Health,5 Morrow/5 Glendale Wing,30 The Queensway,Toronto ON  M6R 1B5,(416) 530-6591
Inner City Health Associates,Inner City Health Associates,59 Adelaide Street East,2nd Floor,Toronto ON  M5C 1K6,(416) 591-4410</t>
  </si>
  <si>
    <t>55771</t>
  </si>
  <si>
    <t xml:space="preserve">Active Member as of 13 Aug 1987 </t>
  </si>
  <si>
    <t xml:space="preserve">Independent Practice as of 13 Aug 1987 </t>
  </si>
  <si>
    <t>Suite 201,489 College Street,Toronto ON  M6G 1A5</t>
  </si>
  <si>
    <t>(416) 929-1816 Ext. 124</t>
  </si>
  <si>
    <t>Psychiatry||Effective: 08 Nov 1996||RCPSC Specialist</t>
  </si>
  <si>
    <t>University of Toronto, 17 Jun 1985  to 16 Jun 1986|Other - Comprehensive Internship
University of Toronto, 01 Jul 1986  to 30 Jun 1987|Resident 2 - Internal Medicine
University of Toronto, 01 Jul 1992  to 30 Jun 1993|Resident 1 - Psychiatry
University of Toronto, 01 Jan 1994  to 30 Jun 1994|Resident 2 - Psychiatry
University of Toronto, 01 Jul 1994  to 31 Dec 1994|Resident 2 - Psychiatry
University of Toronto, 01 Jan 1995  to 30 Jun 1995|Resident 3 - Psychiatry
University of Toronto, 01 Jul 1995  to 30 Jun 1996|Resident 4 - Psychiatry
University of Toronto, 01 Jul 1996  to 30 Sep 1996|Resident 4 - Psychiatry</t>
  </si>
  <si>
    <t>First certificate of registration issued: Postgraduate Education Certificate||Effective:   17 Jun 1985
Expired: Terms and conditions of certificate of registration||Expiry:      30 Jun 1987
Subsequent certificate of registration Issued: Independent Practice Certificate||Effective:   13 Aug 1987</t>
  </si>
  <si>
    <t>Cynthia Lazar Medicine Professional Corporation</t>
  </si>
  <si>
    <t>Dr. C. Lazar (CPSO# 55771)</t>
  </si>
  <si>
    <t>Suite 201,489 College Street,Toronto ON  M6G 1A5,(416) 929-1816</t>
  </si>
  <si>
    <t>60672</t>
  </si>
  <si>
    <t xml:space="preserve">Independent Practice as of 13 Mar 1992 </t>
  </si>
  <si>
    <t>17 King Street East,Suite 206,Dundas ON  L9H 1B7</t>
  </si>
  <si>
    <t>(905) 627-8767</t>
  </si>
  <si>
    <t>(905) 627-5573</t>
  </si>
  <si>
    <t>First certificate of registration issued: Postgraduate Education Certificate||Effective:   01 Jul 1989
Transfer of class of registration to: Independent Practice Certificate||Effective:   13 Mar 1992</t>
  </si>
  <si>
    <t>53705</t>
  </si>
  <si>
    <t xml:space="preserve">Active Member as of 16 Jan 1984 </t>
  </si>
  <si>
    <t xml:space="preserve">Independent Practice as of 16 Jan 1984 </t>
  </si>
  <si>
    <t>University of Alberta, 1978</t>
  </si>
  <si>
    <t>59A Bedford Park Avenue,Toronto ON  M5M1H8</t>
  </si>
  <si>
    <t>(416)792-4599</t>
  </si>
  <si>
    <t>(416)792-4453</t>
  </si>
  <si>
    <t>Psychiatry||Effective: 25 Nov 1983||RCPSC Specialist</t>
  </si>
  <si>
    <t>First certificate of registration issued: Independent Practice Certificate||Effective:   16 Jan 1984</t>
  </si>
  <si>
    <t>26014</t>
  </si>
  <si>
    <t xml:space="preserve">Active Member as of 08 Aug 1973 </t>
  </si>
  <si>
    <t xml:space="preserve">Independent Practice as of 08 Aug 1973 </t>
  </si>
  <si>
    <t>University of Ottawa, 1968</t>
  </si>
  <si>
    <t>1100 Sheppard Avenue East,Suite 305,Willowdale ON  M2K 2W1</t>
  </si>
  <si>
    <t>(416) 223-4802</t>
  </si>
  <si>
    <t>(416) 223-0427</t>
  </si>
  <si>
    <t>Psychiatry||Effective: 15 Nov 1977||RCPSC Specialist</t>
  </si>
  <si>
    <t>First certificate of registration issued: Independent Practice Certificate||Effective:   08 Aug 1973</t>
  </si>
  <si>
    <t>96154</t>
  </si>
  <si>
    <t xml:space="preserve">Active Member as of 07 Jan 2016 </t>
  </si>
  <si>
    <t xml:space="preserve">Independent Practice as of 07 Jan 2016 </t>
  </si>
  <si>
    <t>Ross University, 2009</t>
  </si>
  <si>
    <t>Trillium Health Partners,Child and Adolescent Mental Health,2200 Eglinton Avenue West,Mississauga ON  L5M 2N1</t>
  </si>
  <si>
    <t>416 813 4421</t>
  </si>
  <si>
    <t>416 813 1594</t>
  </si>
  <si>
    <t>Hospital For Sick Children:Toronto
Trillium Health Partners,The Credit Valley Hospital:Mississauga</t>
  </si>
  <si>
    <t>University of Toronto, 01 Jul 2011  to 15 Dec 2011|Assessment Verification Period - Psychiatry
University of Toronto, 16 Dec 2011  to 09 Sep 2012|PostGrad Yr 2 - Psychiatry
University of Toronto, 10 Sep 2012  to 30 Jun 2013|PostGrad Yr 3 - Psychiatry
University of Toronto, 01 Jul 2013  to 09 Sep 2013|PostGrad Yr 3 - Psychiatry
University of Toronto, 10 Sep 2013  to 30 Jun 2014|PostGrad Yr 4 - Psychiatry
University of Toronto, 01 Jul 2014  to 02 Sep 2014|PostGrad Yr 4 - Psychiatry
University of Toronto, 03 Sep 2014  to 30 Jun 2015|PostGrad Yr 5 - Psychiatry
McMaster University, 01 Jul 2015  to 31 Dec 2015|PostGrad Yr 6 - Psychiatry</t>
  </si>
  <si>
    <t>First certificate of registration issued: Pre Entry Assessment Program Certificate||Effective:   01 Jul 2011
Transfer of class of registration to: Postgraduate Education Certificate||Effective:   16 Dec 2011
Expired: Terms and conditions of certificate of registration||Expiry:      31 Dec 2015
Subsequent certificate of registration Issued: Independent Practice Certificate||Effective:   07 Jan 2016</t>
  </si>
  <si>
    <t>89326</t>
  </si>
  <si>
    <t xml:space="preserve">Active Member as of 07 Jul 2014 </t>
  </si>
  <si>
    <t xml:space="preserve">Independent Practice as of 07 Jul 2014 </t>
  </si>
  <si>
    <t>Kumaranayake, Daina Debly (used until: 25 Mar 2013 )</t>
  </si>
  <si>
    <t>McMaster University, 2008</t>
  </si>
  <si>
    <t>Bellview House,1006 Plains Rd East,Hamilton ON  L7T4K2</t>
  </si>
  <si>
    <t>289-288-1355</t>
  </si>
  <si>
    <t>St Joseph's Healthcare Hamilton,50 Charlton Ave East,Hamilton ON  L8N 4A6,Canada,Phone:289-288-1355,County:Regional Municipality of Hamilton-Wentworth,Electoral District:04</t>
  </si>
  <si>
    <t>Hamilton Health Sciences,General Site:Hamilton
St Joseph's Centre for Mountain Health Services:Hamilton
St Joseph's Healthcare System,Hamilton:Hamilton</t>
  </si>
  <si>
    <t>McMaster University, 01 Jul 2008  to 30 Jun 2009|PostGrad Yr 1 - Psychiatry
McMaster University, 01 Jul 2009  to 30 Jun 2010|PostGrad Yr 2 - Psychiatry
McMaster University, 01 Jul 2010  to 30 Jun 2011|PostGrad Yr 3 - Psychiatry
McMaster University, 01 Jul 2011  to 30 Jun 2012|PostGrad Yr 4 - Psychiatry
McMaster University, 01 Jul 2012  to 30 Jun 2013|PostGrad Yr 4 - Psychiatry
McMaster University, 01 Jul 2013  to 30 Jun 2014|PostGrad Yr 5 - Psychiatry</t>
  </si>
  <si>
    <t>First certificate of registration issued: Postgraduate Education Certificate||Effective:   01 Jul 2008
Expired: Terms and conditions of certificate of registration||Expiry:      30 Jun 2014
Subsequent certificate of registration Issued: Independent Practice Certificate||Effective:   07 Jul 2014</t>
  </si>
  <si>
    <t>D.L. Debly Medicine Professional Corporation</t>
  </si>
  <si>
    <t>Issued Date:  Jan 18 2016</t>
  </si>
  <si>
    <t>Dr. D. Debly (CPSO# 89326)</t>
  </si>
  <si>
    <t>St Josephs Healthcare,Fontbonne Building 4th Floor,50 Charlton Avenue East,Suite 413,Hamilton ON  L8N 4A6,(905) 522-1155
1006 Plains Road East,1006 Plains Road East,Burlington ON  L7T 4K2</t>
  </si>
  <si>
    <t>23934</t>
  </si>
  <si>
    <t>The University of Western Ontario, 1966</t>
  </si>
  <si>
    <t>42 Camden Street #802,Toronto ON  M5V 1V1</t>
  </si>
  <si>
    <t>(647) 293-0702</t>
  </si>
  <si>
    <t>(647) 345-0718</t>
  </si>
  <si>
    <t>Psychiatry||Effective: 01 Jan 1971||RCPSC Specialist</t>
  </si>
  <si>
    <t>First certificate of registration issued: Postgraduate Education Certificate||Effective:   01 Jul 1966
Expired: Terms and conditions of certificate of registration||Expiry:      30 Jun 1967
Subsequent certificate of registration Issued: Postgraduate Education Certificate||Effective:   30 Oct 1968
Expired: Terms and conditions of certificate of registration||Expiry:      30 Jun 1970
Subsequent certificate of registration Issued: Independent Practice Certificate||Effective:   27 Jul 1971</t>
  </si>
  <si>
    <t>79240</t>
  </si>
  <si>
    <t>University of Saskatchewan, 2003</t>
  </si>
  <si>
    <t>Providence Care Hospital,Seniors Mental Health,752 King Street West,Kingston ON  K7L 4X3</t>
  </si>
  <si>
    <t>(613) 544-4900 Ext. 53522</t>
  </si>
  <si>
    <t>(613) 771-0916</t>
  </si>
  <si>
    <t>Kingston Health Sciences Centre:Kingston
Providence Care Hospital:Kingston
Quinte Healthcare,Belleville General Site:Belleville</t>
  </si>
  <si>
    <t>Queen's University, 01 Jul 2003  to 30 Jun 2004|PostGrad Yr 1 - Psychiatry
Queen's University, 01 Jul 2004  to 30 Jun 2005|PostGrad Yr 2 - Psychiatry
Queen's University, 01 Jul 2005  to 30 Jun 2006|PostGrad Yr 3 - Psychiatry
Queen's University, 01 Jul 2006  to 30 Jun 2007|PostGrad Yr 4 - Psychiatry
Queen's University, 01 Jul 2007  to 30 Jun 2008|PostGrad Yr 5 - Psychiatry
University of Toronto, 01 Jul 2008  to 30 Jun 2009|Clinical Fellow - Psychiatry
University of Toronto, 01 Jul 2009  to 30 Jun 2010|Clinical Fellow - Psychiatry</t>
  </si>
  <si>
    <t>102135</t>
  </si>
  <si>
    <t xml:space="preserve">Active Member as of 23 Sep 2013 </t>
  </si>
  <si>
    <t xml:space="preserve">Restricted as of 23 Sep 2013 </t>
  </si>
  <si>
    <t>University of Dublin Trinity College, 1998</t>
  </si>
  <si>
    <t>Sunnybrook Health Sciences Centre,2075 Bayview Ave, FG41,Toronto ON  M4N 3M5</t>
  </si>
  <si>
    <t>(416) 480-6818</t>
  </si>
  <si>
    <t>Psychiatry||Effective: 17 May 2017||RCPSC Specialist</t>
  </si>
  <si>
    <t>First certificate of registration issued: Restricted certificate||Effective:   23 Sep 2013
Terms and conditions imposed on certificate by Registration Committee||Effective:   23 Sep 2013
Expiry date attached to certificate of registration.||Expiry Date: 19 Sep 2018
Expiry date attached to certificate of registration.||Expiry Date: 22 Sep 2020</t>
  </si>
  <si>
    <t>Dr. Damien Gallagher Medicine Professional Corporation</t>
  </si>
  <si>
    <t>Issued Date:  Nov 02 2015</t>
  </si>
  <si>
    <t>Dr. D. Gallagher (CPSO# 102135)</t>
  </si>
  <si>
    <t>Sunnybrook Health Sciences Centre,Department of Psychiatry,F Wing Ground Floor-FG41,2075 Bayview Avenue,Toronto ON  M4N 3M5,(416) 480-4098</t>
  </si>
  <si>
    <t>94014</t>
  </si>
  <si>
    <t>University of Calgary, 2010</t>
  </si>
  <si>
    <t>Womens College Hospital,76 Grenville Street,Toronto ON  M5S 1B1</t>
  </si>
  <si>
    <t>(416) 323-6400</t>
  </si>
  <si>
    <t>Queen's University,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t>
  </si>
  <si>
    <t>81597</t>
  </si>
  <si>
    <t>University of Medicine and Pharmacy, 1997</t>
  </si>
  <si>
    <t>Belleville General Hospital,Department of Psychiatry,265 Dundas St. E,Belleville ON  K8N 5A9</t>
  </si>
  <si>
    <t>(613) 969-7400 Ext. 2030</t>
  </si>
  <si>
    <t>83627</t>
  </si>
  <si>
    <t xml:space="preserve">Active Member as of 12 Aug 2005 </t>
  </si>
  <si>
    <t xml:space="preserve">Independent Practice as of 12 Aug 2005 </t>
  </si>
  <si>
    <t>University of Toronto, 1998</t>
  </si>
  <si>
    <t>Hospital for Sick Children,Department of Psychiatry,Burton Wing, 1st Floor, Room 1146,555 University Avenue,Toronto ON  M5G 1X8</t>
  </si>
  <si>
    <t>Hospital For Sick Children:Toronto
Sault Area Hospital:Sault Ste Marie</t>
  </si>
  <si>
    <t>Psychiatry||Effective: 05 Jun 2003||RCPSC Specialist
Child and Adolescent Psychiatry||Effective: 26 Sep 2013||RCPSC Specialist</t>
  </si>
  <si>
    <t>First certificate of registration issued: Independent Practice Certificate||Effective:   12 Aug 2005</t>
  </si>
  <si>
    <t>31784</t>
  </si>
  <si>
    <t xml:space="preserve">Active Member as of 01 Jun 1976 </t>
  </si>
  <si>
    <t xml:space="preserve">Independent Practice as of 04 Jul 1980 </t>
  </si>
  <si>
    <t>McMaster University, 1976</t>
  </si>
  <si>
    <t>Psychiatry||Effective: 21 Nov 1979||RCPSC Specialist</t>
  </si>
  <si>
    <t>First certificate of registration issued: Postgraduate Education Certificate||Effective:   01 Jun 1976
Transfer of class of registration to: Hospital Practice Certificate||Effective:   01 Jul 1979
Transfer of class of registration to: Independent Practice Certificate||Effective:   04 Jul 1980</t>
  </si>
  <si>
    <t>82795</t>
  </si>
  <si>
    <t xml:space="preserve">Active Member as of 04 Jun 2005 </t>
  </si>
  <si>
    <t xml:space="preserve">Independent Practice as of 04 Jun 2005 </t>
  </si>
  <si>
    <t>English, Ibo, Yoruba</t>
  </si>
  <si>
    <t>University of Lagos, 1984</t>
  </si>
  <si>
    <t>Psychiatry||Effective: 29 Apr 2005||RCPSC Specialist</t>
  </si>
  <si>
    <t>First certificate of registration issued: Independent Practice Certificate||Effective:   04 Jun 2005</t>
  </si>
  <si>
    <t>83255</t>
  </si>
  <si>
    <t>University of Montreal, 2005</t>
  </si>
  <si>
    <t>Suite 105,262 Oxford St. East,London ON  N6A 1T8</t>
  </si>
  <si>
    <t>888-495-5898</t>
  </si>
  <si>
    <t>855-745-5878</t>
  </si>
  <si>
    <t>London Health Sciences Centre Victoria Hospital:London
St Joseph's Health Care,London - Parkwood Hospital:London</t>
  </si>
  <si>
    <t>The University of Western Ontario, 01 Jul 2005  to 30 Jun 2006|PostGrad Yr 1 - Psychiatry
The University of Western Ontario, 01 Jul 2006  to 30 Jun 2007|PostGrad Yr 2 - Psychiatry
The University of Western Ontario, 01 Jul 2007  to 30 Jun 2008|PostGrad Yr 3 - Psychiatry
The University of Western Ontario, 01 Jul 2008  to 30 Jun 2009|PostGrad Yr 4 - Psychiatry
The University of Western Ontario, 01 Jul 2009  to 30 Jun 2010|PostGrad Yr 5 - Psychiatry</t>
  </si>
  <si>
    <t>Hertzman Medicine Professional Corporation</t>
  </si>
  <si>
    <t>Issued Date:  Feb 26 2015</t>
  </si>
  <si>
    <t>Dr. D. Hertzman (CPSO# 83255),Dr. N. Hertzman (CPSO# 86545)</t>
  </si>
  <si>
    <t>485 Windermere Road,London ON  N5X 2T1
London Health Sciences Centre,London Health Sciences Centre,Victoria Hospital,Department of Psychiatry,800 Commissioners Road East,London ON  N6A 5W9,(519) 685-8500
Palliative Care Unit,Palliative Care Unit,550 Wellington Road,London ON  N6C 0A7,(226) 400-3876</t>
  </si>
  <si>
    <t>56768</t>
  </si>
  <si>
    <t xml:space="preserve">Independent Practice as of 15 Jul 1987 </t>
  </si>
  <si>
    <t>Centre for Addiction and,Mental Health,College Site Room 1120,250 College Street,Toronto ON  M5T 1R8</t>
  </si>
  <si>
    <t>(416) 979-6896</t>
  </si>
  <si>
    <t>(416) 979-6815</t>
  </si>
  <si>
    <t>University of Toronto, 16 Jun 1986  to 15 Jun 1987|Other - Internal Medicine
University of Toronto, 01 Jul 1987  to 30 Jun 1988|Resident 1 - Psychiatry
University of Toronto, 01 Jul 1988  to 30 Jun 1989|Resident 2 - Psychiatry
University of Toronto, 01 Jul 1989  to 30 Jun 1990|Resident 3 - Psychiatry
University of Toronto, 01 Jul 1990  to 30 Jun 1991|Resident 4 - Psychiatry
University of Toronto, 01 Jul 1991  to 30 Jun 1992|Research Fellows - Psychiatry
University of Toronto, 01 Jul 1992  to 30 Jun 1993|Clinical Fellow - Psychiatry</t>
  </si>
  <si>
    <t>First certificate of registration issued: Postgraduate Education Certificate||Effective:   16 Jun 1986
Transfer of class of registration to: Independent Practice Certificate||Effective:   15 Jul 1987</t>
  </si>
  <si>
    <t>32922</t>
  </si>
  <si>
    <t xml:space="preserve">Active Member as of 15 Oct 1981 </t>
  </si>
  <si>
    <t xml:space="preserve">Independent Practice as of 15 Oct 1981 </t>
  </si>
  <si>
    <t>Irish Conjoint Board, 1979</t>
  </si>
  <si>
    <t>London Health Sciences Centre,Victoria Hospital,800 Commissioners Rd,London ON  N6A 5W9</t>
  </si>
  <si>
    <t>(519) 667-6868</t>
  </si>
  <si>
    <t>(519) 667-6836</t>
  </si>
  <si>
    <t>London Health Sciences Centre Victoria Hospital:London
London Health Sciences Centre,University Site:London</t>
  </si>
  <si>
    <t>First certificate of registration issued: Postgraduate Education Certificate||Effective:   15 Jun 1979
Transfer of class of registration to: Independent Practice Certificate||Effective:   15 Oct 1981</t>
  </si>
  <si>
    <t>86676</t>
  </si>
  <si>
    <t>University of Toronto, 2007</t>
  </si>
  <si>
    <t>The Ottawa Hospital Civic Campus,Department of Psychiatry,1053 Carling Avenue,Ottawa ON  K1Y 4E9</t>
  </si>
  <si>
    <t>(613) 761-4581</t>
  </si>
  <si>
    <t>(613) 761-4911</t>
  </si>
  <si>
    <t>University of Ottawa, 01 Jul 2007  to 30 Jun 2008|PostGrad Yr 1 - Psychiatry
University of Ottawa, 01 Jul 2008  to 30 Jun 2009|PostGrad Yr 2 - Psychiatry
University of Ottawa, 01 Jul 2009  to 30 Jun 2010|PostGrad Yr 3 - Psychiatry
University of Ottawa, 01 Jul 2010  to 30 Jun 2011|PostGrad Yr 4 - Psychiatry
University of Ottawa, 01 Jul 2011  to 30 Jun 2012|PostGrad Yr 5 - Psychiatry</t>
  </si>
  <si>
    <t>First certificate of registration issued: Postgraduate Education Certificate||Effective:   01 Jul 2007
Expired: Terms and conditions of certificate of registration||Expiry:      30 Jun 2012
Subsequent certificate of registration Issued: Independent Practice Certificate||Effective:   01 Aug 2012</t>
  </si>
  <si>
    <t>Dr. Daniel Saul Medicine Professional Corporation</t>
  </si>
  <si>
    <t>Issued Date:  May 06 2013</t>
  </si>
  <si>
    <t>Dr. D. Saul (CPSO# 86676)</t>
  </si>
  <si>
    <t>The Ottawa Hospital Civic Campus,A6 Psychiatry,1053 Carling Avenue,Ottawa ON  K1Y 4E9,(613) 761-4581</t>
  </si>
  <si>
    <t>88174</t>
  </si>
  <si>
    <t xml:space="preserve">Active Member as of 18 Mar 2008 </t>
  </si>
  <si>
    <t xml:space="preserve">Restricted as of 18 Mar 2008 </t>
  </si>
  <si>
    <t>English, French, German, Italian</t>
  </si>
  <si>
    <t>Rhenish Frederick William Univ of Bonn, 1996</t>
  </si>
  <si>
    <t>C A M H,Neurogenetics Section,250 College Street Rm R132,Toronto ON  M5T 1R8</t>
  </si>
  <si>
    <t>(416) 535-8501 Ext. 36851</t>
  </si>
  <si>
    <t>(416) 979-4666</t>
  </si>
  <si>
    <t>Psychiatry||Effective: 18 Mar 2008||CPSO Recognized Specialist</t>
  </si>
  <si>
    <t>First certificate of registration issued: Restricted certificate||Effective:   18 Mar 2008
Terms and conditions imposed on certificate by Registration Committee||Effective:   18 Mar 2008
Expiry date attached to certificate of registration.||Expiry Date: 30 Mar 2011
Terms and conditions amended by Registration Committee||Effective:   01 Jul 2011
Expiry date removed from certificate of registration.||Effective:   17 Mar 2013</t>
  </si>
  <si>
    <t>60080</t>
  </si>
  <si>
    <t xml:space="preserve">Independent Practice as of 13 Apr 1989 </t>
  </si>
  <si>
    <t>27 Warrington Drive,Ottawa ON  K1S 3C7</t>
  </si>
  <si>
    <t>(613) 737-2155</t>
  </si>
  <si>
    <t>(613) 737-4199</t>
  </si>
  <si>
    <t>383 Parkdale Avenue,Suite 105,Ottawa ON  K1Y 4R4,Canada,Phone:613-737-2155,Fax:613-737-4199,County:Regional Municipality of Ottawa-Carleton,Electoral District:07</t>
  </si>
  <si>
    <t>University of Ottawa, 01 Oct 1990  to 30 Jun 1991|Clinical Fellow - Psychiatry</t>
  </si>
  <si>
    <t>First certificate of registration issued: Postgraduate Education Certificate||Effective:   01 Jul 1988
Transfer of class of registration to: Independent Practice Certificate||Effective:   13 Apr 1989</t>
  </si>
  <si>
    <t>96418</t>
  </si>
  <si>
    <t xml:space="preserve">Independent Practice as of 30 Apr 2018 </t>
  </si>
  <si>
    <t>The University of Western Ontario, 2011</t>
  </si>
  <si>
    <t>The University of Western Ontario, 01 Jul 2011  to 30 Jun 2012|PostGrad Yr 1 - Radiation Oncology
The University of Western Ontario, 01 Jul 2012  to 30 Jun 2013|PostGrad Yr 2 - Radiation Oncology</t>
  </si>
  <si>
    <t>First certificate of registration issued: Postgraduate Education Certificate||Effective:   01 Jul 2011
Expired: Terms and conditions of certificate of registration||Expiry:      30 Jun 2013
Subsequent certificate of registration Issued: Independent Practice Certificate||Effective:   30 Apr 2018</t>
  </si>
  <si>
    <t>79390</t>
  </si>
  <si>
    <t>CAMH,Temerty Centre,Unit 4, Room 115,1001 Queen Street W.,Toronto ON  M6J 1H4</t>
  </si>
  <si>
    <t>(416) 535-8501 Ext. 33662</t>
  </si>
  <si>
    <t>(416) 583-4613</t>
  </si>
  <si>
    <t>University of Toronto, 01 Jul 2003  to 30 Jun 2004|PostGrad Yr 1 - Psychiatry
University of Toronto, 01 Jul 2004  to 30 Jun 2005|PostGrad Yr 2 - Psychiatry
University of Toronto, 01 Jul 2005  to 30 Jun 2006|PostGrad Yr 3 - Psychiatry
University of Toronto, 01 Jul 2006  to 30 Jun 2007|PostGrad Yr 4 - Psychiatry
University of Toronto, 01 Jul 2007  to 30 Jun 2008|PostGrad Yr 5 - Psychiatry
University of Toronto, 01 Jul 2008  to 30 Jun 2009|Clinical Fellow - Psychiatry
University of Toronto, 01 Jul 2009  to 30 Jun 2010|Clinical Fellow - Psychiatry
University of Toronto, 01 Jul 2010  to 30 Jun 2011|Clinical Fellow - Psychiatry</t>
  </si>
  <si>
    <t>Dr. Daniel Blumberger Medicine Professional Corporation</t>
  </si>
  <si>
    <t>Issued Date:  Jan 26 2017</t>
  </si>
  <si>
    <t>Dr. D. Blumberger (CPSO# 79390)</t>
  </si>
  <si>
    <t>CAMH,Temerty Centre,1001 Queen Street West,Unit 4, Room 115,Toronto ON  M6J 1H4,(416) 535-8501</t>
  </si>
  <si>
    <t>25519</t>
  </si>
  <si>
    <t xml:space="preserve">Active Member as of 09 Apr 1973 </t>
  </si>
  <si>
    <t xml:space="preserve">Independent Practice as of 09 Apr 1973 </t>
  </si>
  <si>
    <t>McGill University, 1964</t>
  </si>
  <si>
    <t>3 Ridgewood Road,Toronto ON  M5P 1T4</t>
  </si>
  <si>
    <t>(416) 586-4800 Ext. 5347</t>
  </si>
  <si>
    <t>Mount Sinai Hospital,Department of Psychiatry,600 University Avenue,Toronto ON  M5G 1X5,Canada,Phone:(416) 586-4800 Ext. 5347,Fax:(416) 586-8654,County:City of Toronto,Electoral District:10</t>
  </si>
  <si>
    <t>Psychiatry||Effective: 01 Jan 1969||RCPSC Specialist</t>
  </si>
  <si>
    <t>First certificate of registration issued: Independent Practice Certificate||Effective:   09 Apr 1973</t>
  </si>
  <si>
    <t>Daniel Silver Medicine Professional Corporation</t>
  </si>
  <si>
    <t>Issued Date:  Dec 06 2012</t>
  </si>
  <si>
    <t>Dr. D. Silver (CPSO# 25519)</t>
  </si>
  <si>
    <t>Suite 936,600 University Avenue,Toronto ON  M5G 1X5,(416) 586-4800
3 Ridgewood Road,3 Ridgewood Road,Toronto ON  M5P 1T4,(416) 488-4556</t>
  </si>
  <si>
    <t>24826</t>
  </si>
  <si>
    <t xml:space="preserve">Active Member as of 12 Jul 1972 </t>
  </si>
  <si>
    <t xml:space="preserve">Independent Practice as of 12 Jul 1972 </t>
  </si>
  <si>
    <t>University of Buenos Aires, 1969</t>
  </si>
  <si>
    <t>43 Oriole Gardens,Toronto ON  M4V 1V9</t>
  </si>
  <si>
    <t>(416) 920-3585</t>
  </si>
  <si>
    <t>First certificate of registration issued: Independent Practice Certificate||Effective:   12 Jul 1972</t>
  </si>
  <si>
    <t>Dr. Daniel Traub-Werner Medicine Professional Corporation</t>
  </si>
  <si>
    <t>Issued Date:  Oct 30 2009</t>
  </si>
  <si>
    <t>Dr. D. Traub-Werner (CPSO# 24826)</t>
  </si>
  <si>
    <t>43 Oriole Gardens,Toronto ON  M4V 1V9,(416) 920-3585</t>
  </si>
  <si>
    <t>74816</t>
  </si>
  <si>
    <t xml:space="preserve">Independent Practice as of 15 Jul 2005 </t>
  </si>
  <si>
    <t>(905) 668-5881 Ext. 6290</t>
  </si>
  <si>
    <t>University of Toronto, 01 Jul 2000  to 30 Jun 2001|PostGrad Yr 1 - Psychiatry
University of Toronto, 01 Jul 2001  to 30 Jun 2002|PostGrad Yr 2 - Psychiatry
University of Toronto, 01 Jul 2002  to 30 Jun 2003|PostGrad Yr 3 - Psychiatry
University of Toronto, 01 Jul 2003  to 30 Jun 2004|PostGrad Yr 4 - Psychiatry
University of Toronto, 01 Jul 2004  to 30 Jun 2005|PostGrad Yr 5 - Psychiatry
University of Toronto, 01 Jul 2005  to 30 Jun 2006|Clinical Fellow - Psychiatry
University of Toronto, 01 Jul 2006  to 30 Jun 2007|Clinical Fellow - Psychiatry</t>
  </si>
  <si>
    <t>First certificate of registration issued: Postgraduate Education Certificate||Effective:   01 Jul 2000
Transfer of class of registration to: Independent Practice Certificate||Effective:   15 Jul 2005</t>
  </si>
  <si>
    <t>88356</t>
  </si>
  <si>
    <t xml:space="preserve">Active Member as of 04 Sep 2015 </t>
  </si>
  <si>
    <t xml:space="preserve">Independent Practice as of 04 Sep 2015 </t>
  </si>
  <si>
    <t>Faculdade De Ciencias Medicas Da Sta: Ca, 1998</t>
  </si>
  <si>
    <t>C A M H,Room 321,60 White Squirrel Way,Toronto ON  M6J 1H4</t>
  </si>
  <si>
    <t>(416) 535-8501 Ext. 33932</t>
  </si>
  <si>
    <t>416-599-1324</t>
  </si>
  <si>
    <t>Psychiatry||Effective: 12 May 2015||RCPSC Specialist</t>
  </si>
  <si>
    <t>University of Toronto, 01 Jul 2008  to 15 Sep 2008|PEAP - Clinical Fellow - Psychiatry
University of Toronto, 16 Sep 2008  to 30 Jun 2009|Clinical Fellow - Psychiatry</t>
  </si>
  <si>
    <t>First certificate of registration issued: Pre Entry Assessment Program Certificate||Effective:   01 Jul 2008
Transfer of class of registration to: Postgraduate Education Certificate||Effective:   16 Sep 2008
Expired: Terms and conditions of certificate of registration||Expiry:      30 Jun 2009
Subsequent certificate of registration issued: Restricted certificate||Effective:   29 Jul 2009
Terms and conditions amended by Registration Committee||Effective:   12 May 2014
Expired: Terms and conditions imposed on certificate by Registration Committee||Effective:   04 Sep 2015
Subsequent certificate of registration Issued: Independent Practice Certificate||Effective:   04 Sep 2015</t>
  </si>
  <si>
    <t>93872</t>
  </si>
  <si>
    <t xml:space="preserve">Active Member as of 30 Sep 2015 </t>
  </si>
  <si>
    <t xml:space="preserve">Independent Practice as of 30 Sep 2015 </t>
  </si>
  <si>
    <t>McGill University, 2010</t>
  </si>
  <si>
    <t>840 McConnell,Cornwall ON  K6H 5S5</t>
  </si>
  <si>
    <t>(613) 938-4242 Ext. 4274</t>
  </si>
  <si>
    <t>Cornwall Community Hospital:Cornwall</t>
  </si>
  <si>
    <t>Psychiatry||Effective: 30 Sep 2015||RCPSC Specialist</t>
  </si>
  <si>
    <t>McMaster University, 01 Jul 2010  to 30 Jun 2011|PostGrad Yr 1 - Family Medicine
Queen's University, 01 Jul 2011  to 22 Sep 2011|PostGrad Yr 1 - Psychiatry
Queen's University, 23 Sep 2011  to 22 Sep 2012|PostGrad Yr 2 - Psychiatry
Queen's University, 23 Sep 2012  to 30 Jun 2013|PostGrad Yr 3 - Psychiatry
Queen's University, 01 Jul 2013  to 22 Sep 2013|PostGrad Yr 3 - Psychiatry
Queen's University, 23 Sep 2013  to 30 Jun 2014|PostGrad Yr 4 - Psychiatry
Queen's University, 01 Jul 2014  to 22 Sep 2014|PostGrad Yr 4 - Psychiatry
Queen's University, 23 Sep 2014  to 30 Jun 2015|PostGrad Yr 5 - Psychiatry
Queen's University, 01 Jul 2015  to 22 Sep 2015|PostGrad Yr 5 - Psychiatry</t>
  </si>
  <si>
    <t>First certificate of registration issued: Postgraduate Education Certificate||Effective:   01 Jul 2010
Expired: Terms and conditions of certificate of registration||Expiry:      22 Sep 2015
Subsequent certificate of registration Issued: Independent Practice Certificate||Effective:   30 Sep 2015</t>
  </si>
  <si>
    <t>Daniela Volochniouk Medicine Professional Corporation</t>
  </si>
  <si>
    <t>Issued Date:  Sep 30 2015</t>
  </si>
  <si>
    <t>Dr. D. Volochniouk (CPSO# 93872)</t>
  </si>
  <si>
    <t>4th Floor,840 McConnell Avenue,Cornwall ON  K6H 5S5</t>
  </si>
  <si>
    <t>54450</t>
  </si>
  <si>
    <t xml:space="preserve">Independent Practice as of 14 May 1986 </t>
  </si>
  <si>
    <t>McGill University, 1983</t>
  </si>
  <si>
    <t>214 College Street,Toronto ON  M5T 2Z9</t>
  </si>
  <si>
    <t>First certificate of registration issued: Postgraduate Education Certificate||Effective:   01 Jul 1984
Transfer of class of registration to: Independent Practice Certificate||Effective:   14 May 1986</t>
  </si>
  <si>
    <t>Danielle A. Thomas Medicine Professional Corporation</t>
  </si>
  <si>
    <t>Issued Date:  Jul 30 2009</t>
  </si>
  <si>
    <t>Dr. D. Thomas (CPSO# 54450)</t>
  </si>
  <si>
    <t>214 College Street,Main Floor,Toronto ON  M5T 2Z9,(416) 978-8030</t>
  </si>
  <si>
    <t>64221</t>
  </si>
  <si>
    <t xml:space="preserve">Active Member as of 01 Jul 1991 </t>
  </si>
  <si>
    <t xml:space="preserve">Independent Practice as of 06 Jul 1992 </t>
  </si>
  <si>
    <t>Laval University, 1987</t>
  </si>
  <si>
    <t>CAMH-MAAS,Bell Gateway Building,100 Strokes Street,4th Floor,Toronto ON  M6J 1H4</t>
  </si>
  <si>
    <t>(416) 535-8501 Ext. 36316</t>
  </si>
  <si>
    <t>Psychiatry||Effective: 25 May 1992||RCPSC Specialist</t>
  </si>
  <si>
    <t>University of Toronto, 01 Jul 1992  to 30 Jun 1993|Clinical Fellow - Psychiatry</t>
  </si>
  <si>
    <t>First certificate of registration issued: Postgraduate Education Certificate||Effective:   01 Jul 1991
Transfer of class of registration to: Independent Practice Certificate||Effective:   06 Jul 1992</t>
  </si>
  <si>
    <t>74893</t>
  </si>
  <si>
    <t>555 University Avenue,Toronto ON  M5G 1X8</t>
  </si>
  <si>
    <t>(416) 813-8923</t>
  </si>
  <si>
    <t>Pediatrics||Effective: 30 Jun 2004||RCPSC Specialist
Psychiatry||Effective: 30 Jun 2006||RCPSC Specialist</t>
  </si>
  <si>
    <t>University of Toronto, 01 Jul 2000  to 30 Jun 2001|PostGrad Yr 1 - Pediatrics
University of Toronto, 01 Jul 2001  to 30 Jun 2002|PostGrad Yr 2 - Pediatrics
University of Toronto, 01 Jul 2002  to 30 Jun 2003|PostGrad Yr 3 - Pediatrics
University of Toronto, 01 Jul 2003  to 30 Jun 2004|PostGrad Yr 4 - Psychiatry
University of Toronto, 01 Jul 2004  to 30 Jun 2005|PostGrad Yr 5 - Psychiatry
University of Toronto, 01 Jul 2005  to 30 Jun 2006|PostGrad Yr 5 - Psychiatry</t>
  </si>
  <si>
    <t>First certificate of registration issued: Postgraduate Education Certificate||Effective:   01 Jul 2000
Transfer of class of registration to: Independent Practice Certificate||Effective:   30 Jun 2004</t>
  </si>
  <si>
    <t>Daphne J. Korczak Medicine Professional Corporation</t>
  </si>
  <si>
    <t>Issued Date:  Dec 13 2017</t>
  </si>
  <si>
    <t>Dr. D. Korczak (CPSO# 74893)</t>
  </si>
  <si>
    <t>555 University Avenue,1145 Burton Wing,Toronto ON  M5G 1X8,(416) 813-7531</t>
  </si>
  <si>
    <t>91847</t>
  </si>
  <si>
    <t xml:space="preserve">Active Member as of 16 Jul 2009 </t>
  </si>
  <si>
    <t>University of Nottingham, 2009</t>
  </si>
  <si>
    <t>The Centre for Addiction and,Mental Health,Unit 4-1 Room 117,1001 Queen Street West,Toronto ON  M6J 1H4</t>
  </si>
  <si>
    <t>University of Toronto, 16 Jul 2009  to 07 Oct 2009|Assessment Verification Period - Psychiatry
University of Toronto, 08 Oct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Psychiatry
University of Toronto, 01 Jul 2014  to 30 Jun 2015|PostGrad Yr 5 - Psychiatry
University of Toronto, 01 Jul 2015  to 30 Jun 2016|Clinical Fellow - Psychiatry</t>
  </si>
  <si>
    <t>First certificate of registration issued: Pre Entry Assessment Program Certificate||Effective:   16 Jul 2009
Transfer of class of registration to: Postgraduate Education Certificate||Effective:   08 Oct 2009
Transfer of class of registration to: Independent Practice Certificate||Effective:   30 Jun 2014</t>
  </si>
  <si>
    <t>98742</t>
  </si>
  <si>
    <t>Credit Valley Hospital,2200 Eglinton Avenue West,Mississauga, ON,L5M 2N1,Mississauga ON  L5M 2N1</t>
  </si>
  <si>
    <t>(905) 813-2398</t>
  </si>
  <si>
    <t>(905) 813-4284</t>
  </si>
  <si>
    <t>79778</t>
  </si>
  <si>
    <t xml:space="preserve">Active Member as of 18 Jun 2012 </t>
  </si>
  <si>
    <t xml:space="preserve">Independent Practice as of 18 Jun 2012 </t>
  </si>
  <si>
    <t>Institute Medicine, Pharmacy, Bucharest, 1985</t>
  </si>
  <si>
    <t>Lakeridge Health Oshawa,1 Hospital Court,Oshawa ON  L1G 2B9</t>
  </si>
  <si>
    <t>(905) 576-8711 Ext. 4403</t>
  </si>
  <si>
    <t>(905) 721-4780</t>
  </si>
  <si>
    <t>Psychiatry||Effective: 02 May 2012||RCPSC Specialist</t>
  </si>
  <si>
    <t>University of Ottawa, 01 Jul 2003  to 30 Jun 2004|PostGrad Yr 1 - Psychiatry
University of Ottawa, 01 Jul 2004  to 30 Jun 2005|PostGrad Yr 2 - Psychiatry
University of Ottawa, 01 Jul 2005  to 30 Jun 2006|PostGrad Yr 3 - Psychiatry
University of Ottawa, 01 Jul 2006  to 30 Jun 2007|PostGrad Yr 4 - Psychiatry
University of Ottawa, 01 Jul 2007  to 30 Jun 2008|PostGrad Yr 5 - Psychiatry
University of Ottawa, 01 Jul 2008  to 18 Aug 2008|PostGrad Yr 5 - Psychiatry
University of Ottawa, 19 Aug 2008  to 30 Jun 2009|Clinical Fellow - Psychiatry
University of Ottawa, 01 Jul 2009  to 25 Sep 2009|Clinical Fellow - Psychiatry</t>
  </si>
  <si>
    <t>First certificate of registration issued: Postgraduate Education Certificate||Effective:   01 Jul 2003
Expired: Terms and conditions of certificate of registration||Expiry:      03 Nov 2008
Subsequent certificate of registration issued: Restricted certificate||Effective:   03 Nov 2008
Terms and conditions amended by Registration Committee||Effective:   24 Aug 2010
Expired: Terms and conditions imposed on certificate by Registration Committee||Effective:   02 Nov 2011
Subsequent certificate of registration Issued: Independent Practice Certificate||Effective:   18 Jun 2012</t>
  </si>
  <si>
    <t>81772</t>
  </si>
  <si>
    <t xml:space="preserve">Active Member as of 16 Aug 2005 </t>
  </si>
  <si>
    <t xml:space="preserve">Independent Practice as of 28 Jun 2006 </t>
  </si>
  <si>
    <t>National University of Ireland, 1996</t>
  </si>
  <si>
    <t>Oakville Trafalgar Memorial Hospita,Halton Healthcare,3001 Hospital Gate,Oakville ON  L6M 0L8</t>
  </si>
  <si>
    <t>(905) 845-2571</t>
  </si>
  <si>
    <t>Psychiatry||Effective: 28 Apr 2005||RCPSC Specialist</t>
  </si>
  <si>
    <t>McMaster University, 01 Aug 2004  to 27 Sep 2004|PEAP - Clinical Fellow - Psychiatry
McMaster University, 28 Sep 2004  to 30 Jun 2005|Clinical Fellow - Psychiatry
McMaster University, 01 Jul 2005  to 30 Jun 2006|Clinical Fellow - Psychiatry
McMaster University, 01 Jul 2006  to 31 Aug 2006|Clinical Fellow - Psychiatry</t>
  </si>
  <si>
    <t>First certificate of registration issued: Pre Entry Assessment Program Certificate||Effective:   01 Aug 2004
Transfer of class of registration to: Postgraduate Education Certificate||Effective:   28 Sep 2004
Transfer of class of registration to: Independent Practice Certificate||Effective:   28 Jun 2006</t>
  </si>
  <si>
    <t>F.M. de Souza Medicine Professional Corporation</t>
  </si>
  <si>
    <t>Inactive: Dec  3 2014</t>
  </si>
  <si>
    <t>Dr. Darina M. De Souza Medicine Professional Corporation</t>
  </si>
  <si>
    <t>Issued Date:  Sep 01 2015</t>
  </si>
  <si>
    <t>Dr. D. De Souza (CPSO# 81772)</t>
  </si>
  <si>
    <t>Oakville Trafalgar Memorial Hospital,Halton Health Care,3001 Hospital Gate,Oakville ON  L6M 0L8,(905) 845-2571</t>
  </si>
  <si>
    <t>81164</t>
  </si>
  <si>
    <t>Centre for Addiction &amp; Mental Hlth,Intergeneraltional Building,80 Workman Way,Toronto ON  M6J 1H4</t>
  </si>
  <si>
    <t>University of Ottawa, 01 Jul 2004  to 30 Jun 2005|PostGrad Yr 1 - Psychiatry
University of Ottawa, 01 Jul 2005  to 30 Jun 2006|PostGrad Yr 2 - Psychiatry
University of Ottawa, 01 Jul 2006  to 30 Jun 2007|PostGrad Yr 3 - Psychiatry
University of Ottawa, 01 Jul 2007  to 30 Jun 2008|PostGrad Yr 4 - Psychiatry
University of Ottawa, 01 Jul 2008  to 30 Jun 2009|PostGrad Yr 5 - Psychiatry
University of Ottawa, 01 Jul 2009  to 14 Aug 2009|Clinical Fellow - Psychiatry</t>
  </si>
  <si>
    <t>Dr. Darren Courtney Medicine Professional Corporation</t>
  </si>
  <si>
    <t>Issued Date:  Feb 09 2015</t>
  </si>
  <si>
    <t>Dr. D. Courtney (CPSO# 81164)</t>
  </si>
  <si>
    <t>Centre For Addiction &amp; Mental Health,Intergeneraltional Building,80 Workman Way,Toronto ON  M6J 1H4,(416) 535-8501</t>
  </si>
  <si>
    <t>76440</t>
  </si>
  <si>
    <t xml:space="preserve">Active Member as of 12 Mar 2008 </t>
  </si>
  <si>
    <t xml:space="preserve">Independent Practice as of 12 Mar 2008 </t>
  </si>
  <si>
    <t>Halton Healthcare,3001 Hospital Gate,Oakville ON  L6M 0L8</t>
  </si>
  <si>
    <t>(905) 845-2571 Ext. 4811</t>
  </si>
  <si>
    <t>Wellbeings Pain &amp; Dependency Clinic,185 Plains Road East, Units 1 and 2,Burlington ON  L7T 2C4,Canada,Phone:(905) 631-9355,Fax:(905) 631-1400,County:Regional Municipality of Halton,Electoral District:04
Horizons Opioid Treatment Service,118 Mill Street, Unit 101,Georgetown ON  L7G 2C5,Canada,Phone:(855) 742-9449,Fax:(855) 742-5300,County:Regional Municipality of Halton,Electoral District:04</t>
  </si>
  <si>
    <t>McMaster University, 01 Jul 2001  to 30 Jun 2002|PostGrad Yr 1 - Psychiatry
McMaster University, 01 Jul 2002  to 30 Jun 2003|PostGrad Yr 2 - Psychiatry
McMaster University, 01 Jul 2003  to 30 Jun 2004|PostGrad Yr 3 - Psychiatry
McMaster University, 01 Jul 2004  to 30 Jun 2005|PostGrad Yr 4 - Psychiatry
McMaster University, 01 Jul 2005  to 30 Jun 2006|PostGrad Yr 4 - Psychiatry
McMaster University, 01 Jul 2006  to 30 Jun 2007|PostGrad Yr 5 - Psychiatry</t>
  </si>
  <si>
    <t>First certificate of registration issued: Postgraduate Education Certificate||Effective:   01 Jul 2001
Expired: Terms and conditions of certificate of registration||Expiry:      30 Jun 2007
Subsequent certificate of registration Issued: Independent Practice Certificate||Effective:   12 Mar 2008</t>
  </si>
  <si>
    <t>Darren J. Holub Medicine Professional Corporation</t>
  </si>
  <si>
    <t>Issued Date:  Mar 19 2009</t>
  </si>
  <si>
    <t>Dr. D. Holub (CPSO# 76440)</t>
  </si>
  <si>
    <t>Halton Healthcare,3001 Hospital Gate,Oakville ON  L6M 0L8,(905) 845-2571
ADAPT Halton,ADAPT Halton,203 - 165 Cross Avenue,Oakville ON  L6J 0A9,(905) 847-6548
Wellbeings Pain &amp; Dependency Clinic,Wellbeings Pain &amp; Dependency Clinic,185 Plains Road East,Suit 1 &amp; 2,Burlington ON  L7T 2C4,(905) 631-9355
Horizons Opioid Treatment Centre,Horizons Opioid Treatment Centre,118 Mill Street,Suit 101,Georgetown ON  L7G 2C5,(855) 742-9449
CMHA Halton,CMHA Halton,Suite 102,1540 Cornwall Road,Oakville ON  L6J 7W5,(905) 693-4270</t>
  </si>
  <si>
    <t>62267</t>
  </si>
  <si>
    <t>Dalhousie University, 1990</t>
  </si>
  <si>
    <t>Suite 201,720 Spadina Avenue,Toronto ON  M5S 2T9</t>
  </si>
  <si>
    <t>(416) 972-6019</t>
  </si>
  <si>
    <t>Mount Sinai Hospital,600 University Avenue,Toronto ON  M5G 1X5,Canada,Phone:(416) 586-4800 Ext. 8765,Fax:(416) 586-5970,County:City of Toronto,Electoral District:10
Centre for Mindfulness Studies,180 Sudbury St.,Toronto ON  M6J 0A8,Canada,Phone:(647) 524-6216,County:City of Toronto,Electoral District:10</t>
  </si>
  <si>
    <t>First certificate of registration issued: Postgraduate Education Certificate||Effective:   11 Jun 1990
Transfer of class of registration to: Independent Practice Certificate||Effective:   23 Jul 1991</t>
  </si>
  <si>
    <t>Dr. Darren Higgins Medicine Professional Corporation</t>
  </si>
  <si>
    <t>Issued Date:  Oct 19 2007</t>
  </si>
  <si>
    <t>Dr. D. Higgins (CPSO# 62267)</t>
  </si>
  <si>
    <t>201 - 720 Spadina Avenue,Toronto ON  M5S 2T9,(416) 972-6019</t>
  </si>
  <si>
    <t>79801</t>
  </si>
  <si>
    <t xml:space="preserve">Active Member as of 27 May 2005 </t>
  </si>
  <si>
    <t xml:space="preserve">Restricted as of 13 Sep 2016 </t>
  </si>
  <si>
    <t>Ross University, 1999</t>
  </si>
  <si>
    <t>Appleton Clinic,Suite 301,845 Wilson Avenue,North York ON  M3K 1E6</t>
  </si>
  <si>
    <t>(416) 635-0909</t>
  </si>
  <si>
    <t>(416) 635-0300</t>
  </si>
  <si>
    <t>USA - Florida</t>
  </si>
  <si>
    <t>Psychiatry||Effective: 27 Apr 2005||RCPSC Specialist</t>
  </si>
  <si>
    <t>University of Toronto, 01 Jul 2003  to 30 Jun 2004|PostGrad Yr 5 - Psychiatry</t>
  </si>
  <si>
    <t>First certificate of registration issued: Postgraduate Education Certificate||Effective:   01 Jul 2003
Expired: Terms and conditions of certificate of registration||Expiry:      30 Jun 2004
Subsequent certificate of registration issued: Restricted certificate||Effective:   06 Jul 2004
Expired: Terms and conditions imposed on certificate by Registration Committee||Effective:   27 May 2005
Subsequent certificate of registration Issued: Independent Practice Certificate||Effective:   27 May 2005
Transfer of class of certificate to: Restricted certificate||Effective:   13 Sep 2016
Terms and conditions imposed on certificate by member||Effective:   13 Sep 2016</t>
  </si>
  <si>
    <t>Darryl Appleton Medicine Professional Corporation</t>
  </si>
  <si>
    <t>Inactive: Nov 22 2007</t>
  </si>
  <si>
    <t>61450</t>
  </si>
  <si>
    <t xml:space="preserve">Active Member as of 05 Jul 1989 </t>
  </si>
  <si>
    <t xml:space="preserve">Independent Practice as of 05 Jul 1989 </t>
  </si>
  <si>
    <t>125 Syndicate Ave South,Thunder Bay ON  P7E 6H8</t>
  </si>
  <si>
    <t>(807) 624-3400</t>
  </si>
  <si>
    <t>(888) 540-4611</t>
  </si>
  <si>
    <t>Queen's University, 01 Jul 1992  to 30 Jun 1993|Resident 4 - Psychiatry</t>
  </si>
  <si>
    <t>First certificate of registration issued: Independent Practice Certificate||Effective:   05 Jul 1989</t>
  </si>
  <si>
    <t>55428</t>
  </si>
  <si>
    <t xml:space="preserve">Independent Practice as of 16 Jun 1986 </t>
  </si>
  <si>
    <t>University of Ottawa, 1985</t>
  </si>
  <si>
    <t>215 Spadina Ave 4th Floor,Toronto ON  M5T 2C7</t>
  </si>
  <si>
    <t>(416) 816-3422</t>
  </si>
  <si>
    <t>(888) 281-5326</t>
  </si>
  <si>
    <t>St Joseph's Health Centre,Toronto:Toronto
Thunder Bay Regional Health Sciences Centre:Thunder Bay</t>
  </si>
  <si>
    <t>First certificate of registration issued: Postgraduate Education Certificate||Effective:   17 Jun 1985
Transfer of class of registration to: Independent Practice Certificate||Effective:   16 Jun 1986</t>
  </si>
  <si>
    <t>91824</t>
  </si>
  <si>
    <t xml:space="preserve">Active Member as of 06 Feb 2015 </t>
  </si>
  <si>
    <t xml:space="preserve">Independent Practice as of 06 Feb 2015 </t>
  </si>
  <si>
    <t>Queen's University, 2009</t>
  </si>
  <si>
    <t>(519) 824-1010 Ext. 2342</t>
  </si>
  <si>
    <t>Psychiatry||Effective: 31 Dec 2014||RCPSC Specialist</t>
  </si>
  <si>
    <t>Queen's University, 01 Jul 2009  to 08 Jul 2010|PostGrad Yr 1 - Psychiatry
Queen's University, 09 Jul 2010  to 30 Jun 2011|PostGrad Yr 2 - Psychiatry
Queen's University, 01 Jul 2011  to 30 Jun 2012|PostGrad Yr 3 - Psychiatry
Queen's University, 01 Jul 2012  to 30 Jun 2013|PostGrad Yr 4 - Psychiatry
Queen's University, 01 Jul 2013  to 16 Dec 2013|PostGrad Yr 4 - Psychiatry
Queen's University, 17 Dec 2013  to 30 Jun 2014|PostGrad Yr 5 - Psychiatry
Queen's University, 01 Jul 2014  to 31 Dec 2014|PostGrad Yr 5 - Psychiatry</t>
  </si>
  <si>
    <t>First certificate of registration issued: Postgraduate Education Certificate||Effective:   09 Jul 2009
Expired: Terms and conditions of certificate of registration||Expiry:      31 Dec 2014
Subsequent certificate of registration Issued: Independent Practice Certificate||Effective:   06 Feb 2015</t>
  </si>
  <si>
    <t>Dr. David Murray and Dr. Ellen Lee Medicine Professional Corporation</t>
  </si>
  <si>
    <t>Issued Date:  Jul 08 2015</t>
  </si>
  <si>
    <t>Dr. E. Lee (CPSO# 91482),Dr. D. Murray (CPSO# 91824)</t>
  </si>
  <si>
    <t>Homewood Health Centre,150 Delhi Street,Guelph ON  N1E 6K9,(519) 824-1010
Suite 302,Suite 302,85 Norfolk Street,Guelph ON  N1H 4J4,(519) 822-1871
115 Delhi Street,115 Delhi Street,Guelph ON  N1E 4J4,(519) 837-6440
170 Metcalfe Street,170 Metcalfe Street,Guelph ON  N1E 4Y3,(519) 822-0491
60 Woodlawn Road East,60 Woodlawn Road East,Guelph ON  N1H 8M8,(519) 822-5272</t>
  </si>
  <si>
    <t>89688</t>
  </si>
  <si>
    <t xml:space="preserve">Active Member as of 30 Jul 2008 </t>
  </si>
  <si>
    <t xml:space="preserve">Independent Practice as of 30 Jul 2008 </t>
  </si>
  <si>
    <t>State University of New York, 1996</t>
  </si>
  <si>
    <t>Wilfrid Laurier University,Student Wellness Centre,75 University Avenue West,Waterloo ON  N2L 3C5</t>
  </si>
  <si>
    <t>(519) 884-0710 Ext. 3146</t>
  </si>
  <si>
    <t>Homewood Health Centre,150 Delhi St,Guelph ON  N1E 6K9,Canada,Phone:(519) 824-1010,County:County of Wellington,Electoral District:03
University of Waterloo,Student Health Services,200 University Avenue West,Waterloo ON  N2L 3G5,Canada,Phone:(519) 888-4567 Ext. 31976,County:Regional Municipality of Waterloo,Electoral District:03</t>
  </si>
  <si>
    <t>USA - Arizona
USA - Hawaii
USA - New York</t>
  </si>
  <si>
    <t>Psychiatry||Effective: 17 Apr 2008||RCPSC Specialist</t>
  </si>
  <si>
    <t>First certificate of registration issued: Independent Practice Certificate||Effective:   30 Jul 2008</t>
  </si>
  <si>
    <t>Wolkoff Medicine Professional Corporation</t>
  </si>
  <si>
    <t>Dr. D. Wolkoff (CPSO# 89688)</t>
  </si>
  <si>
    <t>150 Delhi Street,Guelph ON  N1E 6K9,(519) 824-1010
Downtown Kitchener CHC,Downtown Kitchener CHC,44 Francis Street South,Kitchener ON  N2G 2A2,(519) 745-4404
Wilfrid Laurier University,Wilfrid Laurier University,Student Wellness Centre,75 University Avenue West,Waterloo ON  N2L 3C5,(519) 884-0710
University of Waterloo,University of Waterloo,Student Health Services,200 University Avenue West,Kitchener ON  N2L 3G5,(519) 888-4567</t>
  </si>
  <si>
    <t>104914</t>
  </si>
  <si>
    <t xml:space="preserve">Active Member as of 17 May 2016 </t>
  </si>
  <si>
    <t xml:space="preserve">Independent Practice as of 17 May 2016 </t>
  </si>
  <si>
    <t>Guelph Family Health Team,55 Wyndham Street North,Suite 212,Guelph ON  N1H 7T8</t>
  </si>
  <si>
    <t>519-837-4444</t>
  </si>
  <si>
    <t>3570 King Street East,Kitchener ON  N2A 2W1,Canada,Phone:5197494300,County:Regional Municipality of Waterloo,Electoral District:03</t>
  </si>
  <si>
    <t>University of Toronto, 22 Sep 2014  to 19 Oct 2014|Elective Trainee - Psychiatry
University of Toronto, 11 Jan 2016  to 14 Feb 2016|Elective Trainee - Psychiatry
McMaster University, 15 Feb 2016  to 28 Feb 2016|Elective Trainee - Geriatric Psychiatry</t>
  </si>
  <si>
    <t>First certificate of registration issued: Postgraduate Education Certificate||Effective:   22 Sep 2014
Expired: Terms and conditions of certificate of registration||Expiry:      19 Oct 2014
Subsequent certificate of registration Issued: Postgraduate Education Certificate||Effective:   11 Jan 2016
Expired: Terms and conditions of certificate of registration||Expiry:      28 Feb 2016
Subsequent certificate of registration Issued: Independent Practice Certificate||Effective:   17 May 2016</t>
  </si>
  <si>
    <t>Dr. David A. Sherman Medicine Professional Corporation</t>
  </si>
  <si>
    <t>Issued Date:  Jul 04 2016</t>
  </si>
  <si>
    <t>Dr. D. Sherman (CPSO# 104914)</t>
  </si>
  <si>
    <t>Guelph Family Health Team,55 Wyndham Street North,Suite 212,Guelph ON  N1H 7T8,(519) 837-4444
3570 King Street East,3570 King Street East,Kitchener ON  N2A 2W1,(519) 749-4300</t>
  </si>
  <si>
    <t>50109</t>
  </si>
  <si>
    <t xml:space="preserve">Independent Practice as of 20 Dec 1985 </t>
  </si>
  <si>
    <t>Universite de Louis Pasteur, 1980</t>
  </si>
  <si>
    <t>Mental Health Services,CFB Petawawa,PO Box 9999 Station Main,Petawawa ON  K8H 2X3</t>
  </si>
  <si>
    <t>(613) 687-5511 Ext. 4600</t>
  </si>
  <si>
    <t>(613) 588-4711</t>
  </si>
  <si>
    <t>1145 Carling Ave.,Ottawa ON  K1Z 7K4,Canada,Phone:613-722-6521 Ext. 6225,Fax:613-798-2973,County:Regional Municipality of Ottawa-Carleton,Electoral District:07</t>
  </si>
  <si>
    <t>First certificate of registration issued: Postgraduate Education Certificate||Effective:   01 Jul 1982
Transfer of class of registration to: Independent Practice Certificate||Effective:   20 Dec 1985</t>
  </si>
  <si>
    <t>70382</t>
  </si>
  <si>
    <t xml:space="preserve">Independent Practice as of 28 Jun 2002 </t>
  </si>
  <si>
    <t>Memorial University of Newfoundland, 1996</t>
  </si>
  <si>
    <t>Halton Seniors Mental,Health Outreach Program,Unit 103,5230 South Service Road,Burlington ON  L7L 5K2</t>
  </si>
  <si>
    <t>(905) 681-8233</t>
  </si>
  <si>
    <t>(905) 681-8628</t>
  </si>
  <si>
    <t>McMaster University, 01 Jul 1996  to 30 Jun 1997|PostGrad Yr 1 - Psychiatry
McMaster University, 01 Jul 1997  to 30 Jun 1998|PostGrad Yr 2 - Psychiatry
McMaster University, 01 Jul 1998  to 30 Jun 1999|PostGrad Yr 3 - Psychiatry
McMaster University, 01 Jul 1999  to 30 Jun 2000|PostGrad Yr 4 - Psychiatry
McMaster University, 01 Jul 2000  to 30 Jun 2001|PostGrad Yr 5 - Psychiatry
McMaster University, 01 Jul 2001  to 30 Jun 2002|Clinical Fellow - Psychiatry
McMaster University, 01 Jul 2002  to 30 Jun 2003|Clinical Fellow - Psychiatry</t>
  </si>
  <si>
    <t>First certificate of registration issued: Postgraduate Education Certificate||Effective:   01 Jul 1996
Transfer of class of registration to: Independent Practice Certificate||Effective:   28 Jun 2002</t>
  </si>
  <si>
    <t>Dr. D.B.W. Lam Medicine Professional Corporation</t>
  </si>
  <si>
    <t>Issued Date:  May 25 2012</t>
  </si>
  <si>
    <t>Dr. D. Lam (CPSO# 70382)</t>
  </si>
  <si>
    <t>Halton Geriatric Mental,Health Outreach Program,5230 South Service Road,Suite 103,Burlington ON  L7L 5K2,(905) 681-8233
50 Charlton Avenue East,50 Charlton Avenue East,Hamilton ON  L8N 4A6,(905) 522-1155</t>
  </si>
  <si>
    <t>65634</t>
  </si>
  <si>
    <t xml:space="preserve">Active Member as of 22 Jun 1992 </t>
  </si>
  <si>
    <t xml:space="preserve">Independent Practice as of 22 Jun 1992 </t>
  </si>
  <si>
    <t>University of Calgary, 1987</t>
  </si>
  <si>
    <t>Psychiatry||Effective: 01 Jun 1992||RCPSC Specialist</t>
  </si>
  <si>
    <t>First certificate of registration issued: Independent Practice Certificate||Effective:   22 Jun 1992</t>
  </si>
  <si>
    <t>Dr. David Wright and Dr. Elizabeth Reade Medicine Professional Corporation</t>
  </si>
  <si>
    <t>Issued Date:  Jan 08 2009</t>
  </si>
  <si>
    <t>Dr. E. Reade (CPSO# 51476),Dr. D. Wright (CPSO# 65634)</t>
  </si>
  <si>
    <t>50451</t>
  </si>
  <si>
    <t xml:space="preserve">Independent Practice as of 15 Jan 1988 </t>
  </si>
  <si>
    <t>National Autonomous University of Mexico, 1980</t>
  </si>
  <si>
    <t>(416) 925-8536</t>
  </si>
  <si>
    <t>Clarke Institute of Psychiatry,250 College Street,Toronto ON  M5T 1R8,Canada,County:City of Toronto,Electoral District:10</t>
  </si>
  <si>
    <t>Pediatrics||Effective: 19 Nov 1987||RCPSC Specialist
Psychiatry||Effective: 30 May 1989||RCPSC Specialist</t>
  </si>
  <si>
    <t>University of Toronto, 01 Jul 1988  to 30 Jun 1989|Resident 4 - Psychiatry</t>
  </si>
  <si>
    <t>First certificate of registration issued: Postgraduate Education Certificate||Effective:   01 Jul 1982
Transfer of class of registration to: Independent Practice Certificate||Effective:   15 Jan 1988</t>
  </si>
  <si>
    <t>D. Dorenbaum &amp; K.Z. Heasman Medicine Professional Corporation</t>
  </si>
  <si>
    <t>Issued Date:  Jun 20 2012</t>
  </si>
  <si>
    <t>Dr. D. Dorenbaum (CPSO# 50451),Dr. K. Heasman (CPSO# 56778)</t>
  </si>
  <si>
    <t>554 Spadina Crescent,Toronto ON  M5S 2J9,(416) 925-8536
Clarke Institute of Psychiatry,Clarke Institute of Psychiatry,250 College Street,Toronto ON  M5T 1R8,(416) 535-8501
Colonnade Business Building,Colonnade Business Building,Suite 501,131 Bloor Street West,Toronto ON  M5S 1R1,(416) 928-0361</t>
  </si>
  <si>
    <t>51249</t>
  </si>
  <si>
    <t xml:space="preserve">Independent Practice as of 14 Jun 1983 </t>
  </si>
  <si>
    <t>The University of Western Ontario, 1978</t>
  </si>
  <si>
    <t>Grey Bruce Health Services,Owen Sound Site,1800 8th Street East,P O Box 1800,Owen Sound ON  N4K 6M9</t>
  </si>
  <si>
    <t>(519) 376-2121 Ext. 2490</t>
  </si>
  <si>
    <t>(519) 372-3945</t>
  </si>
  <si>
    <t>Grey Bruce Health Services,Owen Sound:Owen Sound</t>
  </si>
  <si>
    <t>First certificate of registration issued: Postgraduate Education Certificate||Effective:   01 Jul 1979
Transfer of class of registration to: Independent Practice Certificate||Effective:   14 Jun 1983</t>
  </si>
  <si>
    <t>24714</t>
  </si>
  <si>
    <t xml:space="preserve">Active Member as of 29 Jun 1972 </t>
  </si>
  <si>
    <t xml:space="preserve">Independent Practice as of 29 Jun 1972 </t>
  </si>
  <si>
    <t>The University of British Columbia, 1967</t>
  </si>
  <si>
    <t>Cambridge Memorial Hospital,700 Coronation Boulevard,Cambridge ON  N1R 3G2</t>
  </si>
  <si>
    <t>231 Bay Street North,Hamilton ON  L8R 2R1,Canada,Phone:(905) 540-8532,County:Regional Municipality of Hamilton-Wentworth,Electoral District:04
55 Wyndham Street N,#212,Guelph ON  N1H 7T8,Canada,Phone:519 837-4444,County:County of Wellington,Electoral District:03</t>
  </si>
  <si>
    <t>Psychiatry||Effective: 13 Nov 1972||RCPSC Specialist</t>
  </si>
  <si>
    <t>First certificate of registration issued: Postgraduate Education Certificate||Effective:   10 Nov 1967
Expired: Terms and conditions of certificate of registration||Expiry:      15 Jun 1968
Subsequent certificate of registration Issued: Postgraduate Education Certificate||Effective:   11 Jul 1971
Transfer of class of registration to: Independent Practice Certificate||Effective:   29 Jun 1972</t>
  </si>
  <si>
    <t>David F. L. Dawson Medicine Professional Corporation</t>
  </si>
  <si>
    <t>Dr. D. Dawson (CPSO# 24714)</t>
  </si>
  <si>
    <t>Cambridge Memorial Hospital,700 Coronation Boulevard,Cambridge ON  N1R 3G2,(519) 621-2300
212 - 55 Wyndham Street North,212 - 55 Wyndham Street North,Guelph ON  N1H 7T8,(519) 837-4444</t>
  </si>
  <si>
    <t>68259</t>
  </si>
  <si>
    <t xml:space="preserve">Active Member as of 06 Oct 2011 </t>
  </si>
  <si>
    <t xml:space="preserve">Independent Practice as of 06 Oct 2011 </t>
  </si>
  <si>
    <t>Royal Ottawa Hospital,Schizophrenia Program,3rd Floor,1145 Carling Avenue,Ottawa ON  K1Z 7K4</t>
  </si>
  <si>
    <t>(613) 722-6521 Ext. 7020</t>
  </si>
  <si>
    <t>(613) 798-2971</t>
  </si>
  <si>
    <t>University of Ottawa, 01 Jul 1994  to 30 Jun 1995|PostGrad Yr 1 - Psychiatry
University of Ottawa, 01 Jul 1995  to 30 Jun 1996|Resident 1 - Psychiatry
University of Ottawa, 01 Jul 1996  to 30 Jun 1997|PostGrad Yr 3 - Psychiatry
University of Ottawa, 01 Jul 1997  to 30 Jun 1998|PostGrad Yr 4 - Psychiatry
University of Ottawa, 01 Jul 1998  to 30 Jun 1999|PostGrad Yr 5 - Psychiatry</t>
  </si>
  <si>
    <t>First certificate of registration issued: Postgraduate Education Certificate||Effective:   01 Jul 1994
Transfer of class of registration to: Independent Practice Certificate||Effective:   30 Jun 1999
Expired: Resigned from membership.||Expiry:      20 Oct 2000
Subsequent certificate of registration Issued: Independent Practice Certificate||Effective:   06 Oct 2011</t>
  </si>
  <si>
    <t>Dr. David G. Attwood Medicine Professional Corporation</t>
  </si>
  <si>
    <t>Issued Date:  May 01 2012</t>
  </si>
  <si>
    <t>Dr. D. Attwood (CPSO# 68259)</t>
  </si>
  <si>
    <t>Royal Ottawa Hospital,Schizophrenia Program,3rd Floor,1145 Carling Avenue,Ottawa ON  K1Z 7K4,(613) 722-6521</t>
  </si>
  <si>
    <t>75146</t>
  </si>
  <si>
    <t>The University of Manitoba, 2000</t>
  </si>
  <si>
    <t>CAMH,250 College St.,Office 1133, 11th Floor,Toronto ON  M5T 1R8</t>
  </si>
  <si>
    <t>416-535-8501 Ext. 30412</t>
  </si>
  <si>
    <t>416-979-6815</t>
  </si>
  <si>
    <t>David Gratzer Medicine Professional Corporation</t>
  </si>
  <si>
    <t>Issued Date:  Mar 17 2016</t>
  </si>
  <si>
    <t>Dr. D. Gratzer (CPSO# 75146),Dr. C. Wein (CPSO# 75050)</t>
  </si>
  <si>
    <t>250 College Street,Toronto ON  M5T 1R8</t>
  </si>
  <si>
    <t>26220</t>
  </si>
  <si>
    <t xml:space="preserve">Active Member as of 26 Oct 1973 </t>
  </si>
  <si>
    <t xml:space="preserve">Independent Practice as of 26 Oct 1973 </t>
  </si>
  <si>
    <t>University of Toronto, 1968</t>
  </si>
  <si>
    <t>Canadian Forces Base Borden,P O Box 1000,Stn Main,Borden ON  L0M 1C0</t>
  </si>
  <si>
    <t>Canadian Forces Base Borden,PO Box Stn Main,Borden ON  L0M 1C0,Canada,Phone:705 424 1200 Ext. 7869,Fax:705 423 7503,County:County of Simcoe,Electoral District:05</t>
  </si>
  <si>
    <t>First certificate of registration issued: Independent Practice Certificate||Effective:   26 Oct 1973</t>
  </si>
  <si>
    <t>D.G. Ewing Medicine Professional Corporation</t>
  </si>
  <si>
    <t>Issued Date:  Aug 03 2007</t>
  </si>
  <si>
    <t>Dr. D. Ewing (CPSO# 26220)</t>
  </si>
  <si>
    <t>Canadian Forces Base Borden,PO Box 1000 Stn Main,Borden ON  L0M 1C0,(705) 424-1200</t>
  </si>
  <si>
    <t>21126</t>
  </si>
  <si>
    <t xml:space="preserve">Active Member as of 13 Jan 1976 </t>
  </si>
  <si>
    <t xml:space="preserve">Independent Practice as of 13 Jan 1976 </t>
  </si>
  <si>
    <t>18 Cornish Road,Toronto ON  M4T 2E2</t>
  </si>
  <si>
    <t>(416) 923-6712</t>
  </si>
  <si>
    <t>Psychiatry||Effective: 01 Jan 1975||RCPSC Specialist</t>
  </si>
  <si>
    <t>First certificate of registration issued: Postgraduate Education Certificate||Effective:   01 Jul 1964
Transfer of class of registration to: Independent Practice Certificate||Effective:   28 Nov 1967
Expired: Resigned from membership.||Expiry:      21 Oct 1971
Subsequent certificate of registration Issued: Independent Practice Certificate||Effective:   13 Jan 1976</t>
  </si>
  <si>
    <t>50602</t>
  </si>
  <si>
    <t xml:space="preserve">Independent Practice as of 04 Jul 1983 </t>
  </si>
  <si>
    <t>Suite 5016,3080 Yonge Street,Toronto ON  M4N 3N1</t>
  </si>
  <si>
    <t>(416) 789-3012</t>
  </si>
  <si>
    <t>(416) 792-6515</t>
  </si>
  <si>
    <t>First certificate of registration issued: Postgraduate Education Certificate||Effective:   14 Jun 1982
Transfer of class of registration to: Independent Practice Certificate||Effective:   04 Jul 1983</t>
  </si>
  <si>
    <t>91153</t>
  </si>
  <si>
    <t>Centre for Addiction,And Mental Health (CAMH),250 College Street,Toronto ON  M5T 1R8</t>
  </si>
  <si>
    <t>D.J. Rodie Medicine Professional Corporation</t>
  </si>
  <si>
    <t>Issued Date:  Aug 06 2014</t>
  </si>
  <si>
    <t>Dr. D. Rodie (CPSO# 91153)</t>
  </si>
  <si>
    <t>Centre for Addiction,And Mental Health CAMH,1001 Queen Street West,Toronto ON  M6J 1H4,(416) 535-8501
250 College Street,250 College Street,Toronto ON  M5T 1R8,(416) 535-8501
102 - 171 East Liberty Street,102 - 171 East Liberty Street,Toronto ON  M6K 3P6,(416) 599-8348</t>
  </si>
  <si>
    <t>58302</t>
  </si>
  <si>
    <t xml:space="preserve">Independent Practice as of 18 Aug 1988 </t>
  </si>
  <si>
    <t>Canadian Mental Health Association,648 Huron Street,Psychiatric Clinic,London ON  N5Y 4J8</t>
  </si>
  <si>
    <t>(519)  434-919</t>
  </si>
  <si>
    <t>(519) 668-2227</t>
  </si>
  <si>
    <t>Central Lambton Family Health Team,4130 Glenview Road,Petrolia ON  N0N 1R0,Canada,Phone:519-882-2500,Fax:519-882-4321,County:County of Lambton,Electoral District:01
St. Leonard's Community Services,405 Dundas St.,London ON  N6B 1V9,Canada,Phone:5198503777,Fax:5198501396,County:County of Middlesex,Electoral District:02
Crest Support Services,13570 Elginfield Road,Lucan ON  N0M 2J0,Canada,Phone:5192276766,County:County of Middlesex,Electoral District:02</t>
  </si>
  <si>
    <t>University of Toronto, 15 Jun 1987  to 13 Jun 1988|Other - Comprehensive Internship
University of Toronto, 01 Jul 1988  to 30 Jun 1989|Resident 2 - Family Medicine
University of Toronto, 01 Jul 1989  to 30 Jun 1990|Resident 1 - Psychiatry
University of Toronto, 01 Jul 1990  to 30 Jun 1991|Resident 2 - Psychiatry
The University of Western Ontario, 01 Jul 1991  to 30 Jun 1992|Resident 3 - Psychiatry
The University of Western Ontario, 01 Jul 1992  to 30 Jun 1993|Resident 4 - Psychiatry</t>
  </si>
  <si>
    <t>First certificate of registration issued: Postgraduate Education Certificate||Effective:   15 Jun 1987
Transfer of class of registration to: Independent Practice Certificate||Effective:   18 Aug 1988</t>
  </si>
  <si>
    <t>David J. Robinson Medicine Professional Corporation</t>
  </si>
  <si>
    <t>Dr. D. Robinson (CPSO# 58302)</t>
  </si>
  <si>
    <t>PMB 203,11 - 1673 Richmond Street,London ON  N6G 2N3,(519) 667-2335
Canadian Mental Health Association,Canadian Mental Health Association,648 Huron Street,London ON  N5Y 4J8,(519) 434-9191</t>
  </si>
  <si>
    <t>60759</t>
  </si>
  <si>
    <t xml:space="preserve">Independent Practice as of 23 Jul 1990 </t>
  </si>
  <si>
    <t>Suite 202,10 Alcorn Avenue,Toronto ON  M4V 3A9</t>
  </si>
  <si>
    <t>(416) 927-7603</t>
  </si>
  <si>
    <t>University of Toronto, 12 Jun 1989  to 11 Jun 1990|Other - Comprehensive Internship
University of Toronto, 01 Jul 1990  to 30 Jun 1991|Resident 1 - Psychiatry
University of Toronto, 01 Jul 1991  to 30 Jun 1992|Resident 2 - Psychiatry
University of Toronto, 01 Jul 1992  to 30 Jun 1993|Resident 3 - Psychiatry
University of Toronto, 01 Jul 1993  to 30 Jun 1994|Resident 4 - Psychiatry</t>
  </si>
  <si>
    <t>First certificate of registration issued: Postgraduate Education Certificate||Effective:   12 Jun 1989
Transfer of class of registration to: Independent Practice Certificate||Effective:   23 Jul 1990</t>
  </si>
  <si>
    <t>31905</t>
  </si>
  <si>
    <t xml:space="preserve">Active Member as of 13 Aug 1980 </t>
  </si>
  <si>
    <t xml:space="preserve">Independent Practice as of 13 Aug 1980 </t>
  </si>
  <si>
    <t>Baycrest Hospital,3560 Bathurst Street,Toronto ON  M6A 2E1</t>
  </si>
  <si>
    <t>(416) 785-2500 Ext. 2456</t>
  </si>
  <si>
    <t>Baycrest Hospital:Toronto
Mount Sinai Hospital:Toronto</t>
  </si>
  <si>
    <t>First certificate of registration issued: Independent Practice Certificate||Effective:   13 Aug 1979</t>
  </si>
  <si>
    <t>59630</t>
  </si>
  <si>
    <t xml:space="preserve">Independent Practice as of 27 Jun 1989 </t>
  </si>
  <si>
    <t>North Bay Regional Health Centre,50 College Drive,North Bay ON  P1B 0A4</t>
  </si>
  <si>
    <t>(705) 474-8600 Ext. 3639</t>
  </si>
  <si>
    <t>(705) 495-7945</t>
  </si>
  <si>
    <t>University of Toronto, 13 Jun 1988  to 12 Jun 1989|Other - Rotating Internship
The University of Western Ontario, 01 Jul 1991  to 30 Jun 1992|Resident 1 - Psychiatry
The University of Western Ontario, 01 Jul 1992  to 30 Jun 1993|Resident 2 - Psychiatry
The University of Western Ontario, 01 Jul 1993  to 30 Jun 1994|Resident 3 - Psychiatry
The University of Western Ontario, 01 Jul 1994  to 30 Jun 1995|Resident 4 - Psychiatry</t>
  </si>
  <si>
    <t>First certificate of registration issued: Postgraduate Education Certificate||Effective:   13 Jun 1988
Transfer of class of registration to: Independent Practice Certificate||Effective:   27 Jun 1989</t>
  </si>
  <si>
    <t>Dr. David Cochrane Medicine Professional Corporation</t>
  </si>
  <si>
    <t>Issued Date:  Jun 24 2009</t>
  </si>
  <si>
    <t>Dr. D. Cochrane (CPSO# 59630)</t>
  </si>
  <si>
    <t>North Bay Regional Health Centre,50 College Drive,North Bay ON  P1B 0A4,(705) 474-8600</t>
  </si>
  <si>
    <t>52636</t>
  </si>
  <si>
    <t xml:space="preserve">Independent Practice as of 26 Jun 1984 </t>
  </si>
  <si>
    <t>North York General Hospital,4001 Leslie Street,Toronto ON  M2K 1E1</t>
  </si>
  <si>
    <t>416 756 6319</t>
  </si>
  <si>
    <t>416 756 6080</t>
  </si>
  <si>
    <t>Headwaters Health Care Centre,Orangeville-Dufferin Site:Orangeville
North York General Hospital,General Division:Toronto
William Osler Health Centre Etobicoke General Site:Toronto
William Osler Health Centre-Brampton Civic Hospital:Brampton</t>
  </si>
  <si>
    <t>University of Toronto, 13 Jun 1983  to 11 Jun 1984|Other - Rotating Internship
University of Toronto, 01 Jan 1985  to 30 Jun 1985|Resident 1 - Psychiatry
University of Toronto, 01 Jul 1985  to 31 Dec 1985|Resident 1 - Psychiatry
University of Toronto, 01 Jan 1986  to 30 Jun 1986|Resident 2 - Psychiatry
University of Toronto, 01 Jul 1987  to 31 Dec 1987|Resident 3 - Psychiatry
University of Toronto, 01 Jan 1988  to 30 Jun 1988|Resident 4 - Psychiatry
University of Toronto, 01 Jul 1988  to 30 Jun 1989|Resident 4 - Psychiatry</t>
  </si>
  <si>
    <t>First certificate of registration issued: Postgraduate Education Certificate||Effective:   13 Jun 1983
Transfer of class of registration to: Independent Practice Certificate||Effective:   26 Jun 1984</t>
  </si>
  <si>
    <t>David Koczerginski Medicine Professional Corporation</t>
  </si>
  <si>
    <t>Issued Date:  Nov 20 2014</t>
  </si>
  <si>
    <t>Dr. D. Koczerginski (CPSO# 52636)</t>
  </si>
  <si>
    <t>54066</t>
  </si>
  <si>
    <t xml:space="preserve">Independent Practice as of 08 Oct 1985 </t>
  </si>
  <si>
    <t>Toronto Western Hospital IMPACT,489 College St, Suite 304,Toronto ON  M6G 1A5</t>
  </si>
  <si>
    <t>416-603-5800 Ext. 8197</t>
  </si>
  <si>
    <t>416-925-0802</t>
  </si>
  <si>
    <t>644 Richmond St West,Toronto ON  M6J 1C3,Canada,Phone:416-997-4805,County:City of Toronto,Electoral District:10</t>
  </si>
  <si>
    <t>University of Toronto, 11 Jun 1984  to 17 Jun 1985|Other - Rotating Internship
University of Toronto, 01 Jul 1985  to 30 Jun 1986|Resident 1 - Psychiatry
University of Toronto, 01 Jul 1986  to 30 Jun 1987|Resident 2 - Psychiatry
University of Toronto, 01 Jul 1987  to 30 Jun 1988|Resident 3 - Psychiatry
University of Toronto, 01 Jul 1988  to 30 Jun 1989|Resident 4 - Psychiatry</t>
  </si>
  <si>
    <t>First certificate of registration issued: Postgraduate Education Certificate||Effective:   11 Jun 1984
Transfer of class of registration to: Independent Practice Certificate||Effective:   08 Oct 1985</t>
  </si>
  <si>
    <t>62899</t>
  </si>
  <si>
    <t xml:space="preserve">Active Member as of 17 Jul 1990 </t>
  </si>
  <si>
    <t xml:space="preserve">Independent Practice as of 17 Jul 1990 </t>
  </si>
  <si>
    <t>University of Wisconsin, 1974</t>
  </si>
  <si>
    <t>USA - Michigan
USA - Wisconsin</t>
  </si>
  <si>
    <t>First certificate of registration issued: Independent Practice Certificate||Effective:   17 Jul 1990</t>
  </si>
  <si>
    <t>61995</t>
  </si>
  <si>
    <t xml:space="preserve">Active Member as of 23 Apr 1990 </t>
  </si>
  <si>
    <t xml:space="preserve">Independent Practice as of 23 Apr 1990 </t>
  </si>
  <si>
    <t>Kozlov Centre,400 Bayfield Street,Suite 240,Barrie ON  L4M 5A1</t>
  </si>
  <si>
    <t>(705) 725-8105</t>
  </si>
  <si>
    <t>Psychiatry||Effective: 13 Nov 1989||RCPSC Specialist</t>
  </si>
  <si>
    <t>First certificate of registration issued: Independent Practice Certificate||Effective:   23 Apr 1990</t>
  </si>
  <si>
    <t>Seevaratnam Medicine Professional Corporation</t>
  </si>
  <si>
    <t>Issued Date:  Jul 20 2005</t>
  </si>
  <si>
    <t>Dr. D. Seevaratnam (CPSO# 61995)</t>
  </si>
  <si>
    <t>Kozlov Centre,400 Bayfield Street,Suite 240,Barrie ON  L4M 5A1,(705) 725-8105</t>
  </si>
  <si>
    <t>75509</t>
  </si>
  <si>
    <t xml:space="preserve">Active Member as of 24 Jul 2003 </t>
  </si>
  <si>
    <t xml:space="preserve">Independent Practice as of 24 Jul 2003 </t>
  </si>
  <si>
    <t>Royal College of Surgeons in Ireland, 1997</t>
  </si>
  <si>
    <t>suite 402,2039 Robertson road,Nepean ON  K2H 8R2</t>
  </si>
  <si>
    <t>(613) 7965935</t>
  </si>
  <si>
    <t>Psychiatry||Effective: 19 Jul 2003||RCPSC Specialist</t>
  </si>
  <si>
    <t>University of Ottawa, 19 Jun 2000  to 14 Jul 2000|PEAP - Resident - Psychiatry
University of Ottawa, 17 Jul 2000  to 14 Jul 2001|PostGrad Yr 3 - Psychiatry
University of Ottawa, 15 Jul 2001  to 30 Jun 2002|PostGrad Yr 4 - Psychiatry
University of Ottawa, 01 Jul 2002  to 13 Jul 2002|PostGrad Yr 4 - Psychiatry
University of Ottawa, 14 Jul 2002  to 30 Jun 2003|PostGrad Yr 5 - Psychiatry
University of Ottawa, 01 Jul 2003  to 19 Jul 2003|PostGrad Yr 5 - Psychiatry</t>
  </si>
  <si>
    <t>First certificate of registration issued: Postgraduate Education Certificate||Effective:   20 Jul 2000
Expired: Terms and conditions of certificate of registration||Expiry:      19 Jul 2003
Subsequent certificate of registration Issued: Independent Practice Certificate||Effective:   24 Jul 2003</t>
  </si>
  <si>
    <t>David Hamilton Medicine Professional Corporation</t>
  </si>
  <si>
    <t>Issued Date:  Jul 02 2015</t>
  </si>
  <si>
    <t>Dr. D. Hamilton (CPSO# 75509)</t>
  </si>
  <si>
    <t>2039 Robertson Road,Suite 402,Ottawa ON  K2H 8R2,(613) 796-5935</t>
  </si>
  <si>
    <t>69170</t>
  </si>
  <si>
    <t xml:space="preserve">Independent Practice as of 04 Dec 2000 </t>
  </si>
  <si>
    <t>University of Cincinnati, 1995</t>
  </si>
  <si>
    <t>Department of Psychiatry,Sunnybrook Health Sciences Centre,2075 Bayview Avenue. Room FG-47,Toronto ON  M4N 3M5</t>
  </si>
  <si>
    <t>(416) 480-6030</t>
  </si>
  <si>
    <t>Psychiatry||Effective: 17 Nov 2000||RCPSC Specialist</t>
  </si>
  <si>
    <t>University of Toronto, 01 Jul 1995  to 30 Jun 1996|PostGrad Yr 1 - Psychiatry
University of Toronto, 01 Jul 1996  to 30 Jun 1997|PostGrad Yr 2 - Psychiatry
University of Toronto, 01 Jul 1997  to 30 Jun 1998|PostGrad Yr 3 - Psychiatry
University of Toronto, 01 Jul 1998  to 30 Jun 1999|PostGrad Yr 4 - Psychiatry
University of Toronto, 01 Jul 1999  to 30 Jun 2000|PostGrad Yr 5 - Psychiatry
University of Toronto, 01 Jul 2000  to 30 Jun 2001|Clinical Fellow - Psychiatry
University of Toronto, 01 Jul 2001  to 30 Jun 2002|Clinical Fellow - Psychiatry
University of Toronto, 01 Jul 2002  to 30 Aug 2002|Clinical Fellow - Psychiatry</t>
  </si>
  <si>
    <t>First certificate of registration issued: Postgraduate Education Certificate||Effective:   01 Jul 1995
Transfer of class of registration to: Independent Practice Certificate||Effective:   04 Dec 2000</t>
  </si>
  <si>
    <t>David Kreindler Medicine Professional Corporation</t>
  </si>
  <si>
    <t>Issued Date:  Oct 05 2012</t>
  </si>
  <si>
    <t>Dr. D. Kreindler (CPSO# 69170)</t>
  </si>
  <si>
    <t>Department of Psychiatry,Sunnybrook Health Sciences Centre,Room FG-47,2075 Bayview Avenue,Toronto ON  M4N 3M5,(416) 480-6030</t>
  </si>
  <si>
    <t>23439</t>
  </si>
  <si>
    <t xml:space="preserve">Active Member as of 09 Mar 1971 </t>
  </si>
  <si>
    <t xml:space="preserve">Independent Practice as of 09 Mar 1971 </t>
  </si>
  <si>
    <t>McGill University, 1965</t>
  </si>
  <si>
    <t>Suite 306,586 Eglinton Avenue East,Toronto ON  M4P 1P2</t>
  </si>
  <si>
    <t>(416) 487-1805</t>
  </si>
  <si>
    <t>(416) 487-0041</t>
  </si>
  <si>
    <t>Mood Disorders Clinic,CAMH   -,100 Stokes Street,Room 4203,Toronto ON  M6J 1H4,Canada,Phone:(416) 979-6868,Fax:(416) 979-6821,County:City of Toronto,Electoral District:10</t>
  </si>
  <si>
    <t>Psychiatry||Effective: 17 Nov 1971||RCPSC Specialist</t>
  </si>
  <si>
    <t>First certificate of registration issued: Independent Practice Certificate||Effective:   09 Mar 1971</t>
  </si>
  <si>
    <t>68130</t>
  </si>
  <si>
    <t xml:space="preserve">Independent Practice as of 13 Jun 1996 </t>
  </si>
  <si>
    <t>The Scarborough Hospital,2425 Eglinton Ave East Ste301,Toronto ON  M1K 5G8</t>
  </si>
  <si>
    <t>(416) 431-8230</t>
  </si>
  <si>
    <t>(416) 759-5162</t>
  </si>
  <si>
    <t>Markham Stouffville Hospital,PO Box 1800,381 Church Street,Markham ON  L3P 7P3,Canada,Phone:(905) 472-7530,Fax:(905) 472-7371,County:Regional Municipality of York,Electoral District:05</t>
  </si>
  <si>
    <t>Markham Stouffville Hospital:Markham
Scarborough Hospital,General Site:Toronto
Scarborough Hospital-Birchmount Campus:Toronto</t>
  </si>
  <si>
    <t>Psychiatry||Effective: 30 Jun 2003||RCPSC Specialist
Family Medicine||Effective: 04 Jun 1996||CFPC Specialist</t>
  </si>
  <si>
    <t>University of Toronto, 01 Jul 1994  to 30 Jun 1995|PostGrad Yr 1 - Family Medicine
University of Toronto, 01 Jul 1995  to 30 Jun 1996|PostGrad Yr 2 - Family Medicine
University of Toronto, 01 Jul 2001  to 30 Jun 2002|PostGrad Yr 4 - Psychiatry
University of Toronto, 01 Jul 2003  to 30 Sep 2003|PostGrad Yr 5 - Psychiatry</t>
  </si>
  <si>
    <t>First certificate of registration issued: Postgraduate Education Certificate||Effective:   01 Jul 1994
Transfer of class of registration to: Independent Practice Certificate||Effective:   13 Jun 1996</t>
  </si>
  <si>
    <t>David Ng Medicine Professional Corporation</t>
  </si>
  <si>
    <t>Issued Date:  Dec 20 2004</t>
  </si>
  <si>
    <t>Dr. D. Ng (CPSO# 68130)</t>
  </si>
  <si>
    <t>The Scarborough Hospital,Birchmount Campus,3030 Birchmount Road,Toronto ON  M1P 2V5,(416) 617-3036
15 Banbury Road,15 Banbury Road,Toronto ON  M3B 2K3,(416) 510-8557
The Scarborough Hospital,The Scarborough Hospital,Mental Health Outpatient Clinic,301 - 2425 Eglinton Avenue East,Toronto ON  M1K 5G8,(416) 431-8135
Markham - Stouffville Hospital,Markham - Stouffville Hospital,381 Church Street,P.O. Box 1800,Markham ON  L3P 7P3,(905) 472-7530
The Scarborough Hospital,The Scarborough Hospital,General Campus,3050 Lawrence Avenue East,Toronto ON  M1P 2V5,(416) 617-3036</t>
  </si>
  <si>
    <t>100507</t>
  </si>
  <si>
    <t xml:space="preserve">Independent Practice as of 24 Sep 2018 </t>
  </si>
  <si>
    <t>Universidad Maimonides, 2011</t>
  </si>
  <si>
    <t>The Ottawa Hospital General Campus,Department of Psychiatry,Room 4418,501 Smyth Rd,Ottawa ON  K1H 8L6</t>
  </si>
  <si>
    <t>(613) 737-8955</t>
  </si>
  <si>
    <t>Psychiatry||Effective: 24 Sep 2018||RCPSC Specialist</t>
  </si>
  <si>
    <t>University of Ottawa, 01 Jul 2013  to 23 Sep 2013|Assessment Verification Period - Psychiatry
University of Ottawa, 24 Sep 2013  to 30 Jun 2014|PostGrad Yr 1 - Psychiatry
University of Ottawa, 01 Jul 2014  to 30 Jun 2015|PostGrad Yr 2 - Psychiatry
University of Ottawa, 01 Jul 2015  to 30 Jun 2016|PostGrad Yr 3 - Psychiatry
University of Ottawa, 01 Jul 2016  to 30 Jun 2017|PostGrad Yr 4 - Psychiatry
University of Ottawa, 01 Jul 2017  to 30 Jun 2018|PostGrad Yr 5 - Psychiatry
University of Ottawa, 01 Jul 2018  to 24 Sep 2018|PostGrad Yr 5 - Psychiatry</t>
  </si>
  <si>
    <t>First certificate of registration issued: Pre Entry Assessment Program Certificate||Effective:   01 Jul 2013
Transfer of class of registration to: Postgraduate Education Certificate||Effective:   24 Sep 2013
Transfer of class of registration to: Independent Practice Certificate||Effective:   24 Sep 2018</t>
  </si>
  <si>
    <t>58629</t>
  </si>
  <si>
    <t xml:space="preserve">Independent Practice as of 28 Jun 1991 </t>
  </si>
  <si>
    <t>University of Cape Town, 1985</t>
  </si>
  <si>
    <t>20 York Mills Rd,Suite 201,Toronto ON  M2P2C2</t>
  </si>
  <si>
    <t>(416) 486-6368</t>
  </si>
  <si>
    <t>University of Toronto, 01 Jul 1990  to 30 Jun 1991|Resident 4 - Psychiatry</t>
  </si>
  <si>
    <t>First certificate of registration issued: Postgraduate Education Certificate||Effective:   01 Jul 1987
Transfer of class of registration to: Independent Practice Certificate||Effective:   28 Jun 1991</t>
  </si>
  <si>
    <t>D. Rakoff Medicine Professional Corporation</t>
  </si>
  <si>
    <t>Issued Date:  May 21 2009</t>
  </si>
  <si>
    <t>Dr. D. Rakoff (CPSO# 58629)</t>
  </si>
  <si>
    <t>201 - 20 York Mills Road,Toronto ON  M2P 2C2,(416) 486-6368</t>
  </si>
  <si>
    <t>55323</t>
  </si>
  <si>
    <t xml:space="preserve">Independent Practice as of 26 Aug 1986 </t>
  </si>
  <si>
    <t>263 Lakeshore Rd,Brighton ON  K0K 1H0</t>
  </si>
  <si>
    <t>(705) 321-3205</t>
  </si>
  <si>
    <t>(613) 475-5621</t>
  </si>
  <si>
    <t>239 King Street,Trenton ON  K8V 3X2,Canada,Phone:613 392 1843,Fax:613 392 2084,County:County of Hastings,Electoral District:06
24 Health Services Centre,CFB Trenton,Trenton ON  K8V 5P8,Canada,Phone:(613) 392-281,County:County of Hastings,Electoral District:06</t>
  </si>
  <si>
    <t>McMaster University, 01 Jul 1985  to 30 Jun 1986|Other - Rotating Internship
McMaster University, 01 Jul 1988  to 30 Jun 1989|Resident 1 - Psychiatry
McMaster University, 01 Jul 1989  to 30 Jun 1990|Resident 2 - Psychiatry
McMaster University, 01 Jul 1990  to 30 Jun 1991|Resident 3 - Psychiatry
McMaster University, 01 Jul 1991  to 30 Jun 1992|Resident 4 - Psychiatry</t>
  </si>
  <si>
    <t>First certificate of registration issued: Postgraduate Education Certificate||Effective:   01 Jul 1985
Transfer of class of registration to: Independent Practice Certificate||Effective:   26 Aug 1986</t>
  </si>
  <si>
    <t>19201</t>
  </si>
  <si>
    <t xml:space="preserve">Active Member as of 02 Jul 1964 </t>
  </si>
  <si>
    <t xml:space="preserve">Independent Practice as of 02 Jul 1964 </t>
  </si>
  <si>
    <t>Welsh National School of Medicine, 1958</t>
  </si>
  <si>
    <t>Onefertility    3210 Harvester Road,Burlington ON  L7N 3T1</t>
  </si>
  <si>
    <t>(905) 634-4440 Ext. 235</t>
  </si>
  <si>
    <t>(905) 639-3810</t>
  </si>
  <si>
    <t>Psychiatry||Effective: 28 Nov 1967||RCPSC Specialist</t>
  </si>
  <si>
    <t>First certificate of registration issued: Temporary Employment Practice Certificate||Effective:   24 Sep 1963
Transfer of class of registration to: Independent Practice Certificate||Effective:   02 Jul 1964</t>
  </si>
  <si>
    <t>71553</t>
  </si>
  <si>
    <t xml:space="preserve">Active Member as of 18 Jul 2002 </t>
  </si>
  <si>
    <t xml:space="preserve">Independent Practice as of 18 Jul 2002 </t>
  </si>
  <si>
    <t>Department of Psychiatry,The Ottawa Hospital - Civic Campus,1053 Carling Avenue,Ottawa ON  K1Y 4E9</t>
  </si>
  <si>
    <t>University of Ottawa, 01 Jul 1997  to 30 Jun 1998|PostGrad Yr 1 - Psychiatry
University of Ottawa, 01 Jul 1998  to 30 Jun 1999|PostGrad Yr 2 - Psychiatry
University of Ottawa, 01 Jul 1999  to 30 Jun 2000|PostGrad Yr 3 - Psychiatry
University of Ottawa, 01 Jul 2000  to 30 Jun 2001|PostGrad Yr 4 - Psychiatry
University of Ottawa, 01 Jul 2001  to 30 Jun 2002|PostGrad Yr 5 - Psychiatry</t>
  </si>
  <si>
    <t>First certificate of registration issued: Postgraduate Education Certificate||Effective:   01 Jul 1997
Expired: Terms and conditions of certificate of registration||Expiry:      30 Jun 2002
Subsequent certificate of registration Issued: Independent Practice Certificate||Effective:   18 Jul 2002</t>
  </si>
  <si>
    <t>53643</t>
  </si>
  <si>
    <t xml:space="preserve">Active Member as of 18 Nov 1983 </t>
  </si>
  <si>
    <t xml:space="preserve">Independent Practice as of 18 Nov 1983 </t>
  </si>
  <si>
    <t>The University of Western Ontario, 1967</t>
  </si>
  <si>
    <t>230A - 100 Collip Circle,London ON  N6G 4X8</t>
  </si>
  <si>
    <t>(519) 858-5086</t>
  </si>
  <si>
    <t>St Joseph's Family Medical Centre,346 Platts Lane,London ON  N6G 1J1,Canada,Phone:(519) 672-9660,County:County of Middlesex,Electoral District:02
Fowler Kennedy Clinic,Fanshawe College,1001 Fanshawe College Boulevard,London ON  N5Y 5R6,Canada,Phone:(519) 452-4230,County:County of Middlesex,Electoral District:02
Suite 230A,100 Collip Circle,London ON  N6G 4X8,Canada,Phone:(519) 858-5085 Ext. 25085,Fax:(519) 858-5086,County:County of Middlesex,Electoral District:02</t>
  </si>
  <si>
    <t>Psychiatry||Effective: 17 Mar 1973||RCPSC Specialist</t>
  </si>
  <si>
    <t>First certificate of registration issued: Independent Practice Certificate||Effective:   18 Nov 1983</t>
  </si>
  <si>
    <t>David Robert Campbell Medicine Professional Corporation</t>
  </si>
  <si>
    <t>Issued Date:  Sep 22 2005</t>
  </si>
  <si>
    <t>Dr. D. Campbell (CPSO# 53643)</t>
  </si>
  <si>
    <t>Research Park,230A - 100 Collip Circle,London ON  N6G 4X8,(519) 858-5085</t>
  </si>
  <si>
    <t>74058</t>
  </si>
  <si>
    <t>McMaster University, 1994</t>
  </si>
  <si>
    <t>198 Island Hwy. East,Suite 213,P.O Box 269,Parksville BC  V9P 2G4</t>
  </si>
  <si>
    <t>250-586-1188</t>
  </si>
  <si>
    <t>888-898-4889</t>
  </si>
  <si>
    <t>Psychiatry||Effective: 23 Jun 1999||RCPSC Specialist</t>
  </si>
  <si>
    <t>First certificate of registration issued: Independent Practice Certificate||Effective:   30 Jun 1999</t>
  </si>
  <si>
    <t>D.R. Haslam Medicine Professional Corporation</t>
  </si>
  <si>
    <t>Inactive: Jan 24 2017</t>
  </si>
  <si>
    <t>55211</t>
  </si>
  <si>
    <t xml:space="preserve">Active Member as of 26 Apr 1985 </t>
  </si>
  <si>
    <t xml:space="preserve">Independent Practice as of 26 Apr 1985 </t>
  </si>
  <si>
    <t>McGill University, 1981</t>
  </si>
  <si>
    <t>Centre for Addiction,and Mental Health,250 College Street,Toronto ON  M5T 1R8</t>
  </si>
  <si>
    <t>(416) 979-6915</t>
  </si>
  <si>
    <t>First certificate of registration issued: Independent Practice Certificate||Effective:   26 Apr 1985</t>
  </si>
  <si>
    <t>David S. Goldbloom Medicine Professional Corporation</t>
  </si>
  <si>
    <t>Issued Date:  Dec 18 2012</t>
  </si>
  <si>
    <t>Dr. D. Goldbloom (CPSO# 55211)</t>
  </si>
  <si>
    <t>Centre for Addiction and Mental Health,824 - 250 College Street,Toronto ON  M5T 1R8,(416) 979-6915</t>
  </si>
  <si>
    <t>24166</t>
  </si>
  <si>
    <t xml:space="preserve">Active Member as of 10 Sep 1971 </t>
  </si>
  <si>
    <t xml:space="preserve">Independent Practice as of 10 Sep 1971 </t>
  </si>
  <si>
    <t>University of Toronto, 1967</t>
  </si>
  <si>
    <t>2110 Applewood Crescent,Ottawa ON  K1H 6B5</t>
  </si>
  <si>
    <t>(613) 738-6990</t>
  </si>
  <si>
    <t>Bruyere Continuing Care-Elisabeth Bruyere Site:Ottawa
Children's Hospital of Eastern Ontario:Ottawa</t>
  </si>
  <si>
    <t>Psychiatry||Effective: 16 Mar 1973||RCPSC Specialist</t>
  </si>
  <si>
    <t>First certificate of registration issued: Postgraduate Education Certificate||Effective:   01 Jul 1968
Transfer of class of registration to: Independent Practice Certificate||Effective:   10 Sep 1971</t>
  </si>
  <si>
    <t>D.S. Palframan Medicine Professional Corporation</t>
  </si>
  <si>
    <t>Inactive: Jan 20 2016</t>
  </si>
  <si>
    <t>27392</t>
  </si>
  <si>
    <t xml:space="preserve">Active Member as of 20 Apr 2016 </t>
  </si>
  <si>
    <t xml:space="preserve">Independent Practice as of 20 Apr 2016 </t>
  </si>
  <si>
    <t>The University of British Columbia, 1974</t>
  </si>
  <si>
    <t>485 Silvercreek Pkwy North, Unit 1,Guelph ON  N1H 7K5</t>
  </si>
  <si>
    <t>1-844-264-2993 Ext. 2513</t>
  </si>
  <si>
    <t>519-836-7459</t>
  </si>
  <si>
    <t>Psychiatry||Effective: 30 Jun 1993||RCPSC Specialist
Child and Adolescent Psychiatry||Effective: 26 Sep 2013||RCPSC Specialist</t>
  </si>
  <si>
    <t>University of Toronto, 01 Jul 1974  to 30 Jun 1975|PostGrad Yr 1 - Rotating Internship</t>
  </si>
  <si>
    <t>First certificate of registration issued: Independent Practice Certificate||Effective:   21 Jun 1975
Expired: Resigned from membership.||Expiry:      04 Jun 1999
Subsequent certificate of registration Issued: Independent Practice Certificate||Effective:   20 Apr 2016</t>
  </si>
  <si>
    <t>24795</t>
  </si>
  <si>
    <t xml:space="preserve">Active Member as of 07 Jul 1972 </t>
  </si>
  <si>
    <t xml:space="preserve">Independent Practice as of 07 Jul 1972 </t>
  </si>
  <si>
    <t>University of Liverpool, 1967</t>
  </si>
  <si>
    <t>Sun Life Financial,Mailbox 3 N 334,50 Westmount Road N,Waterloo ON  N2L 2R5</t>
  </si>
  <si>
    <t>(519) 497-0959</t>
  </si>
  <si>
    <t>First certificate of registration issued: Postgraduate Education Certificate||Effective:   01 Jul 1967
Expired: Terms and conditions of certificate of registration||Expiry:      30 Jun 1971
Subsequent certificate of registration Issued: Postgraduate Education Certificate||Effective:   16 Aug 1971
Transfer of class of registration to: Independent Practice Certificate||Effective:   07 Jul 1972</t>
  </si>
  <si>
    <t>Heath Medicine Professional Corporation</t>
  </si>
  <si>
    <t>Issued Date:  Jul 06 2010</t>
  </si>
  <si>
    <t>Dr. D. Heath (CPSO# 24795)</t>
  </si>
  <si>
    <t>50 Westmount Road North,Suite 3N 334,Waterloo ON  N2L 2R5,(519) 497-0959</t>
  </si>
  <si>
    <t>110797</t>
  </si>
  <si>
    <t xml:space="preserve">Active Member as of 24 Aug 2016 </t>
  </si>
  <si>
    <t xml:space="preserve">Restricted as of 24 Aug 2016 </t>
  </si>
  <si>
    <t>Tel Aviv University, 2009</t>
  </si>
  <si>
    <t>101 Medical Centre,Suite 101,1520 Steeles Avenue West,Vaughan ON  L4K 3B9</t>
  </si>
  <si>
    <t>(905) 597-4457</t>
  </si>
  <si>
    <t>Psychiatry||Effective: 24 Aug 2016||CPSO Recognized Specialist</t>
  </si>
  <si>
    <t>First certificate of registration issued: Restricted certificate||Effective:   24 Aug 2016
Terms and conditions imposed on certificate by Registration Committee||Effective:   24 Aug 2016
Expiry date attached to certificate of registration.||Expiry Date: 23 Aug 2019</t>
  </si>
  <si>
    <t>76537</t>
  </si>
  <si>
    <t>St Michael's Hospital,Room 17 054 Cardinal Carter Wing,30 Bond Street,Toronto ON  M5B 1W8</t>
  </si>
  <si>
    <t>(416) 864-6060 Ext. 4007</t>
  </si>
  <si>
    <t>Dr. David Robertson Medicine Professional Corporation</t>
  </si>
  <si>
    <t>Issued Date:  Dec 13 2010</t>
  </si>
  <si>
    <t>Dr. D. Robertson (CPSO# 76537)</t>
  </si>
  <si>
    <t>St. Michael's Hospital,Room 17 054 Cardinal Carter Wing,30 Bond Street,Toronto ON  M5B 1W8,(416) 864-6060</t>
  </si>
  <si>
    <t>42457</t>
  </si>
  <si>
    <t xml:space="preserve">Active Member as of 06 Jul 1976 </t>
  </si>
  <si>
    <t xml:space="preserve">Independent Practice as of 18 Dec 1991 </t>
  </si>
  <si>
    <t>University of the West Indies, 1971</t>
  </si>
  <si>
    <t>Bridlewood Professional Centre,3443 Finch Avenue East,Suite 303,Scarborough ON  M1W 2S1</t>
  </si>
  <si>
    <t>(416) 494-8880</t>
  </si>
  <si>
    <t>(416) 494-7594</t>
  </si>
  <si>
    <t>Scarborough Hospital-Birchmount Campus:Toronto</t>
  </si>
  <si>
    <t>First certificate of registration issued: Postgraduate Education Certificate||Effective:   06 Jul 1976
Transfer of class of registration to: Hospital Practice Certificate||Effective:   11 Dec 1981
Transfer of class of registration to: Independent Practice Certificate||Effective:   18 Dec 1991</t>
  </si>
  <si>
    <t>David W. W. Lowe Medicine Professional Corporation</t>
  </si>
  <si>
    <t>Dr. D. Lowe (CPSO# 42457)</t>
  </si>
  <si>
    <t>Bridlewood Professional Centre,303 - 3443 Finch Avenue East,Scarborough ON  M1W 2S1,(416) 494-8880</t>
  </si>
  <si>
    <t>97653</t>
  </si>
  <si>
    <t xml:space="preserve">Independent Practice as of 28 Aug 2017 </t>
  </si>
  <si>
    <t>Yerevan State Medical University, 1998</t>
  </si>
  <si>
    <t>(905)-576-8711</t>
  </si>
  <si>
    <t>Psychiatry||Effective: 28 Aug 2017||RCPSC Specialist</t>
  </si>
  <si>
    <t>Queen's University, 01 Jul 2012  to 22 Sep 2012|Assessment Verification Period - Psychiatry
Queen's University, 23 Sep 2012  to 30 Jun 2013|PostGrad Yr 1 - Psychiatry
Queen's University, 01 Jul 2013  to 30 Jun 2014|PostGrad Yr 2 - Psychiatry
Queen's University, 01 Jul 2014  to 30 Jun 2015|PostGrad Yr 3 - Psychiatry
Queen's University, 01 Jul 2015  to 30 Jun 2016|PostGrad Yr 4 - Psychiatry
Queen's University, 01 Jul 2016  to 30 Jun 2017|PostGrad Yr 5 - Psychiatry
Queen's University, 01 Jul 2017  to 28 Aug 2017|PostGrad Yr 5 - Psychiatry</t>
  </si>
  <si>
    <t>First certificate of registration issued: Pre Entry Assessment Program Certificate||Effective:   01 Jul 2012
Transfer of class of registration to: Postgraduate Education Certificate||Effective:   23 Sep 2012
Transfer of class of registration to: Independent Practice Certificate||Effective:   28 Aug 2017</t>
  </si>
  <si>
    <t>D. Khachatryan Medicine Professional Corporation</t>
  </si>
  <si>
    <t>Issued Date:  Sep 13 2017</t>
  </si>
  <si>
    <t>Dr. D. Khachatryan (CPSO# 97653)</t>
  </si>
  <si>
    <t>Lakeridge Health Oshawa,1 Hospital Court,Oshawa ON  L1G 2B9,(905) 550-3313</t>
  </si>
  <si>
    <t>30980</t>
  </si>
  <si>
    <t xml:space="preserve">Active Member as of 18 Jul 1979 </t>
  </si>
  <si>
    <t xml:space="preserve">Independent Practice as of 18 Jul 1979 </t>
  </si>
  <si>
    <t>University of Otago, 1962</t>
  </si>
  <si>
    <t>361 Waverley Street,Ottawa ON  K2P 0W4</t>
  </si>
  <si>
    <t>(613) 234-0803</t>
  </si>
  <si>
    <t>Psychiatry||Effective: 08 Mar 2007||CPSO Recognized Specialist</t>
  </si>
  <si>
    <t>First certificate of registration issued: Academic Practice Certificate||Effective:   25 Oct 1977
Transfer of class of registration to: Independent Practice Certificate||Effective:   18 Jul 1979</t>
  </si>
  <si>
    <t>112983</t>
  </si>
  <si>
    <t>Mount Sinai Hospital,600 University Avenue,Toronto ON  M5G 1X5</t>
  </si>
  <si>
    <t>416-586-4800 Ext. 5419</t>
  </si>
  <si>
    <t>416-586-8654</t>
  </si>
  <si>
    <t>USA - Massachusetts</t>
  </si>
  <si>
    <t>First certificate of registration issued: Independent Practice Certificate||Effective:   30 Jun 2017</t>
  </si>
  <si>
    <t>79300</t>
  </si>
  <si>
    <t>University of Ottawa, 2003</t>
  </si>
  <si>
    <t>Women's College Hospital,Suite 7128,76 Grenville Street,Toronto ON  M5S 1B2</t>
  </si>
  <si>
    <t>(416) 323-6400 Ext. 5425</t>
  </si>
  <si>
    <t>Dr. Christopher Mongiardi Medicine Professional Corporation</t>
  </si>
  <si>
    <t>Issued Date:  Nov 03 2010</t>
  </si>
  <si>
    <t>Dr. D. Bruno (CPSO# 79300),Dr. C. Mongiardi (CPSO# 81117)</t>
  </si>
  <si>
    <t>Oakville Trafalgar Memorial Hospital,3001 Hospital Gate,Oakville ON  L6M 0L8,(905) 845-2571</t>
  </si>
  <si>
    <t>58605</t>
  </si>
  <si>
    <t xml:space="preserve">Independent Practice as of 17 Nov 1988 </t>
  </si>
  <si>
    <t>Krasilczuk, Deanna Marie (used until: 14 Jul 1987 )</t>
  </si>
  <si>
    <t>Ottawa Hospital,Civic Campus,1053 Carling Avenue,Ottawa ON  K1Y 4E9</t>
  </si>
  <si>
    <t>613 761 5328</t>
  </si>
  <si>
    <t>1355 Bank Street suite 301,Ottawa ON  K1H8K7,Canada,Phone:613 737 7791,County:Regional Municipality of Ottawa-Carleton,Electoral District:07</t>
  </si>
  <si>
    <t>McMaster University, 01 Jul 1987  to 30 Jun 1988|Other - Comprehensive Internship
McMaster University, 01 Jul 1988  to 30 Jun 1989|Resident 2 - Family Medicine
McMaster University, 01 Jul 1989  to 30 Jun 1990|Resident 2 - Family Medicine
McMaster University, 01 Jul 1992  to 30 Jun 1993|Resident 1 - Psychiatry
McMaster University, 01 Jul 1993  to 30 Jun 1994|Resident 2 - Psychiatry
McMaster University, 01 Jul 1994  to 30 Jun 1995|Resident 3 - Psychiatry
McMaster University, 01 Jul 1995  to 30 Jun 1996|Resident 4 - Psychiatry</t>
  </si>
  <si>
    <t>First certificate of registration issued: Postgraduate Education Certificate||Effective:   01 Jul 1987
Transfer of class of registration to: Independent Practice Certificate||Effective:   17 Nov 1988</t>
  </si>
  <si>
    <t>Jay Mercer Medicine Professional Corporation</t>
  </si>
  <si>
    <t>Issued Date:  Jan 22 2013</t>
  </si>
  <si>
    <t>Dr. J. Mercer (CPSO# 66552),Dr. D. Mercer (CPSO# 58605)</t>
  </si>
  <si>
    <t>Bruyere Family Medicine Centre,75 Bruyere Street,Ottawa ON  K1N 5C8,(613) 241-3344</t>
  </si>
  <si>
    <t>53735</t>
  </si>
  <si>
    <t xml:space="preserve">Active Member as of 10 Feb 1984 </t>
  </si>
  <si>
    <t xml:space="preserve">Independent Practice as of 10 Feb 1984 </t>
  </si>
  <si>
    <t>McGill University, 1980</t>
  </si>
  <si>
    <t>Centre for Addiction and,Mental Health,Room 1129,80 Workman Way,Toronto ON  M6J 1H4</t>
  </si>
  <si>
    <t>(416) 535-8501 Ext. 36964</t>
  </si>
  <si>
    <t>(416) 979-4685</t>
  </si>
  <si>
    <t>Mount Sinai Hospital,Department of Family Medicine,4th floor,60 Murray Street,Toronto ON  M5T 3L9,Canada,Phone:(416) 586-4800 Ext. 5157,Fax:(416) 586-3175,County:City of Toronto,Electoral District:10</t>
  </si>
  <si>
    <t>Centre for Addiction &amp; Mental Health,Queen Street Site:Toronto
Centre of Addiction &amp; Mental Health,- College Street Site:Toronto
Mount Sinai Hospital:Toronto</t>
  </si>
  <si>
    <t>Psychiatry||Effective: 10 Jun 1987||RCPSC Specialist
Child and Adolescent Psychiatry||Effective: 26 Sep 2013||RCPSC Specialist</t>
  </si>
  <si>
    <t>First certificate of registration issued: Independent Practice Certificate||Effective:   10 Feb 1984</t>
  </si>
  <si>
    <t>Debbie Carol Schachter Medicine Professional Corporation</t>
  </si>
  <si>
    <t>Issued Date:  May 10 2012</t>
  </si>
  <si>
    <t>Dr. D. Schachter (CPSO# 53735)</t>
  </si>
  <si>
    <t>60 Murray Street,4th Floor,Toronto ON  M5T 3L9,(416) 586-4800
Centre for Addiction and Mental Health,Centre for Addiction and Mental Health,80 Workman Way,Room 1129,Toronto ON  M6J 1H4,(416) 535-8501</t>
  </si>
  <si>
    <t>100476</t>
  </si>
  <si>
    <t xml:space="preserve">Active Member as of 24 Aug 2018 </t>
  </si>
  <si>
    <t xml:space="preserve">Independent Practice as of 24 Aug 2018 </t>
  </si>
  <si>
    <t>Koffler Student Services Centre,Health &amp; Wellness Centre,214 College St,Toronto ON  M5T 2Z9</t>
  </si>
  <si>
    <t>First certificate of registration issued: Postgraduate Education Certificate||Effective:   01 Jul 2013
Expired: Terms and conditions of certificate of registration||Expiry:      30 Jun 2018
Subsequent certificate of registration Issued: Independent Practice Certificate||Effective:   24 Aug 2018</t>
  </si>
  <si>
    <t>31365</t>
  </si>
  <si>
    <t xml:space="preserve">Active Member as of 06 Mar 1980 </t>
  </si>
  <si>
    <t xml:space="preserve">Independent Practice as of 06 Mar 1980 </t>
  </si>
  <si>
    <t>41 Ava Road,Toronto ON  M5P 1Y7</t>
  </si>
  <si>
    <t>(416) 487-2743</t>
  </si>
  <si>
    <t>First certificate of registration issued: Postgraduate Education Certificate||Effective:   01 Jul 1978
Expired: Terms and conditions of certificate of registration||Expiry:      30 Jun 1979
Subsequent certificate of registration Issued: Postgraduate Education Certificate||Effective:   01 Sep 1979
Transfer of class of registration to: Independent Practice Certificate||Effective:   06 Mar 1980</t>
  </si>
  <si>
    <t>Dr. Deborah Leibow Medicine Professional Corporation</t>
  </si>
  <si>
    <t>Issued Date:  Jun 14 2006</t>
  </si>
  <si>
    <t>Dr. D. Leibow (CPSO# 31365)</t>
  </si>
  <si>
    <t>41 Ava Road,Toronto ON  M5P 1Y7,(416) 487-2743</t>
  </si>
  <si>
    <t>50501</t>
  </si>
  <si>
    <t xml:space="preserve">Active Member as of 01 Sep 1981 </t>
  </si>
  <si>
    <t xml:space="preserve">Independent Practice as of 05 Dec 1984 </t>
  </si>
  <si>
    <t>Queen's University, 1979</t>
  </si>
  <si>
    <t>Canadian Forces Health Services,CFB Kingston,PO Box 17000, Stn Forces,Kingston Ont,Kingston ON  K7K 7B4</t>
  </si>
  <si>
    <t>(613) 541 5010 Ext. 5776</t>
  </si>
  <si>
    <t>(613) 541 4607</t>
  </si>
  <si>
    <t>First certificate of registration issued: Postgraduate Education Certificate||Effective:   01 Jul 1979
Expired: Terms and conditions of certificate of registration||Expiry:      30 Jun 1980
Subsequent certificate of registration Issued: Postgraduate Education Certificate||Effective:   01 Sep 1981
Transfer of class of registration to: Independent Practice Certificate||Effective:   05 Dec 1984</t>
  </si>
  <si>
    <t>Deborah Elliott Medicine Professional Corporation</t>
  </si>
  <si>
    <t>Dr. D. Elliott (CPSO# 50501)</t>
  </si>
  <si>
    <t>33 CFHSvs,CFB Kingston,PO Box 17000,Kingston ON  K7K 7B4</t>
  </si>
  <si>
    <t>77830</t>
  </si>
  <si>
    <t>Krieger, Deborah (used until: 03 Oct 2005 )</t>
  </si>
  <si>
    <t>University of Alberta, 2002</t>
  </si>
  <si>
    <t>North York General Hospital,555 Finch Avenue West, 2 North,North York ON  M2R 1N5</t>
  </si>
  <si>
    <t>(416) 633-9420 Ext. 6036</t>
  </si>
  <si>
    <t>North York General Hospital,Branson Hospital Site:Toronto
Sunnybrook Health Sciences Centre:Toronto</t>
  </si>
  <si>
    <t>University of Toronto, 01 Jul 2002  to 30 Jun 2003|PostGrad Yr 1 - Psychiatry
University of Toronto, 01 Jul 2003  to 30 Jun 2004|PostGrad Yr 2 - Psychiatry
University of Toronto, 01 Jul 2004  to 30 Jun 2005|PostGrad Yr 3 - Psychiatry
University of Toronto, 01 Jul 2005  to 30 Jun 2006|PostGrad Yr 4 - Psychiatry
University of Toronto, 01 Jul 2006  to 30 Jun 2007|PostGrad Yr 4 - Psychiatry
University of Toronto, 01 Jul 2007  to 30 Jun 2008|PostGrad Yr 5 - Psychiatry</t>
  </si>
  <si>
    <t>First certificate of registration issued: Postgraduate Education Certificate||Effective:   01 Jul 2002
Transfer of class of registration to: Independent Practice Certificate||Effective:   30 Jun 2008</t>
  </si>
  <si>
    <t>Dr. Deborah Nacson Medicine Professional Corporation</t>
  </si>
  <si>
    <t>Issued Date:  Jun 23 2011</t>
  </si>
  <si>
    <t>Dr. D. Nacson (CPSO# 77830)</t>
  </si>
  <si>
    <t>Room 2 North,555 Finch Avenue West,Toronto ON  M2R 1N6,(416) 633-9420</t>
  </si>
  <si>
    <t>90751</t>
  </si>
  <si>
    <t xml:space="preserve">Active Member as of 02 Oct 2013 </t>
  </si>
  <si>
    <t>Dalhousie University, 2009</t>
  </si>
  <si>
    <t>MDOT: 145 Front Street East,Room 304,Toronto ON  M5A 1E3</t>
  </si>
  <si>
    <t>416 591-4411</t>
  </si>
  <si>
    <t>416 640-2072</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</si>
  <si>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Psychiatry
University of Toronto, 04 Aug 2014  to 04 Jun 2015|Clinical Fellow - Psychiatry</t>
  </si>
  <si>
    <t>First certificate of registration issued: Postgraduate Education Certificate||Effective:   01 Jul 2009
Expired: Terms and conditions of certificate of registration||Expiry:      02 Oct 2013
Subsequent certificate of registration issued: Restricted certificate||Effective:   02 Oct 2013
Transfer of class of registration to: Independent Practice Certificate||Effective:   30 Jun 2014</t>
  </si>
  <si>
    <t>55390</t>
  </si>
  <si>
    <t xml:space="preserve">Independent Practice as of 24 Jun 1987 </t>
  </si>
  <si>
    <t>University of Toronto, 17 Jun 1985  to 16 Jun 1986|Other - Comprehensive Internship
University of Toronto, 01 Jul 1986  to 30 Jun 1987|Resident 1 - Anesthesiology
University of Toronto, 01 Jul 1987  to 30 Jun 1988|Resident 1 - Psychiatry
University of Toronto, 01 Jul 1988  to 30 Jun 1989|Resident 2 - Psychiatry
University of Toronto, 01 Jul 1989  to 30 Jun 1990|Resident 4 - Psychiatry
University of Toronto, 01 Aug 1990  to 30 Jun 1991|Clinical Fellow - Psychiatry</t>
  </si>
  <si>
    <t>First certificate of registration issued: Postgraduate Education Certificate||Effective:   17 Jun 1985
Transfer of class of registration to: Independent Practice Certificate||Effective:   24 Jun 1987</t>
  </si>
  <si>
    <t>D.R. Schuller Medicine Professional Corporation</t>
  </si>
  <si>
    <t>Inactive: Oct 23 2009</t>
  </si>
  <si>
    <t>67512</t>
  </si>
  <si>
    <t xml:space="preserve">Active Member as of 17 Dec 1999 </t>
  </si>
  <si>
    <t xml:space="preserve">Independent Practice as of 17 Dec 1999 </t>
  </si>
  <si>
    <t>Bayfield Treatment Centres,30 Country Road 39,Consecon Ontario KOK ITO,Toronto ON  K0K 1T0</t>
  </si>
  <si>
    <t>613 392 3551 Ext. 227</t>
  </si>
  <si>
    <t>Portage Rehabilitation Treatment Ce,RR 1,Box 209,Elora ON  N0B 1S0,Canada,Phone:519 846 0945,County:County of Wellington,Electoral District:03</t>
  </si>
  <si>
    <t>University of Toronto, 04 Oct 1993  to 30 Jun 1994|PostGrad Yr 1 - Psychiatry
University of Toronto, 01 Jul 1994  to 30 Jun 1995|Resident 1 - Psychiatry
University of Toronto, 01 Jul 1995  to 30 Jun 1996|Resident 2 - Psychiatry
University of Toronto, 01 Jul 1996  to 30 Jun 1997|Resident 3 - Psychiatry
University of Toronto, 01 Jul 1997  to 30 Jun 1998|Resident 4 - Psychiatry
University of Toronto, 01 Jul 1998  to 31 Dec 1998|Resident 4 - Psychiatry</t>
  </si>
  <si>
    <t>First certificate of registration issued: Postgraduate Education Certificate||Effective:   04 Oct 1993
Expired: Terms and conditions of certificate of registration||Expiry:      31 Dec 1998
Subsequent certificate of registration issued: Restricted certificate||Effective:   19 Feb 1999
Expired: Terms and conditions imposed on certificate by Registration Committee||Effective:   17 Dec 1999
Subsequent certificate of registration Issued: Independent Practice Certificate||Effective:   17 Dec 1999</t>
  </si>
  <si>
    <t>80846</t>
  </si>
  <si>
    <t>Leung, Debbie Wing-Sze (used until: 25 Aug 2014 )</t>
  </si>
  <si>
    <t>Southlake Regional Health Centre,596 Davis Dr,West Building, 5th floor,Newmarket ON  L3Y 2P9</t>
  </si>
  <si>
    <t>905-830-5977</t>
  </si>
  <si>
    <t>Markham Family Health Team,377 Church St,Suite 101,Markham ON  L6B 1A1,Canada,Phone:(905) 471-9999,County:Regional Municipality of York,Electoral District:05</t>
  </si>
  <si>
    <t>Psychiatry||Effective: 30 Jun 2009||RCPSC Specialist
Child and Adolescent Psychiatry||Effective: 21 Sep 2015||RCPSC Specialist</t>
  </si>
  <si>
    <t>Deborah W.S. Leung Medicine Professional Corporation</t>
  </si>
  <si>
    <t>Dr. D. Leung (CPSO# 80846)</t>
  </si>
  <si>
    <t>Southlake Regional Health Centre,596 Davis Drive,Child &amp; Family Clinic,West 5,Newmarket ON  L3Y 2P9,(905) 895-4521
Markham Family Health Team,Markham Family Health Team,377 Church Street,Suite 101,Markham ON  L6B 1A1,(905) 471-9999</t>
  </si>
  <si>
    <t>76368</t>
  </si>
  <si>
    <t>Sickkids Centre Community Mental He,114 Maitland Street #501,Toronto ON  M4Y 1E1</t>
  </si>
  <si>
    <t>(416) 924-1164 Ext. 3116</t>
  </si>
  <si>
    <t>(416) 924-8208</t>
  </si>
  <si>
    <t>Psychiatry||Effective: 30 Jun 2007||RCPSC Specialist
Child and Adolescent Psychiatry||Effective: 23 Sep 2014||RCPSC Specialist</t>
  </si>
  <si>
    <t>University of Toronto, 01 Jul 2001  to 30 Jun 2002|PostGrad Yr 1 - Psychiatry
University of Toronto, 01 Jul 2002  to 30 Jun 2003|PostGrad Yr 2 - Psychiatry
University of Toronto, 01 Jul 2003  to 30 Jun 2004|PostGrad Yr 3 - Psychiatry
University of Toronto, 01 Jul 2004  to 30 Jun 2005|PostGrad Yr 4 - Psychiatry
University of Toronto, 01 Jul 2005  to 30 Jun 2006|PostGrad Yr 5 - Psychiatry
University of Toronto, 01 Jul 2006  to 30 Jun 2007|PostGrad Yr 5 - Psychiatry</t>
  </si>
  <si>
    <t>First certificate of registration issued: Postgraduate Education Certificate||Effective:   01 Jul 2001
Transfer of class of registration to: Independent Practice Certificate||Effective:   30 Jun 2007</t>
  </si>
  <si>
    <t>93896</t>
  </si>
  <si>
    <t xml:space="preserve">Active Member as of 18 Jul 2016 </t>
  </si>
  <si>
    <t xml:space="preserve">Independent Practice as of 18 Jul 2016 </t>
  </si>
  <si>
    <t>McMaster University, 2010</t>
  </si>
  <si>
    <t>Maple Family Health Team,1036 Princess Street, Unit D2,Kingston ON  K7K 6L8</t>
  </si>
  <si>
    <t>613-531-5888</t>
  </si>
  <si>
    <t>Psychiatry||Effective: 07 Jun 2016||RCPSC Specialist</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</si>
  <si>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07 Jun 2015|PostGrad Yr 4 - Psychiatry
University of Toronto, 08 Jun 2015  to 30 Jun 2015|PostGrad Yr 5 - Psychiatry
University of Toronto, 01 Jul 2015  to 07 Jun 2016|PostGrad Yr 5 - Psychiatry</t>
  </si>
  <si>
    <t>First certificate of registration issued: Postgraduate Education Certificate||Effective:   01 Jul 2010
Expired: Terms and conditions of certificate of registration||Expiry:      07 Jun 2016
Subsequent certificate of registration Issued: Independent Practice Certificate||Effective:   18 Jul 2016</t>
  </si>
  <si>
    <t>74810</t>
  </si>
  <si>
    <t>National University of Ireland, 1987</t>
  </si>
  <si>
    <t>Health Sciences North,Kirkwood Site,680 Kirkwood Drive,Sudbury ON  P3E 1X3</t>
  </si>
  <si>
    <t>The University of Western Ontario, 01 Jul 2000  to 30 Jun 2001|PostGrad Yr 5 - Psychiatry</t>
  </si>
  <si>
    <t>First certificate of registration issued: Postgraduate Education Certificate||Effective:   01 Jul 2000
Transfer of class of registration to: Independent Practice Certificate||Effective:   30 Jun 2001</t>
  </si>
  <si>
    <t>Dr. D. P. Boylan Medicine Professional Corporation</t>
  </si>
  <si>
    <t>Issued Date:  Nov 13 2009</t>
  </si>
  <si>
    <t>Dr. D. Boylan (CPSO# 74810)</t>
  </si>
  <si>
    <t>Sudbury Regional Hospital,680 Kirkwood Drive,Sudbury ON  P3E 1X3,(705) 675-5900
Health Sciences North,Health Sciences North,41 Ramsey Lake Road,Sudbury ON  P3E 5J1,(705) 523-7100</t>
  </si>
  <si>
    <t>30348</t>
  </si>
  <si>
    <t xml:space="preserve">Active Member as of 13 Dec 1973 </t>
  </si>
  <si>
    <t xml:space="preserve">Independent Practice as of 14 Aug 1978 </t>
  </si>
  <si>
    <t>Royal College of Surgeons in Ireland, 1973</t>
  </si>
  <si>
    <t>Timmons and district Hospital,700 Ross Avenue East,Timmins,Timmins ON  P4N 8P2</t>
  </si>
  <si>
    <t>705 267 2131</t>
  </si>
  <si>
    <t>Psychiatry||Effective: 19 Nov 1979||RCPSC Specialist</t>
  </si>
  <si>
    <t>First certificate of registration issued: Postgraduate Education Certificate||Effective:   13 Dec 1973
Transfer of class of registration to: Independent Practice Certificate||Effective:   14 Aug 1978</t>
  </si>
  <si>
    <t>O'Flanagan Medicine Professional Corporation</t>
  </si>
  <si>
    <t>Issued Date:  May 29 2007</t>
  </si>
  <si>
    <t>Dr. D. O'Flanagan (CPSO# 30348)</t>
  </si>
  <si>
    <t>700 Ross Avenue East,Timmins ON  P4N 8P2,(705) 267-2131</t>
  </si>
  <si>
    <t>93536</t>
  </si>
  <si>
    <t xml:space="preserve">Independent Practice as of 15 Jul 2015 </t>
  </si>
  <si>
    <t>3030 Birchmount Rd. Unit 3E,Scarborough ON  M1W 3W3</t>
  </si>
  <si>
    <t>(416) 495-2563</t>
  </si>
  <si>
    <t>Scarborough Hospital,General Site:Toronto
Scarborough Hospital-Birchmount Campus:Toronto</t>
  </si>
  <si>
    <t>First certificate of registration issued: Postgraduate Education Certificate||Effective:   01 Jul 2010
Transfer of class of registration to: Independent Practice Certificate||Effective:   15 Jul 2015</t>
  </si>
  <si>
    <t>Dr. Denise Sum Medicine Professional Corporation</t>
  </si>
  <si>
    <t>Issued Date:  Dec 21 2015</t>
  </si>
  <si>
    <t>Dr. D. Sum (CPSO# 93536)</t>
  </si>
  <si>
    <t>The Scarborough Hospital,Unit J,1225 Kennedy Road,Scarborough ON  M1P 4Y1,(416) 431-8135
Unit 3E,Unit 3E,3030 Birchmount Road,Scarborough ON  M1W 3W3,(416) 495-2563</t>
  </si>
  <si>
    <t>56872</t>
  </si>
  <si>
    <t xml:space="preserve">Independent Practice as of 29 Jun 1987 </t>
  </si>
  <si>
    <t>1245 Danforth Ave.,,Toronto, Ont.,,Toronto ON  M4J 1M8</t>
  </si>
  <si>
    <t>(416) 921-2395</t>
  </si>
  <si>
    <t>University of Toronto, 16 Jun 1986  to 15 Jun 1987|Other - Comprehensive Internship
University of Toronto, 01 Jul 1988  to 30 Jun 1989|Resident 1 - Psychiatry
University of Toronto, 01 Jul 1989  to 30 Jun 1990|Resident 2 - Psychiatry</t>
  </si>
  <si>
    <t>First certificate of registration issued: Postgraduate Education Certificate||Effective:   16 Jun 1986
Transfer of class of registration to: Independent Practice Certificate||Effective:   29 Jun 1987</t>
  </si>
  <si>
    <t>David Hogg Medicine Professional Corporation</t>
  </si>
  <si>
    <t>Issued Date:  Dec 14 2012</t>
  </si>
  <si>
    <t>Dr. D. Hogg (CPSO# 32483),Dr. D. Sequeira (CPSO# 56872)</t>
  </si>
  <si>
    <t>Princess Margaret Hospital,610 University Avenue,Suite 5-108,Toronto ON  M5G 2M9,(416) 946-4521
Mount Sinai Hospital,Mount Sinai Hospital,600 University Avenue,Toronto ON  M5G 1X5,(416) 596-4200</t>
  </si>
  <si>
    <t>33384</t>
  </si>
  <si>
    <t xml:space="preserve">Active Member as of 16 Jun 1982 </t>
  </si>
  <si>
    <t xml:space="preserve">Independent Practice as of 16 Jun 1982 </t>
  </si>
  <si>
    <t>The University of Manitoba, 1966</t>
  </si>
  <si>
    <t>Department Of Psychiatry,Toronto Western Hospital,9E452 N E,399 Bathurst Street,Toronto ON  M5T 2S8</t>
  </si>
  <si>
    <t>(416) 603-5983</t>
  </si>
  <si>
    <t>(416) 603-5490</t>
  </si>
  <si>
    <t>University Health Network,Princess Margaret Hospital-Ontario Cancer Institute:Toronto
University Health Network,Toronto General Hospital Site:Toronto
University Health Network,Toronto Western Hospital Site:Toronto</t>
  </si>
  <si>
    <t>Psychiatry||Effective: 01 Jan 1973||RCPSC Specialist</t>
  </si>
  <si>
    <t>First certificate of registration issued: Independent Practice Certificate||Effective:   16 Jun 1982</t>
  </si>
  <si>
    <t>28612</t>
  </si>
  <si>
    <t xml:space="preserve">Active Member as of 06 Aug 1976 </t>
  </si>
  <si>
    <t xml:space="preserve">Independent Practice as of 06 Aug 1976 </t>
  </si>
  <si>
    <t>University of London, 1971</t>
  </si>
  <si>
    <t>118 March Street,Sault Ste Marie ON  P6A 2Z3</t>
  </si>
  <si>
    <t>(705) 253-9671</t>
  </si>
  <si>
    <t>The University of Western Ontario, 01 Jul 1995  to 30 Jun 1996|Resident 3 - Psychiatry
The University of Western Ontario, 01 Jul 1996  to 30 Jun 1997|Resident 4 - Psychiatry
The University of Western Ontario, 01 Jul 1997  to 30 Jun 1998|Clinical Fellow - Psychiatry</t>
  </si>
  <si>
    <t>First certificate of registration issued: Independent Practice Certificate||Effective:   06 Aug 1976</t>
  </si>
  <si>
    <t>Derek Hopgood Medicine Professional Corporation</t>
  </si>
  <si>
    <t>Issued Date:  Dec 18 2006</t>
  </si>
  <si>
    <t>Dr. D. Hopgood (CPSO# 28612)</t>
  </si>
  <si>
    <t>118 March Street,Sault Ste Marie ON  P6A 2Z3,(705) 253-9671</t>
  </si>
  <si>
    <t>69146</t>
  </si>
  <si>
    <t xml:space="preserve">Independent Practice as of 27 Nov 2000 </t>
  </si>
  <si>
    <t>Memorial University of Newfoundland, 1995</t>
  </si>
  <si>
    <t>Mental Health Patient Service Unit,Children's Hospital of Eastern Ont,401 Smyth Road,Ottawa ON  K1H 8L1</t>
  </si>
  <si>
    <t>(613) 737-7600 Ext. 2703</t>
  </si>
  <si>
    <t>(613) 738-4202</t>
  </si>
  <si>
    <t>Canadian Forces Health Services Cen,PO Box 17000 Stn Forces,Kingston ON  K7K 7B4,Canada,Phone:6135415010 Ext. 6310,Fax:6135414607,County:County of Frontenac,Electoral District:06</t>
  </si>
  <si>
    <t>McMaster University, 01 Jul 1995  to 30 Jun 1996|PostGrad Yr 1 - Psychiatry
McMaster University, 01 Jul 1996  to 30 Jun 1997|PostGrad Yr 2 - Psychiatry
McMaster University, 01 Jul 1997  to 30 Jun 1998|PostGrad Yr 3 - Psychiatry
McMaster University, 01 Jul 1998  to 30 Jun 1999|PostGrad Yr 4 - Psychiatry
McMaster University, 01 Jul 1999  to 30 Jun 2000|PostGrad Yr 5 - Psychiatry
University of Ottawa, 01 Jul 2000  to 30 Jun 2001|Clinical Fellow - Psychiatry</t>
  </si>
  <si>
    <t>First certificate of registration issued: Postgraduate Education Certificate||Effective:   01 Jul 1995
Transfer of class of registration to: Independent Practice Certificate||Effective:   27 Nov 2000</t>
  </si>
  <si>
    <t>D.G.Puddester Medicine Professional Corporation</t>
  </si>
  <si>
    <t>Issued Date:  Sep 28 2007</t>
  </si>
  <si>
    <t>Dr. D. Puddester (CPSO# 69146)</t>
  </si>
  <si>
    <t>451 Smyth Road,Ottawa ON  K1H 8M5,(613) 562-5800
Mental Health Patient Service Unit,Mental Health Patient Service Unit,Children's Hospital of Eastern Ontario,401 Smyth Road,Ottawa ON  K1H 8L1,(613) 737-7600
150 Bloor Street West,150 Bloor Street West,Suite 900,Toronto ON  M5S 3C1,(800) 851-6606</t>
  </si>
  <si>
    <t>68950</t>
  </si>
  <si>
    <t>English, Estonian</t>
  </si>
  <si>
    <t>Suite 200,1920 Yonge Street,Toronto ON  M4S 3E2</t>
  </si>
  <si>
    <t>(416) 528-8501</t>
  </si>
  <si>
    <t>(416) 658-4952</t>
  </si>
  <si>
    <t>Ontario Shores Centre for,Mental Health Scienced,700 Gordon Street,Whitby ON  L1N 5S9,Canada,Phone:(905) 430-4055 Ext. 6797,Fax:905 444 4439,County:Regional Municipality of Durham,Electoral District:05
Ontario Correctional Institute,109 McLaughlin Road South,Brampton ON  L6Y 2C8,Canada,Phone:905 457 7050,County:Regional Municipality of Peel,Electoral District:05</t>
  </si>
  <si>
    <t>Centre for Addiction &amp; Mental Health,Queen Street Site:Toronto
Ontario Shores Centre for Mental Health Sciences:Whitby</t>
  </si>
  <si>
    <t>51764</t>
  </si>
  <si>
    <t xml:space="preserve">Active Member as of 01 Jul 1978 </t>
  </si>
  <si>
    <t xml:space="preserve">Independent Practice as of 08 Sep 1983 </t>
  </si>
  <si>
    <t>English, Serbian</t>
  </si>
  <si>
    <t>University of Belgrade, 1966</t>
  </si>
  <si>
    <t>121 Howard Park Avenue,Toronto ON  M6R 1V7</t>
  </si>
  <si>
    <t>(416) 537-8256</t>
  </si>
  <si>
    <t>(416) 537-4315</t>
  </si>
  <si>
    <t>Psychiatry||Effective: 17 Nov 1986||RCPSC Specialist</t>
  </si>
  <si>
    <t>First certificate of registration issued: Postgraduate Education Certificate||Effective:   01 Jul 1978
Transfer of class of registration to: Independent Practice Certificate||Effective:   08 Sep 1983</t>
  </si>
  <si>
    <t>Desanka Krstich Medicine Professional Corporation</t>
  </si>
  <si>
    <t>Issued Date:  Feb 21 2005</t>
  </si>
  <si>
    <t>Dr. D. Krstich (CPSO# 51764)</t>
  </si>
  <si>
    <t>121 Howard Park Avenue,Toronto ON  M6R 1V7,(416) 537-8256</t>
  </si>
  <si>
    <t>50216</t>
  </si>
  <si>
    <t xml:space="preserve">Independent Practice as of 28 Jun 1984 </t>
  </si>
  <si>
    <t>203B Regent St.,London ON  N6A 2G9</t>
  </si>
  <si>
    <t>(519) 663-0878</t>
  </si>
  <si>
    <t>(519) 663-0990</t>
  </si>
  <si>
    <t>London Intercommunity Health,Centre,659 Dundas Street,London ON  N5W 2Z1,Canada,Phone:(519) 660-0874,Fax:(519) 642-1532,County:County of Middlesex,Electoral District:02</t>
  </si>
  <si>
    <t>Psychiatry||Effective: 10 Jun 1987||RCPSC Specialist</t>
  </si>
  <si>
    <t>First certificate of registration issued: Postgraduate Education Certificate||Effective:   15 Jun 1982
Transfer of class of registration to: Independent Practice Certificate||Effective:   28 Jun 1984</t>
  </si>
  <si>
    <t>Kandice McKee Medicine Professional Corporation</t>
  </si>
  <si>
    <t>Issued Date:  Jan 22 2014</t>
  </si>
  <si>
    <t>Dr. D. Brownstone (CPSO# 50216),Dr. K. McKee (CPSO# 33220)</t>
  </si>
  <si>
    <t>Suite 202,460 Springbank Drive,London ON  N6J 0A8,(519) 672-0060</t>
  </si>
  <si>
    <t>42438</t>
  </si>
  <si>
    <t xml:space="preserve">Independent Practice as of 09 Aug 1985 </t>
  </si>
  <si>
    <t>University of London, 1965</t>
  </si>
  <si>
    <t>407 - 797 Princess St,Kingston ON  K7L 1G1</t>
  </si>
  <si>
    <t>(613) 384-9562</t>
  </si>
  <si>
    <t>First certificate of registration issued: Hospital Practice Certificate||Effective:   01 Jul 1981
Transfer of class of registration to: Independent Practice Certificate||Effective:   09 Aug 1985</t>
  </si>
  <si>
    <t>57231</t>
  </si>
  <si>
    <t xml:space="preserve">Active Member as of 01 Dec 1986 </t>
  </si>
  <si>
    <t xml:space="preserve">Independent Practice as of 05 Jul 1991 </t>
  </si>
  <si>
    <t>Gujarat University, 1982</t>
  </si>
  <si>
    <t>St Joseph Health Centre,30 The Queensway,Toronto ON  M6R 1B5</t>
  </si>
  <si>
    <t>(416) 530-6486 Ext. 3019</t>
  </si>
  <si>
    <t>1281 St. Clair Ave W,Toronto ON  M6E 1B8,Canada,Phone:416-248-2050 Ext. 5522,Fax:416-248-6557,County:City of Toronto,Electoral District:10
59 Adelaide St E,Toronto ON  M5C 1K6,Canada,Phone:416-260-2826,Fax:416-260-5074,County:City of Toronto,Electoral District:10</t>
  </si>
  <si>
    <t>First certificate of registration issued: Postgraduate Education Certificate||Effective:   02 Jun 1986
Expired: Terms and conditions of certificate of registration||Expiry:      01 Nov 1986
Subsequent certificate of registration Issued: Postgraduate Education Certificate||Effective:   01 Dec 1986
Transfer of class of registration to: Independent Practice Certificate||Effective:   05 Jul 1991</t>
  </si>
  <si>
    <t>Dr. Devanshu Desai Medicine Professional Corporation</t>
  </si>
  <si>
    <t>Issued Date:  Aug 31 2005</t>
  </si>
  <si>
    <t>Dr. D. Desai (CPSO# 57231)</t>
  </si>
  <si>
    <t>7 Haliburton Avenue,Toronto ON  M9B 4Y3,(416) 234-5734
St. Joseph's Health Centre,St. Joseph's Health Centre,30 The Queensway,Toronto ON  M6R 1B5,(416) 530-6000</t>
  </si>
  <si>
    <t>42493</t>
  </si>
  <si>
    <t xml:space="preserve">Active Member as of 03 Aug 1982 </t>
  </si>
  <si>
    <t xml:space="preserve">Independent Practice as of 26 Aug 1992 </t>
  </si>
  <si>
    <t>Nagpur University, 1971</t>
  </si>
  <si>
    <t>Centre for Addiction and,Mental Health Services,Clarke Site,250 College Street,Toronto ON  M5T 1R8</t>
  </si>
  <si>
    <t>(416) 535-8501 Ext. 2180</t>
  </si>
  <si>
    <t>First certificate of registration issued: Postgraduate Education Certificate||Effective:   16 Jul 1979
Expired: Terms and conditions of certificate of registration||Expiry:      30 Jun 1982
Subsequent certificate of registration Issued: Hospital Practice Certificate||Effective:   03 Aug 1982
Transfer of class of registration to: Independent Practice Certificate||Effective:   26 Aug 1992</t>
  </si>
  <si>
    <t>98266</t>
  </si>
  <si>
    <t xml:space="preserve">Active Member as of 01 Jul 2016 </t>
  </si>
  <si>
    <t>Wadhwa, Devina Dinesh (used until: 26 Oct 2015 )</t>
  </si>
  <si>
    <t>English, French, Hindi, Panjabi/Punjabi</t>
  </si>
  <si>
    <t>Thunder Bay Regional Hospital,980 Oliver Road,Thunder Bay ON  P7B 6V4</t>
  </si>
  <si>
    <t>18076846000</t>
  </si>
  <si>
    <t>First certificate of registration issued: Postgraduate Education Certificate||Effective:   01 Jul 2012
Expired: Terms and conditions of certificate of registration||Expiry:      30 Sep 2015
Subsequent certificate of registration issued: Restricted certificate||Effective:   01 Oct 2015
Expired: Terms and conditions imposed on certificate by Registration Committee||Effective:   30 Jun 2016
Subsequent certificate of registration Issued: Postgraduate Education Certificate||Effective:   01 Jul 2016
Transfer of class of registration to: Independent Practice Certificate||Effective:   30 Jun 2017</t>
  </si>
  <si>
    <t>Dr. Devina Maya Wadhwa Medicine Professional Corporation</t>
  </si>
  <si>
    <t>Issued Date:  May 02 2018</t>
  </si>
  <si>
    <t>Dr. D. Wadhwa (CPSO# 98266)</t>
  </si>
  <si>
    <t>Thunder Bay Regional Health,Sciences Centre,980 Oliver Road,Thunder Bay ON  P7B 6V4,(807) 684-6000</t>
  </si>
  <si>
    <t>50847</t>
  </si>
  <si>
    <t xml:space="preserve">Active Member as of 31 Dec 1985 </t>
  </si>
  <si>
    <t xml:space="preserve">Independent Practice as of 08 Jan 1986 </t>
  </si>
  <si>
    <t>English, Sinhalese</t>
  </si>
  <si>
    <t>University of Ceylon, 1970</t>
  </si>
  <si>
    <t>The Ottawa Hospital,Civic Campus,A6,1053 Carling Avenue,Ottawa ON  K1Y 4E9</t>
  </si>
  <si>
    <t>Sri Lanka</t>
  </si>
  <si>
    <t>Ottawa Hospital,Civic Site:Ottawa
Ottawa Hospital,General Site:Ottawa
Ottawa Hospital,Riverside Site:Ottawa
Royal Ottawa Health Care Group:Ottawa</t>
  </si>
  <si>
    <t>Psychiatry||Effective: 19 Nov 1985||RCPSC Specialist</t>
  </si>
  <si>
    <t>First certificate of registration issued: Postgraduate Education Certificate||Effective:   07 Jul 1982
Expired: Terms and conditions of certificate of registration||Expiry:      31 Dec 1985
Transfer of class of registration to: Independent Practice Certificate||Effective:   08 Jan 1986</t>
  </si>
  <si>
    <t>79039</t>
  </si>
  <si>
    <t xml:space="preserve">Active Member as of 02 Sep 2008 </t>
  </si>
  <si>
    <t xml:space="preserve">Independent Practice as of 02 Sep 2008 </t>
  </si>
  <si>
    <t>Children's Hosp of Eastern Ontario,Mental Health Outpatient Services,Suite 200,311 McArthur Avenue,Ottawa ON  K1L 8M3</t>
  </si>
  <si>
    <t>(613) 738-4891</t>
  </si>
  <si>
    <t>2485 Dwight Crescent,Ottawa ON  K1G 1C7,Canada,Phone:(613) 737-7600 Ext. 3407,County:Regional Municipality of Ottawa-Carleton,Electoral District:07</t>
  </si>
  <si>
    <t>First certificate of registration issued: Postgraduate Education Certificate||Effective:   01 Jul 2003
Expired: Terms and conditions of certificate of registration||Expiry:      30 Jun 2008
Subsequent certificate of registration Issued: Independent Practice Certificate||Effective:   02 Sep 2008</t>
  </si>
  <si>
    <t>Dhiraj Aggarwal Medicine Professional Corporation</t>
  </si>
  <si>
    <t>Issued Date:  Apr 20 2010</t>
  </si>
  <si>
    <t>Dr. D. Aggarwal (CPSO# 79039)</t>
  </si>
  <si>
    <t>Children's Hospital of Eastern Ontario,Mental Health Outpatient Services,311 McArthur Avenue,Suite 200,Ottawa ON  K1L 8M3,(613) 738-6990
401 Smyth Road,401 Smyth Road,Ottawa ON  K1H 8L1,(613) 738-6990
2485 Dwight Crescent,2485 Dwight Crescent,Ottawa ON  K1G 1C7</t>
  </si>
  <si>
    <t>27733</t>
  </si>
  <si>
    <t xml:space="preserve">Active Member as of 20 Aug 1975 </t>
  </si>
  <si>
    <t xml:space="preserve">Independent Practice as of 20 Aug 1975 </t>
  </si>
  <si>
    <t>English, Gujarati</t>
  </si>
  <si>
    <t>University of Newcastle-Upon-Tyne, 1972</t>
  </si>
  <si>
    <t>77 MacLaren Street,Ottawa ON  K2P 0K5</t>
  </si>
  <si>
    <t>(613) 232-6745</t>
  </si>
  <si>
    <t>First certificate of registration issued: Independent Practice Certificate||Effective:   20 Aug 1975</t>
  </si>
  <si>
    <t>28913</t>
  </si>
  <si>
    <t xml:space="preserve">Active Member as of 05 Jan 1977 </t>
  </si>
  <si>
    <t xml:space="preserve">Independent Practice as of 05 Jan 1977 </t>
  </si>
  <si>
    <t>University College of East Africa, 1971</t>
  </si>
  <si>
    <t>Suite 407,586 Eglinton Avenue East,Toronto ON  M4P 1P2</t>
  </si>
  <si>
    <t>(416) 489-8150</t>
  </si>
  <si>
    <t>(416) 489-8231</t>
  </si>
  <si>
    <t>First certificate of registration issued: Postgraduate Education Certificate||Effective:   12 Aug 1974
Transfer of class of registration to: Independent Practice Certificate||Effective:   05 Jan 1977</t>
  </si>
  <si>
    <t>89063</t>
  </si>
  <si>
    <t xml:space="preserve">Independent Practice as of 14 Nov 2014 </t>
  </si>
  <si>
    <t>Institute Medicine, Pharmacy,Timisoara, 1997</t>
  </si>
  <si>
    <t>Trillium Health Partners,Credit Valley Hospital,2200 Eglinton Avenue West,Mississauga ON  L5M 2N1</t>
  </si>
  <si>
    <t>Trillium Health Partners,Mississauga Hospital:Mississauga
Trillium Health Partners,Queensway Health Centre:Toronto
Trillium Health Partners,The Credit Valley Hospital:Mississauga</t>
  </si>
  <si>
    <t>Psychiatry||Effective: 30 Jun 2012||RCPSC Specialist
Geriatric Psychiatry||Effective: 31 Dec 2014||RCPSC Specialist</t>
  </si>
  <si>
    <t>University of Toronto, 01 Jul 2008  to 22 Sep 2008|Assessment Verification Period - Psychiatry
University of Toronto, 23 Sep 2008  to 30 Jun 2009|PostGrad Yr 2 - Psychiatry
University of Toronto, 01 Jul 2009  to 30 Jun 2010|PostGrad Yr 3 - Psychiatry
University of Toronto, 01 Jul 2010  to 30 Jun 2011|PostGrad Yr 4 - Psychiatry
University of Toronto, 01 Jul 2011  to 30 Jun 2012|PostGrad Yr 5 - Psychiatry
University of Toronto, 01 Jul 2012  to 30 Jun 2013|PostGrad Yr 6 - Geriatric Psychiatry
University of Toronto, 01 Jul 2013  to 30 Jun 2014|PostGrad Yr 6 - Geriatric Psychiatry
University of Toronto, 01 Jul 2014  to 31 Dec 2014|PostGrad Yr 7 - Geriatric Psychiatry</t>
  </si>
  <si>
    <t>First certificate of registration issued: Pre Entry Assessment Program Certificate||Effective:   01 Jul 2008
Transfer of class of registration to: Postgraduate Education Certificate||Effective:   23 Sep 2008
Transfer of class of registration to: Independent Practice Certificate||Effective:   14 Nov 2014</t>
  </si>
  <si>
    <t>Dr. Diana Nicolici Medicine Professional Corporation</t>
  </si>
  <si>
    <t>Issued Date:  Aug 21 2018</t>
  </si>
  <si>
    <t>Dr. D. Nicolici (CPSO# 89063)</t>
  </si>
  <si>
    <t>Trillium Health Partners,Credit Valley Hospital,2200 Eglinton Avenue West,Mississauga ON  L5M 2N1,(905) 813-2398</t>
  </si>
  <si>
    <t>90043</t>
  </si>
  <si>
    <t xml:space="preserve">Active Member as of 25 Nov 2008 </t>
  </si>
  <si>
    <t xml:space="preserve">Independent Practice as of 25 Nov 2008 </t>
  </si>
  <si>
    <t>Minsk State Medical Institute, 1993</t>
  </si>
  <si>
    <t>Southlake Regional Health Center,596 Davis Drive , West 5,Child and family Clinic,inpatient unit,Newmarket ON  L3Y 2P9</t>
  </si>
  <si>
    <t>(905) 830-5977</t>
  </si>
  <si>
    <t>3740, Line 13,Cookstown ON  L0L 1L0,Canada,Phone:705 728-5044,County:County of Simcoe,Electoral District:05</t>
  </si>
  <si>
    <t>Psychiatry||Effective: 30 Jun 2008||RCPSC Specialist
Child and Adolescent Psychiatry||Effective: 23 Sep 2014||RCPSC Specialist</t>
  </si>
  <si>
    <t>First certificate of registration issued: Independent Practice Certificate||Effective:   25 Nov 2008</t>
  </si>
  <si>
    <t>64813</t>
  </si>
  <si>
    <t xml:space="preserve">Active Member as of 03 Jul 1996 </t>
  </si>
  <si>
    <t xml:space="preserve">Independent Practice as of 03 Jul 1996 </t>
  </si>
  <si>
    <t>Croatian, English</t>
  </si>
  <si>
    <t>University of Zagreb, 1987</t>
  </si>
  <si>
    <t>Department of Psychiatry,9 New East Wing, Room 453,Toronto Western Hospital,399 Bathurst Street,,Toronto ON  M5T 2S8</t>
  </si>
  <si>
    <t>(416) 603-5459</t>
  </si>
  <si>
    <t>Health and Counselling Centre,University of Toronto Mississauga,3359 Mississauga Road North,Mississauga ON  L5L 1C6,Canada,Phone:(905) 828-5255,County:Regional Municipality of Peel,Electoral District:05</t>
  </si>
  <si>
    <t>University of Toronto, 01 Jan 1992  to 30 Jun 1992|Resident 1 - Psychiatry
University of Toronto, 01 Jul 1992  to 31 Dec 1992|Resident 1 - Psychiatry
University of Toronto, 01 Jan 1993  to 30 Jun 1993|Resident 2 - Psychiatry
University of Toronto, 01 Jul 1993  to 31 Jan 1994|Resident 2 - Psychiatry
University of Toronto, 01 Feb 1994  to 30 Jun 1994|Resident 3 - Psychiatry
University of Toronto, 01 Jul 1994  to 31 Jan 1995|Resident 3 - Psychiatry
University of Toronto, 01 Feb 1995  to 30 Jun 1995|Resident 4 - Psychiatry
University of Toronto, 01 Jul 1995  to 30 Jun 1996|Resident 4 - Psychiatry</t>
  </si>
  <si>
    <t>First certificate of registration issued: Postgraduate Education Certificate||Effective:   31 Jan 1992
Expired: Terms and conditions of certificate of registration||Expiry:      30 Jun 1996
Subsequent certificate of registration Issued: Independent Practice Certificate||Effective:   03 Jul 1996</t>
  </si>
  <si>
    <t>Diana Kljenak Medicine Professional Corporation</t>
  </si>
  <si>
    <t>Issued Date:  Jan 31 2008</t>
  </si>
  <si>
    <t>Dr. D. Kljenak (CPSO# 64813)</t>
  </si>
  <si>
    <t>Department of Psychiatry,9 New East Wing, Room 453,Toronto Western Hospital,399 Bathurst Street,Toronto ON  M5T 2S8,(416) 603-5459</t>
  </si>
  <si>
    <t>84996</t>
  </si>
  <si>
    <t>3492 Yonge Street,Toronto ON  M4N 2N6</t>
  </si>
  <si>
    <t>647-352-8003</t>
  </si>
  <si>
    <t>Diana Blank Medicine Professional Corporation</t>
  </si>
  <si>
    <t>Issued Date:  Nov 26 2012</t>
  </si>
  <si>
    <t>Dr. D. Blank (CPSO# 84996)</t>
  </si>
  <si>
    <t>3492 Yonge Street,Toronto ON  M4N 2N6,(647) 352-8003</t>
  </si>
  <si>
    <t>62552</t>
  </si>
  <si>
    <t xml:space="preserve">Active Member as of 19 Jul 1991 </t>
  </si>
  <si>
    <t xml:space="preserve">Independent Practice as of 19 Jul 1991 </t>
  </si>
  <si>
    <t>SickKids CCMH,440 Jarvis Street,Toronto ON  M4Y 2H4</t>
  </si>
  <si>
    <t>(416) 924-1164 Ext. 3330</t>
  </si>
  <si>
    <t>Psychiatry||Effective: 20 Nov 1997||RCPSC Specialist
Child and Adolescent Psychiatry||Effective: 23 Sep 2014||RCPSC Specialist</t>
  </si>
  <si>
    <t>McMaster University, 01 Jul 1990  to 30 Jun 1991|Other - Rotating Internship
University of Toronto, 09 Sep 1996  to 05 Mar 1997|Resident 4 - Psychiatry</t>
  </si>
  <si>
    <t>First certificate of registration issued: Postgraduate Education Certificate||Effective:   01 Jul 1990
Expired: Terms and conditions of certificate of registration||Expiry:      30 Jun 1991
Subsequent certificate of registration Issued: Independent Practice Certificate||Effective:   19 Jul 1991</t>
  </si>
  <si>
    <t>56499</t>
  </si>
  <si>
    <t xml:space="preserve">Active Member as of 24 Dec 1985 </t>
  </si>
  <si>
    <t xml:space="preserve">Independent Practice as of 24 Dec 1985 </t>
  </si>
  <si>
    <t>University of Sherbrooke, 1981</t>
  </si>
  <si>
    <t>Hospital For Sick Children,555 University Avenue,Toronto ON  M5G 1X8</t>
  </si>
  <si>
    <t>(416) 813-7654 Ext. 204252</t>
  </si>
  <si>
    <t>(416) 813-6565</t>
  </si>
  <si>
    <t>First certificate of registration issued: Independent Practice Certificate||Effective:   24 Dec 1985</t>
  </si>
  <si>
    <t>55686</t>
  </si>
  <si>
    <t xml:space="preserve">Active Member as of 21 Aug 1986 </t>
  </si>
  <si>
    <t xml:space="preserve">Independent Practice as of 21 Aug 1986 </t>
  </si>
  <si>
    <t>Women's College Hospital,Department of Psychiatry,76 Grenville Street,Toronto ON  M5S 1B2</t>
  </si>
  <si>
    <t>(416) 323-6400 Ext. 6230</t>
  </si>
  <si>
    <t>Psychiatry||Effective: 31 Dec 1996||RCPSC Specialist</t>
  </si>
  <si>
    <t>University of Toronto, 01 Jul 1995  to 30 Jun 1996|Resident 4 - Psychiatry
University of Toronto, 13 Jan 1997  to 30 Jun 1997|Clinical Fellow - Psychiatry
University of Toronto, 01 Jul 1997  to 30 Jun 1998|Clinical Fellow - Psychiatry
University of Toronto, 01 Jul 1998  to 31 Dec 1998|Clinical Fellow - Psychiatry</t>
  </si>
  <si>
    <t>First certificate of registration issued: Postgraduate Education Certificate||Effective:   17 Jun 1985
Expired: Terms and conditions of certificate of registration||Expiry:      16 Jun 1986
Subsequent certificate of registration Issued: Independent Practice Certificate||Effective:   21 Aug 1986</t>
  </si>
  <si>
    <t>80074</t>
  </si>
  <si>
    <t xml:space="preserve">Active Member as of 06 Aug 2003 </t>
  </si>
  <si>
    <t xml:space="preserve">Independent Practice as of 06 Aug 2003 </t>
  </si>
  <si>
    <t>Parkwood Institute,P.O. Box 5777, Stn B,London ON  N6A 4V2</t>
  </si>
  <si>
    <t>(519) 455-5110 Ext. 47620</t>
  </si>
  <si>
    <t>First certificate of registration issued: Independent Practice Certificate||Effective:   06 Aug 2003</t>
  </si>
  <si>
    <t>59603</t>
  </si>
  <si>
    <t xml:space="preserve">Independent Practice as of 13 Jul 1989 </t>
  </si>
  <si>
    <t>The University of Western Ontario, 1988</t>
  </si>
  <si>
    <t>Suite 226,1139 Alloy Drive,Thunder Bay ON  P7B 6M8</t>
  </si>
  <si>
    <t>(807) 286-2450</t>
  </si>
  <si>
    <t>(807) 623-8105</t>
  </si>
  <si>
    <t>Thunder Bay Regional,Health Sciences Centre,Adult Mental Health,980 Oliver Road,Thunder Bay ON  P7B 6V4,Canada,Phone:(807) 684-6430,Fax:(807) 684-5870,County:District of Thunder Bay,Electoral District:09</t>
  </si>
  <si>
    <t>University of Toronto, 13 Jun 1988  to 12 Jun 1989|Other - Rotating Internship
The University of Western Ontario, 01 Jul 1992  to 30 Jun 1993|Resident 1 - Psychiatry
The University of Western Ontario, 01 Jul 1993  to 30 Jun 1994|Resident 2 - Psychiatry
The University of Western Ontario, 01 Jul 1994  to 30 Jun 1995|Resident 3 - Psychiatry
The University of Western Ontario, 01 Jul 1995  to 30 Jun 1996|Resident 4 - Psychiatry</t>
  </si>
  <si>
    <t>First certificate of registration issued: Postgraduate Education Certificate||Effective:   13 Jun 1988
Transfer of class of registration to: Independent Practice Certificate||Effective:   13 Jul 1989</t>
  </si>
  <si>
    <t>Diane K. Whitney Medicine Professional Corporation</t>
  </si>
  <si>
    <t>Issued Date:  Jan 18 2010</t>
  </si>
  <si>
    <t>Dr. D. Whitney (CPSO# 59603)</t>
  </si>
  <si>
    <t>226 - 1139 Alloy Drive,Thunder Bay ON  P7B 6M8,(807) 286-2450
Thunder Bay RHSC,Thunder Bay RHSC,980 Oliver Road,Thunder Bay ON  P7B 6V4,(807) 684-6430</t>
  </si>
  <si>
    <t>85156</t>
  </si>
  <si>
    <t xml:space="preserve">Active Member as of 30 Jun 2006 </t>
  </si>
  <si>
    <t>University of Sherbrooke, 2001</t>
  </si>
  <si>
    <t>Hopital General de Hawkesbury,Centre régional de santé mentale,et toxicomanie,580 Avenue Spence,Hawkesbury ON  K6A 0B4</t>
  </si>
  <si>
    <t>1-844-304-1414</t>
  </si>
  <si>
    <t>(613) 632-4791</t>
  </si>
  <si>
    <t>Hôpital Général de Hawkesbury,1111 Ghislain,Hawkesbury ON  K6A3G5,Canada,Phone:1-844-304-1414,Fax:613-632-4791,County:County of Prescott and Russell,Electoral District:07</t>
  </si>
  <si>
    <t>Hawkesbury &amp; District General Hospital:Hawkesbury</t>
  </si>
  <si>
    <t>First certificate of registration issued: Independent Practice Certificate||Effective:   30 Jun 2006</t>
  </si>
  <si>
    <t>55741</t>
  </si>
  <si>
    <t xml:space="preserve">Independent Practice as of 10 Jul 1986 </t>
  </si>
  <si>
    <t>Giacomelli, Dianne Angela (used until: 15 Jun 1997 )
Lezon, Dianne Angela (used until: 07 Jul 1986 )</t>
  </si>
  <si>
    <t>Trillium Health Partners,Credit Valley Hospital,Department of Psychiatry,2200 Eglinton Avenue West,Mississauga ON  L5M 2N1</t>
  </si>
  <si>
    <t>Trillium Health Partners,Queensway Health Centre,150 Sherway Drive,Etobicoke ON  M9C1A5,Canada,Phone:416-521-4057,Fax:416-521-4072,County:City of Toronto,Electoral District:10
St. Joseph's Healthcare -CMHS,Halton Geriatric Mental Health,Outreach Program,5230 South Service Road,Burlington ON  L7L 5K2,Canada,Phone:905-681-8233,Fax:905-681-8628,County:Regional Municipality of Halton,Electoral District:04</t>
  </si>
  <si>
    <t>St Joseph's Healthcare System,Hamilton:Hamilton
Trillium Health Partners,Mississauga Hospital:Mississauga
Trillium Health Partners,Queensway Health Centre:Toronto
Trillium Health Partners,The Credit Valley Hospital:Mississauga</t>
  </si>
  <si>
    <t>Psychiatry||Effective: 15 Nov 1991||RCPSC Specialist
Geriatric Psychiatry||Effective: 26 Sep 2013||RCPSC Specialist</t>
  </si>
  <si>
    <t>University of Toronto, 01 Jul 1991  to 31 Dec 1991|Resident 4 - Psychiatry</t>
  </si>
  <si>
    <t>First certificate of registration issued: Postgraduate Education Certificate||Effective:   17 Jun 1985
Transfer of class of registration to: Independent Practice Certificate||Effective:   10 Jul 1986</t>
  </si>
  <si>
    <t>58632</t>
  </si>
  <si>
    <t>Begovic, Dijana (used until: 17 Aug 1987 )</t>
  </si>
  <si>
    <t>University of Sarajevo, 1985</t>
  </si>
  <si>
    <t>130 Ontario Street,Kingston ON  K7L 2Y4</t>
  </si>
  <si>
    <t>(613) 544-9121</t>
  </si>
  <si>
    <t>D. Oliver Medicine Professional Corporation</t>
  </si>
  <si>
    <t>Issued Date:  Mar 01 2004</t>
  </si>
  <si>
    <t>Dr. D. Oliver (CPSO# 58632)</t>
  </si>
  <si>
    <t>130 Ontario Street,Kingston ON  K7L 2Y4,(613) 544-9121
Kingston General Hospital,Kingston General Hospital,76 Stuart Street,Kingston ON  K7L 2V7,(613) 549-6666
Hotel Dieu Hospital,Hotel Dieu Hospital,166 Brock Street,Kingston ON  K7L 5G2,(613) 544-3310</t>
  </si>
  <si>
    <t>56659</t>
  </si>
  <si>
    <t xml:space="preserve">Active Member as of 30 Apr 1986 </t>
  </si>
  <si>
    <t xml:space="preserve">Independent Practice as of 19 Aug 1991 </t>
  </si>
  <si>
    <t>English, Gujarati, Hindi, Marathi, Panjabi/Punjabi, Urdu</t>
  </si>
  <si>
    <t>University of Pune, 1975</t>
  </si>
  <si>
    <t>190 Sherway Drive,Suite 311,Etobicoke ON  M9C 5N2</t>
  </si>
  <si>
    <t>(416) 622-1100</t>
  </si>
  <si>
    <t>(416) 622-0786</t>
  </si>
  <si>
    <t>Psychiatry||Effective: 14 Nov 1990||RCPSC Specialist</t>
  </si>
  <si>
    <t>First certificate of registration issued: Academic Practice Certificate||Effective:   30 Apr 1986
Transfer of class of registration to: Independent Practice Certificate||Effective:   19 Aug 1991</t>
  </si>
  <si>
    <t>Dr. D.D. Panjwani Medicine Professional Corporation</t>
  </si>
  <si>
    <t>Issued Date:  Nov 24 2009</t>
  </si>
  <si>
    <t>Dr. D. Panjwani (CPSO# 56659)</t>
  </si>
  <si>
    <t>190 Sherway Drive,Suite 311,Toronto ON  M9C 5N2,(416) 622-1100</t>
  </si>
  <si>
    <t>100015</t>
  </si>
  <si>
    <t xml:space="preserve">Active Member as of 25 Mar 2013 </t>
  </si>
  <si>
    <t xml:space="preserve">Restricted as of 25 Mar 2013 </t>
  </si>
  <si>
    <t>Christian Medical College, 2004</t>
  </si>
  <si>
    <t>Grand River Hospital,3570 King Street East,Kitchener ON  N2A 2W1</t>
  </si>
  <si>
    <t>(519) 749-4300 Ext. 7025</t>
  </si>
  <si>
    <t>(519) 894-8308</t>
  </si>
  <si>
    <t>10 Victoria Street South,Kitchener ON  N2G 1C5,Canada,County:Regional Municipality of Waterloo,Electoral District:03
St. Mary's Hospital,911 Queen's Boulevard_x000D_
911 Queen's,Kitchener ON  N2M 1B2,Canada,Phone:(519) 744-3311,County:Regional Municipality of Waterloo,Electoral District:03</t>
  </si>
  <si>
    <t>Grand River Hospital Corporation,Freeport Site:Kitchener
Grand River Hospital Corporation,Kitchener Waterloo Site:Kitchener</t>
  </si>
  <si>
    <t>Psychiatry||Effective: 25 Mar 2013||CPSO Recognized Specialist</t>
  </si>
  <si>
    <t>First certificate of registration issued: Restricted certificate||Effective:   25 Mar 2013
Terms and conditions imposed on certificate by Registration Committee||Effective:   25 Mar 2013
Expiry date attached to certificate of registration.||Expiry Date: 24 Sep 2014
Terms and conditions amended by Registration Committee||Effective:   15 Aug 2014
Terms and conditions amended by Registration Committee||Effective:   16 Oct 2014
Expiry date removed from certificate of registration.||Effective:   16 Oct 2014</t>
  </si>
  <si>
    <t>D &amp; S Benjamin Medicine Professional Corporation</t>
  </si>
  <si>
    <t>Issued Date:  Aug 21 2014</t>
  </si>
  <si>
    <t>Dr. D. Benjamin (CPSO# 100015),Dr. S. Benjamin (CPSO# 100014)</t>
  </si>
  <si>
    <t>250 Laurelwood Drive,Waterloo ON  N2J 0E2
Grand River Hospital,Grand River Hospital,3570 King Street East,Kitchener ON  N2A 2W1,(519) 569-9141</t>
  </si>
  <si>
    <t>77854</t>
  </si>
  <si>
    <t>The University of Manitoba, 2002</t>
  </si>
  <si>
    <t>3384 STATE ROUTE 22 STE 4,Peru NY  12972-5305,United States</t>
  </si>
  <si>
    <t>518-643-5550</t>
  </si>
  <si>
    <t>518-643-5553</t>
  </si>
  <si>
    <t>UVMHN - CVPH,75 Beekman Street,Plattsburgh NY  12901,United States,Phone:518-561-2000,County:Electoral District</t>
  </si>
  <si>
    <t>University of Toronto, 01 Jul 2002  to 01 Jan 2003|PostGrad Yr 1 - Family Medicine
University of Toronto, 02 Jan 2003  to 30 Jun 2003|PostGrad Yr 1 - Psychiatry
University of Toronto, 01 Jul 2003  to 30 Jun 2004|PostGrad Yr 2 - Psychiatry
University of Toronto, 01 Jul 2004  to 30 Jun 2005|PostGrad Yr 3 - Psychiatry
University of Toronto, 01 Jul 2005  to 30 Jun 2006|PostGrad Yr 4 - Psychiatry
University of Toronto, 01 Jul 2006  to 30 Jun 2007|PostGrad Yr 5 - Psychiatry</t>
  </si>
  <si>
    <t>58887</t>
  </si>
  <si>
    <t xml:space="preserve">Active Member as of 15 Jul 1987 </t>
  </si>
  <si>
    <t>University of Alberta, 1980</t>
  </si>
  <si>
    <t>Suite 218,210 Centrum Boulevard,Orleans ON  K1E 3V7</t>
  </si>
  <si>
    <t>(613) 841-1615</t>
  </si>
  <si>
    <t>(613) 841-3818</t>
  </si>
  <si>
    <t>First certificate of registration issued: Independent Practice Certificate||Effective:   15 Jul 1987</t>
  </si>
  <si>
    <t>94868</t>
  </si>
  <si>
    <t xml:space="preserve">Active Member as of 02 Mar 2011 </t>
  </si>
  <si>
    <t xml:space="preserve">Independent Practice as of 02 Mar 2011 </t>
  </si>
  <si>
    <t>University of Belgrade, 1995</t>
  </si>
  <si>
    <t>Trillium Health Partners,100 Queensway West,Mississauga ON  L5B 1B8</t>
  </si>
  <si>
    <t>(905) 848-7585</t>
  </si>
  <si>
    <t>Trillium Health Partners,150 Sherway Drive,Toronto ON  M9C 1A5,Canada,Phone:(416) 521-4068,Fax:(416) 521-4073,County:City of Toronto,Electoral District:10</t>
  </si>
  <si>
    <t>Trillium Health Partners,Mississauga Hospital:Mississauga
Trillium Health Partners,Queensway Health Centre:Toronto</t>
  </si>
  <si>
    <t>First certificate of registration issued: Independent Practice Certificate||Effective:   02 Mar 2011</t>
  </si>
  <si>
    <t>82729</t>
  </si>
  <si>
    <t xml:space="preserve">Independent Practice as of 11 Aug 2010 </t>
  </si>
  <si>
    <t>Orillia Soldiers' Memorial Hospital,Department of Psychiatry,170 Colborne Street West,Orillia ON  L3V 2Z3</t>
  </si>
  <si>
    <t>(705) 325-2201</t>
  </si>
  <si>
    <t>Orillia Soldiers Memorial Hospital:Orillia</t>
  </si>
  <si>
    <t>Psychiatry||Effective: 11 Aug 2010||RCPSC Specialist</t>
  </si>
  <si>
    <t>University of Ottawa, 01 Jul 2005  to 30 Jun 2006|PostGrad Yr 1 - Psychiatry
University of Ottawa, 01 Jul 2006  to 30 Jun 2007|PostGrad Yr 2 - Psychiatry
University of Ottawa, 01 Jul 2007  to 30 Jun 2008|PostGrad Yr 3 - Psychiatry
University of Ottawa, 01 Jul 2008  to 14 Jul 2008|PostGrad Yr 3 - Psychiatry
University of Ottawa, 15 Jul 2008  to 14 Jul 2009|PostGrad Yr 4 - Psychiatry
University of Ottawa, 15 Jul 2009  to 30 Jun 2010|PostGrad Yr 5 - Psychiatry
University of Ottawa, 01 Jul 2010  to 11 Aug 2010|PostGrad Yr 5 - Psychiatry</t>
  </si>
  <si>
    <t>First certificate of registration issued: Postgraduate Education Certificate||Effective:   01 Jul 2005
Transfer of class of registration to: Independent Practice Certificate||Effective:   11 Aug 2010</t>
  </si>
  <si>
    <t>Dmitry Guller Medicine Professional Corporation</t>
  </si>
  <si>
    <t>Issued Date:  Nov 10 2010</t>
  </si>
  <si>
    <t>Dr. D. Guller (CPSO# 82729)</t>
  </si>
  <si>
    <t>Orillia Solders' Memorial Hospital,Department of Psychiatry,170 Colborne Street West,Orillia ON  L3V 2Z3,(705) 325-2201</t>
  </si>
  <si>
    <t>111006</t>
  </si>
  <si>
    <t xml:space="preserve">Active Member as of 25 Sep 2017 </t>
  </si>
  <si>
    <t xml:space="preserve">Independent Practice as of 25 Sep 2017 </t>
  </si>
  <si>
    <t>University of Lagos, 2003</t>
  </si>
  <si>
    <t>North Bay Regional Health Centre,50 College Drive,North Bay ON  P1B 5A4</t>
  </si>
  <si>
    <t>(705) 474-8600</t>
  </si>
  <si>
    <t>Seniors' Mental Health Regional CS,200 - 1164 Devonshire Avenue,North Bay ON  P1B 6X7,Canada,Phone:7054745885,County:Territorial District of Nipissing,Electoral District:08</t>
  </si>
  <si>
    <t>Psychiatry||Effective: 09 May 2016||RCPSC Specialist</t>
  </si>
  <si>
    <t>First certificate of registration issued: Restricted certificate||Effective:   28 Sep 2016
Terms and conditions imposed on certificate by Registration Committee||Effective:   28 Sep 2016
Expiry date attached to certificate of registration.||Expiry Date: 27 Sep 2019
Expired: Terms and conditions imposed on certificate by Registration Committee||Effective:   25 Sep 2017
Subsequent certificate of registration Issued: Independent Practice Certificate||Effective:   25 Sep 2017</t>
  </si>
  <si>
    <t>Dr D M Salako Medicine Professional Corporation</t>
  </si>
  <si>
    <t>Issued Date:  Nov 24 2016</t>
  </si>
  <si>
    <t>Dr. D. Salako (CPSO# 111006)</t>
  </si>
  <si>
    <t>North Bay Regional Health Centre,50 College Drive,North Bay ON  P1B 5A4,(705) 474-8600
200 - 1164 Devonshire Avenue,200 - 1164 Devonshire Avenue,North Bay ON  P1B 6X7,(705) 474-5885</t>
  </si>
  <si>
    <t>82818</t>
  </si>
  <si>
    <t>Albany Medical College of Union Univ, 2005</t>
  </si>
  <si>
    <t>The Credit Valley Hospital,Department of Psychiatry,2200 Eglinton Avenue West,Mississauga ON  L5M 2N1</t>
  </si>
  <si>
    <t>9058132398</t>
  </si>
  <si>
    <t>3492 Yonge Street,Toronto ON  M4N2N6,Canada,County:City of Toronto,Electoral District:10</t>
  </si>
  <si>
    <t>Dimanno Medicine Professional Corporation</t>
  </si>
  <si>
    <t>Issued Date:  Nov 27 2012</t>
  </si>
  <si>
    <t>Dr. D. Dimanno (CPSO# 82818)</t>
  </si>
  <si>
    <t>The Credit Valley Hospital,Department of Psychiatry,2405 - 2200 Eglinton Avenue West,Mississauga ON  L5M 2N1,(905) 813-2200</t>
  </si>
  <si>
    <t>82530</t>
  </si>
  <si>
    <t>University of Ottawa, 2005</t>
  </si>
  <si>
    <t>Centre Hospitalier Pierre Janet,20 Pharand Street,Gatineau QC  J9A 1K7</t>
  </si>
  <si>
    <t>(819) 776-8086</t>
  </si>
  <si>
    <t>University of Ottawa, 01 Jul 2005  to 30 Jun 2006|PostGrad Yr 1 - Psychiatry
University of Ottawa, 01 Jul 2006  to 30 Jun 2007|PostGrad Yr 2 - Psychiatry
University of Ottawa, 01 Jul 2007  to 30 Jun 2008|PostGrad Yr 3 - Psychiatry
University of Ottawa, 01 Jul 2008  to 30 Jun 2009|PostGrad Yr 4 - Psychiatry
University of Ottawa, 01 Jul 2009  to 30 Jun 2010|PostGrad Yr 4 - Psychiatry
University of Ottawa, 01 Jul 2010  to 30 Jun 2011|PostGrad Yr 5 - Psychiatry</t>
  </si>
  <si>
    <t>First certificate of registration issued: Postgraduate Education Certificate||Effective:   01 Jul 2005
Expired: Terms and conditions of certificate of registration||Expiry:      30 Jun 2011
Subsequent certificate of registration Issued: Independent Practice Certificate||Effective:   20 Dec 2012</t>
  </si>
  <si>
    <t>82766</t>
  </si>
  <si>
    <t xml:space="preserve">Active Member as of 05 Jul 2010 </t>
  </si>
  <si>
    <t xml:space="preserve">Independent Practice as of 05 Jul 2010 </t>
  </si>
  <si>
    <t>University of Saskatchewan, 2005</t>
  </si>
  <si>
    <t>117 Centrepointe Drive,Suite 205,Ottawa ON  K2G 5X3</t>
  </si>
  <si>
    <t>(613) 421-6111</t>
  </si>
  <si>
    <t>(613) 421-9559</t>
  </si>
  <si>
    <t>Queen's University, 01 Jul 2005  to 30 Jun 2006|PostGrad Yr 1 - Psychiatry
Queen's University, 01 Jul 2006  to 30 Jun 2007|PostGrad Yr 2 - Psychiatry
Queen's University, 01 Jul 2007  to 30 Jun 2008|PostGrad Yr 3 - Psychiatry
Queen's University, 01 Jul 2008  to 30 Jun 2009|PostGrad Yr 4 - Psychiatry
Queen's University, 01 Jul 2009  to 30 Jun 2010|PostGrad Yr 5 - Psychiatry</t>
  </si>
  <si>
    <t>First certificate of registration issued: Postgraduate Education Certificate||Effective:   01 Jul 2005
Expired: Terms and conditions of certificate of registration||Expiry:      30 Jun 2010
Subsequent certificate of registration Issued: Independent Practice Certificate||Effective:   05 Jul 2010</t>
  </si>
  <si>
    <t>Dominika Czechowicz Medicine Professional Corporation</t>
  </si>
  <si>
    <t>Issued Date:  Apr 04 2012</t>
  </si>
  <si>
    <t>Dr. D. Czechowicz (CPSO# 82766)</t>
  </si>
  <si>
    <t>117 Centrepointe Drive,Suite 205,Ottawa ON  K2G 5X3,(613) 421-6111</t>
  </si>
  <si>
    <t>54525</t>
  </si>
  <si>
    <t xml:space="preserve">Independent Practice as of 17 Aug 1987 </t>
  </si>
  <si>
    <t>(613) 722-6521 Ext. 6366</t>
  </si>
  <si>
    <t>(613) 798-2992</t>
  </si>
  <si>
    <t>Ottawa Hospital,Civic Site:Ottawa
Ottawa Hospital,General Site:Ottawa
Royal Ottawa Health Care Group:Ottawa
Royal Ottawa Health Care Group,Brockville Mental Health Centre:Brockville</t>
  </si>
  <si>
    <t>Psychiatry||Effective: 31 May 1988||RCPSC Specialist</t>
  </si>
  <si>
    <t>First certificate of registration issued: Postgraduate Education Certificate||Effective:   01 Jul 1984
Transfer of class of registration to: Independent Practice Certificate||Effective:   17 Aug 1987</t>
  </si>
  <si>
    <t>58539</t>
  </si>
  <si>
    <t xml:space="preserve">Restricted as of 09 May 2016 </t>
  </si>
  <si>
    <t>University of Ottawa, 1986</t>
  </si>
  <si>
    <t>University of Ottawa,Health Services,Suite 302,1 Nicholas Avenue,Ottawa ON  K1N 7B7</t>
  </si>
  <si>
    <t>West Nipissing General hospital,725 chemin Coursol,Sturgeons Falls Ontario,Sturgeon Falls ON  P2B 2Y6,Canada,Phone:705-753-2271,Fax:705-753-4202,County:Territorial District of Nipissing,Electoral District:08</t>
  </si>
  <si>
    <t>West Nipissing General Hospital:Sturgeon Falls</t>
  </si>
  <si>
    <t>Psychiatry||Effective: 28 May 1991||RCPSC Specialist</t>
  </si>
  <si>
    <t>University of Ottawa, 01 Jul 1987  to 30 Jun 1988|Resident 1 - Psychiatry
University of Ottawa, 01 Jul 1988  to 30 Jun 1989|Resident 2 - Psychiatry
University of Ottawa, 01 Jul 1989  to 30 Jun 1990|Resident 3 - Psychiatry
University of Ottawa, 01 Jul 1990  to 30 Jun 1991|Resident 4 - Psychiatry</t>
  </si>
  <si>
    <t>First certificate of registration issued: Postgraduate Education Certificate||Effective:   01 Jul 1987
Transfer of class of registration to: Independent Practice Certificate||Effective:   25 Jun 1988
Transfer of class of certificate to: Restricted certificate||Effective:   09 May 2016
Terms and conditions imposed on certificate by member||Effective:   09 May 2016
Terms and conditions amended by member||Effective:   03 Feb 2017
Terms and conditions amended by member||Effective:   23 May 2017
Terms and conditions amended by member||Effective:   06 Dec 2017</t>
  </si>
  <si>
    <t>70874</t>
  </si>
  <si>
    <t xml:space="preserve">Active Member as of 11 Oct 1996 </t>
  </si>
  <si>
    <t xml:space="preserve">Independent Practice as of 11 Oct 1996 </t>
  </si>
  <si>
    <t>University of Colombo, 1985</t>
  </si>
  <si>
    <t>Joseph Brant Community Health Ctr,1182 North Shore Boulevard East,Burlington ON  L7S 1W7</t>
  </si>
  <si>
    <t>(905) 631-1939</t>
  </si>
  <si>
    <t>(905) 631-0513</t>
  </si>
  <si>
    <t>Psychiatry||Effective: 18 Nov 1993||RCPSC Specialist</t>
  </si>
  <si>
    <t>First certificate of registration issued: Independent Practice Certificate||Effective:   11 Oct 1996</t>
  </si>
  <si>
    <t>Dr. Colonne Medicine Professional Corporation</t>
  </si>
  <si>
    <t>Issued Date:  Nov 14 2012</t>
  </si>
  <si>
    <t>Dr. D. Colonne (CPSO# 70874)</t>
  </si>
  <si>
    <t>Joseph Brant Community Health Ctr,1182 North Shore Boulevard East,Burlington ON  L7S 1W7,(905) 637-2586</t>
  </si>
  <si>
    <t>25087</t>
  </si>
  <si>
    <t>University of Saskatchewan, 1971</t>
  </si>
  <si>
    <t>St Michael's Hospital,30 Bond Street,17th Floor,Toronto ON  M5B 1W8</t>
  </si>
  <si>
    <t>(416) 864-6060 Ext. 6401</t>
  </si>
  <si>
    <t>(416) 864-3091</t>
  </si>
  <si>
    <t>Centre of Addiction &amp; Mental Health,- College Street Site:Toronto
St Michael's Hospital:Toronto</t>
  </si>
  <si>
    <t>Psychiatry||Effective: 10 Nov 1976||RCPSC Specialist</t>
  </si>
  <si>
    <t>First certificate of registration issued: Independent Practice Certificate||Effective:   22 Aug 1972</t>
  </si>
  <si>
    <t>Donald A. Wasylenki Medicine Professional Corporation</t>
  </si>
  <si>
    <t>Issued Date:  Feb 22 2010</t>
  </si>
  <si>
    <t>Dr. S. Brook (CPSO# 53188),Dr. D. Wasylenki (CPSO# 25087)</t>
  </si>
  <si>
    <t>St. Michael's Hospital,30 Bond Street,17th Floor,Toronto ON  M5B 1W8,(416) 864-6060</t>
  </si>
  <si>
    <t>18396</t>
  </si>
  <si>
    <t xml:space="preserve">Independent Practice as of 09 Jul 1962 </t>
  </si>
  <si>
    <t>The University of Western Ontario, 1961</t>
  </si>
  <si>
    <t>9698 Tobias Lane,Lambton Shores ON  N0N 1J2</t>
  </si>
  <si>
    <t>(519) 786-6095</t>
  </si>
  <si>
    <t>Psychiatry||Effective: 01 Jan 1966||RCPSC Specialist</t>
  </si>
  <si>
    <t>First certificate of registration issued: Independent Practice Certificate||Effective:   09 Jul 1962</t>
  </si>
  <si>
    <t>D. A. Galbraith Medicine Professional Corporation</t>
  </si>
  <si>
    <t>Inactive: Oct 23 2015</t>
  </si>
  <si>
    <t>52036</t>
  </si>
  <si>
    <t xml:space="preserve">Independent Practice as of 19 Jul 1983 </t>
  </si>
  <si>
    <t>Toronto General Hospital,200 Elizabeth Street,8 E N-219,Toronto ON  M5G 2C4</t>
  </si>
  <si>
    <t>(416) 340-4445</t>
  </si>
  <si>
    <t>First certificate of registration issued: Postgraduate Education Certificate||Effective:   15 Jun 1982
Transfer of class of registration to: Independent Practice Certificate||Effective:   19 Jul 1983</t>
  </si>
  <si>
    <t>M. Anne Curtis Medicine Professional Corporation</t>
  </si>
  <si>
    <t>Issued Date:  Aug 28 2007</t>
  </si>
  <si>
    <t>Dr. M. Curtis (CPSO# 50313),Dr. D. Woodside (CPSO# 52036)</t>
  </si>
  <si>
    <t>29 Park Road,Toronto ON  M4W 2N2,(416) 922-9620</t>
  </si>
  <si>
    <t>17605</t>
  </si>
  <si>
    <t xml:space="preserve">Active Member as of 11 Jul 1960 </t>
  </si>
  <si>
    <t xml:space="preserve">Independent Practice as of 11 Jul 1960 </t>
  </si>
  <si>
    <t>Queen's University, 1959</t>
  </si>
  <si>
    <t>34 Riverside Drive,Kingston ON  K7L 4V1</t>
  </si>
  <si>
    <t>613 546 2155</t>
  </si>
  <si>
    <t>Psychiatry||Effective: 09 Nov 1964||RCPSC Specialist</t>
  </si>
  <si>
    <t>First certificate of registration issued: Independent Practice Certificate||Effective:   11 Jul 1960</t>
  </si>
  <si>
    <t>60187</t>
  </si>
  <si>
    <t xml:space="preserve">Independent Practice as of 29 Jun 1990 </t>
  </si>
  <si>
    <t>The University of Manitoba, 1988</t>
  </si>
  <si>
    <t>Trillium Health Partners,Mississauga Hospital,Psychiatry Administration,100 Queensway West,Mississauga ON  L5B 1B8</t>
  </si>
  <si>
    <t>First certificate of registration issued: Postgraduate Education Certificate||Effective:   22 Sep 1988
Expired: Terms and conditions of certificate of registration||Expiry:      19 Oct 1988
Subsequent certificate of registration Issued: Postgraduate Education Certificate||Effective:   01 Jul 1989
Transfer of class of registration to: Independent Practice Certificate||Effective:   29 Jun 1990</t>
  </si>
  <si>
    <t>Head Medicine Professional Corporation</t>
  </si>
  <si>
    <t>Issued Date:  Dec 20 2013</t>
  </si>
  <si>
    <t>Dr. D. Head (CPSO# 60187)</t>
  </si>
  <si>
    <t>Trillium Health Partners,Mississauga Hospital,Psychiatry Admin,100 Queensway West,Mississauga ON  L5B 1B8,(905) 848-7100
Summerville Family Health Team,Summerville Family Health Team,101 Queensway West,Mississauga ON  L5B 2P7,(905) 272-9700
Trilluim Health Partners,Trilluim Health Partners,The Credit Valley Hospital,2200 Eglinton Avenue West,Mississauga ON  L5M 2N1,(905) 813-1100
Trilluim Health Partners,Trilluim Health Partners,Queensway Health Centre,150 Sherway Drive,Toronto ON  M9C 1A5,(416) 259-6671</t>
  </si>
  <si>
    <t>67025</t>
  </si>
  <si>
    <t>University of Calgary, 1993</t>
  </si>
  <si>
    <t>Suite 6060,3080 Yonge Street,Toronto ON  M4N 3N1</t>
  </si>
  <si>
    <t>(416) 347-2061</t>
  </si>
  <si>
    <t>(647) 846-8622</t>
  </si>
  <si>
    <t>Donato Anthony Di Giacomo Medicine Professional Corporation</t>
  </si>
  <si>
    <t>Issued Date:  May 03 2007</t>
  </si>
  <si>
    <t>Dr. D. Di Giacomo (CPSO# 67025)</t>
  </si>
  <si>
    <t>Suite 6060,3080 Yonge Street,Toronto ON  M4N 3N1,(416) 347-2061</t>
  </si>
  <si>
    <t>60096</t>
  </si>
  <si>
    <t xml:space="preserve">Active Member as of 30 Jun 1988 </t>
  </si>
  <si>
    <t xml:space="preserve">Independent Practice as of 30 Jun 1988 </t>
  </si>
  <si>
    <t>University of Calgary, 1981</t>
  </si>
  <si>
    <t>Royal Ottawa Health Care Group,1455 Carling Ave,Ottawa,Ottawa ON  K1Z 7K4</t>
  </si>
  <si>
    <t>613-7226521</t>
  </si>
  <si>
    <t>Royal Ottawa Health Care Centre,1145 Carling Ave,Ottawa ON  K1Z 7K4,Canada,Phone:613-722-6521,County:Regional Municipality of Ottawa-Carleton,Electoral District:07</t>
  </si>
  <si>
    <t>Psychiatry||Effective: 14 Nov 1991||RCPSC Specialist</t>
  </si>
  <si>
    <t>University of Ottawa, 01 Jul 1990  to 30 Jun 1991|Resident 4 - Psychiatry</t>
  </si>
  <si>
    <t>First certificate of registration issued: Independent Practice Certificate||Effective:   30 Jun 1988</t>
  </si>
  <si>
    <t>21433</t>
  </si>
  <si>
    <t xml:space="preserve">Active Member as of 28 Jun 1968 </t>
  </si>
  <si>
    <t xml:space="preserve">Independent Practice as of 28 Jun 1968 </t>
  </si>
  <si>
    <t>Queen's University, 1967</t>
  </si>
  <si>
    <t>Toronto General Hospital,University Health Network,E N - 7 - 229,200 Elizabeth Street,Toronto ON  M5G 2C4</t>
  </si>
  <si>
    <t>(416) 340-3846</t>
  </si>
  <si>
    <t>(416) 340-4185</t>
  </si>
  <si>
    <t>Psychiatry||Effective: 14 Nov 1972||RCPSC Specialist</t>
  </si>
  <si>
    <t>First certificate of registration issued: Postgraduate Education Certificate||Effective:   01 Jul 1967
Transfer of class of registration to: Independent Practice Certificate||Effective:   28 Jun 1968</t>
  </si>
  <si>
    <t>68287</t>
  </si>
  <si>
    <t xml:space="preserve">Active Member as of 03 Mar 2000 </t>
  </si>
  <si>
    <t xml:space="preserve">Independent Practice as of 03 Mar 2000 </t>
  </si>
  <si>
    <t>Youthdale Treatment Centre,227 Victoria Street,Toronto ON  M5B 1T8</t>
  </si>
  <si>
    <t>(416) 363-3751 Ext. 2091</t>
  </si>
  <si>
    <t>(416) 363-7945</t>
  </si>
  <si>
    <t>Psychiatry||Effective: 28 Feb 2000||RCPSC Specialist</t>
  </si>
  <si>
    <t>University of Toronto, 01 Jul 1994  to 30 Jun 1995|PostGrad Yr 1 - Psychiatry
University of Toronto, 01 Jul 1995  to 30 Jun 1996|Resident 1 - Psychiatry
University of Toronto, 01 Jul 1996  to 31 Dec 1996|PostGrad Yr 2 - Psychiatry
University of Toronto, 01 Jan 1997  to 30 Jun 1997|PostGrad Yr 3 - Psychiatry
University of Toronto, 01 Jul 1997  to 31 Dec 1997|PostGrad Yr 3 - Psychiatry
University of Toronto, 01 Jan 1998  to 30 Jun 1998|PostGrad Yr 4 - Psychiatry
University of Toronto, 01 Jul 1998  to 31 Dec 1998|PostGrad Yr 4 - Psychiatry
University of Toronto, 01 Jan 1999  to 30 Jun 1999|PostGrad Yr 5 - Psychiatry
University of Toronto, 01 Jul 1999  to 22 Feb 2000|PostGrad Yr 5 - Psychiatry</t>
  </si>
  <si>
    <t>First certificate of registration issued: Postgraduate Education Certificate||Effective:   01 Jul 1994
Expired: Terms and conditions of certificate of registration||Expiry:      22 Feb 2000
Subsequent certificate of registration Issued: Independent Practice Certificate||Effective:   03 Mar 2000</t>
  </si>
  <si>
    <t>80709</t>
  </si>
  <si>
    <t>CAMH,Geriatrics Program,6th Floor,80 Workman Way,Toronto ON  M6J 1H4</t>
  </si>
  <si>
    <t>(416) 535-8501 Ext. 33652</t>
  </si>
  <si>
    <t>(416) 583-1272</t>
  </si>
  <si>
    <t>Donna Kim Medicine Professional Corporation</t>
  </si>
  <si>
    <t>Issued Date:  Oct 28 2009</t>
  </si>
  <si>
    <t>Dr. D. Kim (CPSO# 80709)</t>
  </si>
  <si>
    <t>CAMH,Geriatric Mental Health,80 Workman Way, 6th Floor,Toronto ON  M6J 1H4,(416) 535-8501</t>
  </si>
  <si>
    <t>63395</t>
  </si>
  <si>
    <t xml:space="preserve">Active Member as of 07 Mar 1991 </t>
  </si>
  <si>
    <t>Bangalore University, 1979</t>
  </si>
  <si>
    <t>London Health Sciences Centre,Victoria Hospital,800 Commissioners Road East,London ON  N6A 5W9</t>
  </si>
  <si>
    <t>(519) 667-6863</t>
  </si>
  <si>
    <t>(519) 667-6564</t>
  </si>
  <si>
    <t>First certificate of registration issued: Independent Practice Certificate||Effective:   07 Mar 1991</t>
  </si>
  <si>
    <t>D. Sanjeev Medicine Professional Corporation</t>
  </si>
  <si>
    <t>Issued Date:  Aug 24 2006</t>
  </si>
  <si>
    <t>Dr. D. Sanjeev (CPSO# 63395)</t>
  </si>
  <si>
    <t>800 Commissioners Road East,Suite B8-112,London ON  N6A 5W9,(519) 667-6863</t>
  </si>
  <si>
    <t>64627</t>
  </si>
  <si>
    <t xml:space="preserve">Active Member as of 27 Sep 1991 </t>
  </si>
  <si>
    <t xml:space="preserve">Independent Practice as of 27 Sep 1991 </t>
  </si>
  <si>
    <t>Inner City Health Associates,59 Adelaide St. East, 2nd Floor,Toronto ON  M5C 1K6</t>
  </si>
  <si>
    <t>(416) 591-4411</t>
  </si>
  <si>
    <t>University of Ottawa, 01 Jul 1995  to 30 Jun 1996|Resident 4 - Psychiatry
University of Ottawa, 01 Jul 1996  to 31 Dec 1996|Resident 4 - Psychiatry
University of Ottawa, 01 Jan 1997  to 30 Jun 1997|Clinical Fellow - Psychiatry</t>
  </si>
  <si>
    <t>First certificate of registration issued: Independent Practice Certificate||Effective:   27 Sep 1991</t>
  </si>
  <si>
    <t>62437</t>
  </si>
  <si>
    <t xml:space="preserve">Independent Practice as of 16 Oct 1992 </t>
  </si>
  <si>
    <t>University of Toronto, 1990</t>
  </si>
  <si>
    <t>Suite 305,55 Eglinton Avenue East,www.possibilitiesclinic.com,Toronto ON  M4P 1G8</t>
  </si>
  <si>
    <t>(416) 482-5558</t>
  </si>
  <si>
    <t>(416) 482-8999</t>
  </si>
  <si>
    <t>Psychiatry||Effective: 30 Jun 1995||RCPSC Specialist
Child and Adolescent Psychiatry||Effective: 23 Sep 2014||RCPSC Specialist</t>
  </si>
  <si>
    <t>University of Toronto, 11 Jun 1990  to 17 Jun 1991|Other - Rotating Internship
University of Toronto, 01 Jul 1991  to 30 Jun 1992|Resident 1 - Psychiatry
University of Toronto, 01 Jul 1992  to 30 Jun 1993|Resident 2 - Psychiatry
University of Toronto, 01 Jul 1993  to 30 Jun 1994|Resident 3 - Psychiatry
University of Toronto, 01 Jul 1994  to 30 Jun 1995|Resident 4 - Psychiatry</t>
  </si>
  <si>
    <t>First certificate of registration issued: Postgraduate Education Certificate||Effective:   11 Jun 1990
Transfer of class of registration to: Independent Practice Certificate||Effective:   16 Oct 1992</t>
  </si>
  <si>
    <t>Dr. Doron Almagor Medicine Professional Corporation</t>
  </si>
  <si>
    <t>Issued Date:  Jan 30 2014</t>
  </si>
  <si>
    <t>Dr. D. Almagor (CPSO# 62437)</t>
  </si>
  <si>
    <t>Suite 305,55 Eglinton Avenue East,Toronto ON  M4P 1G8,(416) 482-5558</t>
  </si>
  <si>
    <t>58480</t>
  </si>
  <si>
    <t>Toronto East General Hospital,Department of Psychiatry - H5,825 Coxwell Avenue,Toronto ON  M4C 3E7</t>
  </si>
  <si>
    <t>(416) 469-6580 Ext. 6211</t>
  </si>
  <si>
    <t>(416) 482-6726</t>
  </si>
  <si>
    <t>University of Toronto, 01 Jul 1991  to 30 Jun 1992|Resident 4 - Psychiatry</t>
  </si>
  <si>
    <t>First certificate of registration issued: Postgraduate Education Certificate||Effective:   15 Jun 1987
Transfer of class of registration to: Independent Practice Certificate||Effective:   11 Oct 1988</t>
  </si>
  <si>
    <t>32545</t>
  </si>
  <si>
    <t xml:space="preserve">Active Member as of 25 Jun 1981 </t>
  </si>
  <si>
    <t xml:space="preserve">Independent Practice as of 25 Jun 1981 </t>
  </si>
  <si>
    <t>The University of Western Ontario, 1980</t>
  </si>
  <si>
    <t>44 Riverview Drive,Toronto ON  M4N 3C7</t>
  </si>
  <si>
    <t>(416) 482-6657</t>
  </si>
  <si>
    <t>First certificate of registration issued: Independent Practice Certificate||Effective:   25 Jun 1981</t>
  </si>
  <si>
    <t>33168</t>
  </si>
  <si>
    <t xml:space="preserve">Active Member as of 28 Apr 1982 </t>
  </si>
  <si>
    <t xml:space="preserve">Independent Practice as of 28 Apr 1982 </t>
  </si>
  <si>
    <t>University of Calgary, 1977</t>
  </si>
  <si>
    <t>2200 Yonge Street,Suite  1704,Toronto ON  M4S 2C6</t>
  </si>
  <si>
    <t>(416) 488-8628</t>
  </si>
  <si>
    <t>(416) 488-1082</t>
  </si>
  <si>
    <t>Psychiatry||Effective: 22 Nov 1982||RCPSC Specialist
Child and Adolescent Psychiatry||Effective: 23 Sep 2014||RCPSC Specialist</t>
  </si>
  <si>
    <t>First certificate of registration issued: Independent Practice Certificate||Effective:   28 Apr 1982</t>
  </si>
  <si>
    <t>53592</t>
  </si>
  <si>
    <t xml:space="preserve">Active Member as of 12 Oct 1983 </t>
  </si>
  <si>
    <t xml:space="preserve">Independent Practice as of 12 Oct 1983 </t>
  </si>
  <si>
    <t>University of Glasgow, 1976</t>
  </si>
  <si>
    <t>Kirkwood Place,North Bay Regional Health Centre,680 Kirkwood Drive,Sudbury ON  P3E 1X3</t>
  </si>
  <si>
    <t>(705) 675-9193 Ext. 8342</t>
  </si>
  <si>
    <t>(705) 675-8807</t>
  </si>
  <si>
    <t>North Bay Regional Health Centre - Kirkwood Place:Sudbury
North Bay Regional Health Centre:North Bay
Sault Area Hospital:Sault Ste Marie
Thunder Bay Regional Health Sciences Centre:Thunder Bay</t>
  </si>
  <si>
    <t>First certificate of registration issued: Independent Practice Certificate||Effective:   12 Oct 1983</t>
  </si>
  <si>
    <t>51777</t>
  </si>
  <si>
    <t xml:space="preserve">Active Member as of 12 Aug 1999 </t>
  </si>
  <si>
    <t xml:space="preserve">Independent Practice as of 12 Aug 1999 </t>
  </si>
  <si>
    <t>Department of Psychiatry,Ottawa Hospital, Civic Campus,1053 Carling Avenue,Ottawa ON  K1Y 4E9</t>
  </si>
  <si>
    <t>(613) 761-4588</t>
  </si>
  <si>
    <t>(613) 761-4177</t>
  </si>
  <si>
    <t>University of Ottawa, 28 Oct 1983  to 30 Jun 1984|Resident 1 - Psychiatry
University of Ottawa, 01 Jul 1984  to 30 Jun 1985|Resident 1 - Psychiatry
University of Ottawa, 01 Jul 1985  to 30 Jun 1986|Resident 2 - Psychiatry
University of Ottawa, 01 Jul 1986  to 30 Jun 1987|Resident 3 - Psychiatry
University of Ottawa, 01 Jul 1987  to 31 Dec 1987|Resident 4 - Psychiatry</t>
  </si>
  <si>
    <t>First certificate of registration issued: Postgraduate Education Certificate||Effective:   15 Jun 1982
Expired: Terms and conditions of certificate of registration||Expiry:      15 Jun 1983
Subsequent certificate of registration Issued: Postgraduate Education Certificate||Effective:   01 Nov 1983
Expired: Terms and conditions of certificate of registration||Expiry:      31 Dec 1987
Subsequent certificate of registration Issued: Hospital Practice Certificate||Effective:   18 Jan 1988
Expired: Terms and conditions of certificate of registration||Expiry:      17 Jun 1988
Subsequent certificate of registration Issued: Hospital Practice Certificate||Effective:   04 Oct 1989
Transfer of class of certificate to: Restricted certificate||Effective:   08 Apr 1998
Terms and conditions imposed on certificate||Effective:   08 Apr 1998
Expired: Terms and conditions of certificate of registration||Expiry:      11 Aug 1999
Subsequent certificate of registration Issued: Independent Practice Certificate||Effective:   12 Aug 1999</t>
  </si>
  <si>
    <t>Dr. Douglas Wilkins Medicine Professional Corporation</t>
  </si>
  <si>
    <t>Issued Date:  Dec 24 2008</t>
  </si>
  <si>
    <t>Dr. D. Wilkins (CPSO# 51777)</t>
  </si>
  <si>
    <t>Department of Psychiatry,Ottawa Hospital, Civic Campus,1053 Carling Avenue,Ottawa ON  K1Y 4E9,(613) 761-4588</t>
  </si>
  <si>
    <t>62223</t>
  </si>
  <si>
    <t xml:space="preserve">Independent Practice as of 14 Feb 1992 </t>
  </si>
  <si>
    <t>University of Ottawa, 1990</t>
  </si>
  <si>
    <t>Ottawa Hospital,General Campus,501 Smyth Road,Ottawa ON  K1H 8L6</t>
  </si>
  <si>
    <t>Bruyere Continuing Care-Elisabeth Bruyere Site:Ottawa
Ottawa Hospital,Civic Site:Ottawa
Ottawa Hospital,General Site:Ottawa
Ottawa Hospital,Rehabilitation Centre:Ottawa
Ottawa Hospital,Riverside Site:Ottawa
Royal Ottawa Health Care Group:Ottawa</t>
  </si>
  <si>
    <t>University of Ottawa, 15 Jun 1990  to 14 Jun 1991|Other - Rotating Internship
University of Ottawa, 01 Jul 1991  to 30 Jun 1992|Resident 1 - Internal Medicine
University of Ottawa, 01 Jul 1992  to 30 Jun 1993|Resident 1 - Psychiatry
University of Ottawa, 01 Jul 1993  to 30 Jun 1994|Resident 2 - Psychiatry
University of Ottawa, 01 Jul 1994  to 30 Jun 1995|Resident 3 - Psychiatry
University of Ottawa, 01 Jul 1995  to 30 Jun 1996|Clinical Fellow - Psychiatry</t>
  </si>
  <si>
    <t>First certificate of registration issued: Postgraduate Education Certificate||Effective:   15 Jun 1990
Transfer of class of registration to: Independent Practice Certificate||Effective:   14 Feb 1992</t>
  </si>
  <si>
    <t>D. Green Medicine Professional Corporation</t>
  </si>
  <si>
    <t>Issued Date:  Oct 03 2011</t>
  </si>
  <si>
    <t>Dr. D. Green (CPSO# 62223)</t>
  </si>
  <si>
    <t>Ottawa Hospital,General Campus,Department of Psychiatry 4th Floor,501 Smyth Road,Ottawa ON  K1H 8L6,(613) 737-8010</t>
  </si>
  <si>
    <t>65683</t>
  </si>
  <si>
    <t xml:space="preserve">Active Member as of 06 Dec 1996 </t>
  </si>
  <si>
    <t xml:space="preserve">Independent Practice as of 06 Dec 1996 </t>
  </si>
  <si>
    <t>University of Zagreb, 1980</t>
  </si>
  <si>
    <t>220 Owen Blvd,Toronto ON  M2P 1G7</t>
  </si>
  <si>
    <t>(416) 934-0098</t>
  </si>
  <si>
    <t>(416) 444-0452</t>
  </si>
  <si>
    <t>Croatia</t>
  </si>
  <si>
    <t>First certificate of registration issued: Postgraduate Education Certificate||Effective:   01 Jul 1992
Expired: Terms and conditions of certificate of registration||Expiry:      30 Jun 1996
Subsequent certificate of registration issued: Restricted certificate||Effective:   09 Jul 1996
Expired: Terms and conditions imposed on certificate by Registration Committee||Effective:   05 Dec 1996
Subsequent certificate of registration Issued: Independent Practice Certificate||Effective:   06 Dec 1996</t>
  </si>
  <si>
    <t>Dr. Dragan Hercig Medicine Professional Corporation</t>
  </si>
  <si>
    <t>Issued Date:  Mar 01 2006</t>
  </si>
  <si>
    <t>Dr. D. Hercig (CPSO# 65683)</t>
  </si>
  <si>
    <t>220 Owen Boulevard,Toronto ON  M2P 1G7,(416) 934-0098</t>
  </si>
  <si>
    <t>88167</t>
  </si>
  <si>
    <t xml:space="preserve">Active Member as of 11 Jul 2011 </t>
  </si>
  <si>
    <t xml:space="preserve">Independent Practice as of 11 Jul 2011 </t>
  </si>
  <si>
    <t>University of Belgrade, 1982</t>
  </si>
  <si>
    <t>University of Ottawa, 24 Mar 2008  to 08 May 2008|Elective Trainee - Psychiatry</t>
  </si>
  <si>
    <t>First certificate of registration issued: Postgraduate Education Certificate||Effective:   24 Mar 2008
Expired: Terms and conditions of certificate of registration||Expiry:      08 May 2008
Subsequent certificate of registration issued: Restricted certificate||Effective:   24 Aug 2009
Expired: Terms and conditions imposed on certificate by Registration Committee||Effective:   11 Jul 2011
Subsequent certificate of registration Issued: Independent Practice Certificate||Effective:   11 Jul 2011</t>
  </si>
  <si>
    <t>Drago Erak Medicine Professional Corporation</t>
  </si>
  <si>
    <t>Issued Date:  Sep 28 2010</t>
  </si>
  <si>
    <t>Dr. D. Erak (CPSO# 88167)</t>
  </si>
  <si>
    <t>Queensway Carleton Hospital,Department of Psychiatry,3045 Baseline Road,Ottawa ON  K2H 8P4,(613) 721-2000</t>
  </si>
  <si>
    <t>51601</t>
  </si>
  <si>
    <t xml:space="preserve">Independent Practice as of 30 Jun 1983 </t>
  </si>
  <si>
    <t>669 Maple Road,Odessa ON  K0H 2H0</t>
  </si>
  <si>
    <t>(613) 3050123</t>
  </si>
  <si>
    <t>(613) 3865856</t>
  </si>
  <si>
    <t>First certificate of registration issued: Postgraduate Education Certificate||Effective:   14 Jun 1982
Transfer of class of registration to: Independent Practice Certificate||Effective:   30 Jun 1983</t>
  </si>
  <si>
    <t>Duncan Scott Medicine Professional Corporation</t>
  </si>
  <si>
    <t>Issued Date:  Oct 11 2006</t>
  </si>
  <si>
    <t>Dr. D. Scott (CPSO# 51601)</t>
  </si>
  <si>
    <t>752 King Street West,Kingston ON  K7L 4X3,(613) 546-1101</t>
  </si>
  <si>
    <t>17707</t>
  </si>
  <si>
    <t xml:space="preserve">Active Member as of 28 Sep 1960 </t>
  </si>
  <si>
    <t xml:space="preserve">Independent Practice as of 28 Sep 1960 </t>
  </si>
  <si>
    <t>Hanover &amp; District Hospital,90 7th Avenue,Hanover ON  N4N 1N1</t>
  </si>
  <si>
    <t>(519) 364-7433</t>
  </si>
  <si>
    <t>Hanover and District Hospital:Hanover</t>
  </si>
  <si>
    <t>Psychiatry||Effective: 18 Nov 1965||RCPSC Specialist</t>
  </si>
  <si>
    <t>First certificate of registration issued: Independent Practice Certificate||Effective:   28 Sep 1960</t>
  </si>
  <si>
    <t>96820</t>
  </si>
  <si>
    <t xml:space="preserve">Active Member as of 01 Oct 2011 </t>
  </si>
  <si>
    <t xml:space="preserve">Restricted as of 01 Oct 2011 </t>
  </si>
  <si>
    <t>University of Belgrade, 1991</t>
  </si>
  <si>
    <t>Queens University,Department of Psychiatry,Providence Care Hospital,752 King Street West,Kingston ON  K7L 4X3</t>
  </si>
  <si>
    <t>(613) 544-4900</t>
  </si>
  <si>
    <t>Psychiatry||Effective: 29 May 2018||RCPSC Specialist</t>
  </si>
  <si>
    <t>First certificate of registration issued: Restricted certificate||Effective:   01 Oct 2011
Terms and conditions imposed on certificate by Registration Committee||Effective:   01 Oct 2011
Expiry date attached to certificate of registration.||Expiry Date: 30 Jun 2014
Terms and conditions amended by Registration Committee||Effective:   07 Apr 2017
Expiry date attached to certificate of registration||Expiry Date: 30 Jun 2022</t>
  </si>
  <si>
    <t>Kolar Medicine Professional Corporation</t>
  </si>
  <si>
    <t>Dr. D. Kolar (CPSO# 96820)</t>
  </si>
  <si>
    <t>Queen's University, Department of Psychiatry,Providence Care - Mental Health,752 King Street West,Kingston ON  K7L 4X3,(613) 544-4900</t>
  </si>
  <si>
    <t>75712</t>
  </si>
  <si>
    <t xml:space="preserve">Active Member as of 12 Oct 2000 </t>
  </si>
  <si>
    <t xml:space="preserve">Independent Practice as of 12 Oct 2000 </t>
  </si>
  <si>
    <t>Akan, English, Ga-Adangme-Krobo</t>
  </si>
  <si>
    <t>Univ of Ghana, 1981</t>
  </si>
  <si>
    <t>Centenary Health Centre,2867 Ellesmere Road,Scarborough ON  M1E 4B9</t>
  </si>
  <si>
    <t>(416) 281-7318</t>
  </si>
  <si>
    <t>(416) 281-7320</t>
  </si>
  <si>
    <t>825 Coxwell Street,Toronto ON  M4C 3E7,Canada,Phone:(416) 469-6580 Ext. 6878,Fax:(416) 469-6805,County:City of Toronto,Electoral District:10</t>
  </si>
  <si>
    <t>Michael Garron Hospital - Toronto East Health Network:Toronto
Rouge Valley Centenary Health Centre,Toronto:Toronto</t>
  </si>
  <si>
    <t>Psychiatry||Effective: 20 Nov 1998||RCPSC Specialist</t>
  </si>
  <si>
    <t>First certificate of registration issued: Independent Practice Certificate||Effective:   12 Oct 2000</t>
  </si>
  <si>
    <t>Okyere Medicine Professional Corporation</t>
  </si>
  <si>
    <t>Dr. E. Okyere (CPSO# 75712)</t>
  </si>
  <si>
    <t>Centenary Health Centre,2867 Ellesmere Road,Scarborough ON  M1E 4B9,(416) 281-7318
825 Coxwell Avenue,825 Coxwell Avenue,Toronto ON  M4C 3E7,(416) 469-6580</t>
  </si>
  <si>
    <t>22603</t>
  </si>
  <si>
    <t xml:space="preserve">Active Member as of 24 May 2006 </t>
  </si>
  <si>
    <t xml:space="preserve">Restricted as of 29 Jun 2005 </t>
  </si>
  <si>
    <t>McGill University, 1956</t>
  </si>
  <si>
    <t>Room 602,600 Sherbourne Street,Toronto ON  M4X 1W4</t>
  </si>
  <si>
    <t>(416) 967-6200</t>
  </si>
  <si>
    <t>(416) 967-6201</t>
  </si>
  <si>
    <t>Psychiatry||Effective: 13 Nov 1962||RCPSC Specialist</t>
  </si>
  <si>
    <t>First certificate of registration issued: Independent Practice Certificate||Effective:   19 Mar 1970
Transfer of class of certificate to: Restricted certificate||Effective:   29 Jun 2005
Terms and conditions imposed on certificate by member||Effective:   29 Jun 2005
Terms and conditions amended by Discipline Committee||Effective:   24 Apr 2006
Suspension of registration imposed: Discipline Committee||Effective:   24 May 2006
Suspension of registration removed||Effective:   24 Aug 2006
Terms and conditions amended by Discipline Committee||Effective:   02 Aug 2012
Terms and conditions amended by Discipline Committee||Effective:   10 Feb 2016</t>
  </si>
  <si>
    <t>21893</t>
  </si>
  <si>
    <t xml:space="preserve">Active Member as of 10 Oct 2000 </t>
  </si>
  <si>
    <t xml:space="preserve">Independent Practice as of 09 Jun 1969 </t>
  </si>
  <si>
    <t>University of Alberta, 1961</t>
  </si>
  <si>
    <t>3910 Bathurst street suite 306,Willowdale ON  M3H 5Z3</t>
  </si>
  <si>
    <t>(416) 497-0447</t>
  </si>
  <si>
    <t>(416) 497-7365</t>
  </si>
  <si>
    <t>Psychiatry||Effective: 28 Nov 1966||RCPSC Specialist</t>
  </si>
  <si>
    <t>First certificate of registration issued: Independent Practice Certificate||Effective:   09 Jun 1969
Suspension of registration imposed: Discipline Committee||Effective:   11 Sep 2000
Suspension of registration removed||Effective:   10 Oct 2000</t>
  </si>
  <si>
    <t>31284</t>
  </si>
  <si>
    <t xml:space="preserve">Active Member as of 01 Jul 1976 </t>
  </si>
  <si>
    <t xml:space="preserve">Independent Practice as of 01 Jan 1980 </t>
  </si>
  <si>
    <t>State Univ of New York, Downstate, 1976</t>
  </si>
  <si>
    <t>512 Ace st,Stittsville ON  K2V 0G1</t>
  </si>
  <si>
    <t>(613)4353019</t>
  </si>
  <si>
    <t>(613) 435-3702</t>
  </si>
  <si>
    <t>USA - Arizona
USA - California
USA - Florida</t>
  </si>
  <si>
    <t>Niagara Health System,St Catharines General Site:St Catharines
Royal Ottawa Health Care Group:Ottawa</t>
  </si>
  <si>
    <t>First certificate of registration issued: Postgraduate Education Certificate||Effective:   01 Jul 1976
Transfer of class of registration to: Independent Practice Certificate||Effective:   01 Jan 1980</t>
  </si>
  <si>
    <t>Dr. Edgardo Perez Medicine Professional Corporation</t>
  </si>
  <si>
    <t>Issued Date:  Dec 15 2011</t>
  </si>
  <si>
    <t>Dr. E. Perez (CPSO# 31284)</t>
  </si>
  <si>
    <t>512 Ace Street,Stittsville ON  K2V 0G1,(613) 435-3019</t>
  </si>
  <si>
    <t>50824</t>
  </si>
  <si>
    <t xml:space="preserve">Independent Practice as of 22 Sep 1983 </t>
  </si>
  <si>
    <t>Arabic, English, French</t>
  </si>
  <si>
    <t>University of Alexandria, 1978</t>
  </si>
  <si>
    <t>2530 St Joseph Boulevard,Unit 6,Orleans ON  K1C 1G1</t>
  </si>
  <si>
    <t>(613) 830-1004</t>
  </si>
  <si>
    <t>(613) 830-9689</t>
  </si>
  <si>
    <t>First certificate of registration issued: Postgraduate Education Certificate||Effective:   01 Jul 1980
Transfer of class of registration to: Independent Practice Certificate||Effective:   22 Sep 1983</t>
  </si>
  <si>
    <t>Edouard Cattan Medicine Professional Corporation</t>
  </si>
  <si>
    <t>Issued Date:  Mar 20 2003</t>
  </si>
  <si>
    <t>Dr. E. Cattan (CPSO# 50824)</t>
  </si>
  <si>
    <t>6 - 2530 St. Joseph Boulevard,Ottawa ON  K1C 1G1,(613) 830-1004</t>
  </si>
  <si>
    <t>24969</t>
  </si>
  <si>
    <t xml:space="preserve">Active Member as of 01 Aug 1972 </t>
  </si>
  <si>
    <t xml:space="preserve">Independent Practice as of 01 Aug 1972 </t>
  </si>
  <si>
    <t>University of Toronto, 1971</t>
  </si>
  <si>
    <t>Mount Sinai Hospital,Suite 917,600 University Avenue,Toronto ON  M5G 1X5</t>
  </si>
  <si>
    <t>(416) 586-4800 Ext. 4662</t>
  </si>
  <si>
    <t>First certificate of registration issued: Independent Practice Certificate||Effective:   01 Aug 1972</t>
  </si>
  <si>
    <t>28192</t>
  </si>
  <si>
    <t xml:space="preserve">Active Member as of 10 Jun 1976 </t>
  </si>
  <si>
    <t xml:space="preserve">Independent Practice as of 10 Jun 1976 </t>
  </si>
  <si>
    <t>St. Josephs Healthcare,Shizophrenia Outpatient Clinic,100 West 5th St,Hamilton ON  L8P 3R2</t>
  </si>
  <si>
    <t>(905) 527-7301</t>
  </si>
  <si>
    <t>Hamilton Mental Health Outreach,987 King St East, Suite 103,Hamilton, ON,Hamilton ON  L8M 1C6,Canada,Phone:(905) 522-9767,Fax:905 522-9826,County:Regional Municipality of Hamilton-Wentworth,Electoral District:04</t>
  </si>
  <si>
    <t>Psychiatry||Effective: 01 Jan 1976||RCPSC Specialist</t>
  </si>
  <si>
    <t>First certificate of registration issued: Independent Practice Certificate||Effective:   10 Jun 1976</t>
  </si>
  <si>
    <t>22974</t>
  </si>
  <si>
    <t xml:space="preserve">Active Member as of 09 Jul 1970 </t>
  </si>
  <si>
    <t xml:space="preserve">Independent Practice as of 09 Jul 1970 </t>
  </si>
  <si>
    <t>English, Yiddish</t>
  </si>
  <si>
    <t>The University of Manitoba, 1965</t>
  </si>
  <si>
    <t>235 St Clair Avenue West,Suite 108,Toronto ON  M4V 1R4</t>
  </si>
  <si>
    <t>(416) 922-2028</t>
  </si>
  <si>
    <t>(416) 928-2993</t>
  </si>
  <si>
    <t>Psychiatry||Effective: 17 Nov 1970||RCPSC Specialist</t>
  </si>
  <si>
    <t>First certificate of registration issued: Independent Practice Certificate||Effective:   09 Jul 1970</t>
  </si>
  <si>
    <t>51889</t>
  </si>
  <si>
    <t>University of Calgary, 1978</t>
  </si>
  <si>
    <t>117 Murray Street,Suite 202,Ottawa ON  K1N 5M5</t>
  </si>
  <si>
    <t>(613) 594-5738</t>
  </si>
  <si>
    <t>First certificate of registration issued: Postgraduate Education Certificate||Effective:   01 Jul 1979
Transfer of class of registration to: Independent Practice Certificate||Effective:   30 Jun 1983</t>
  </si>
  <si>
    <t>18211</t>
  </si>
  <si>
    <t xml:space="preserve">Active Member as of 06 Mar 1962 </t>
  </si>
  <si>
    <t xml:space="preserve">Independent Practice as of 06 Mar 1962 </t>
  </si>
  <si>
    <t>University of Toronto, 1960</t>
  </si>
  <si>
    <t>Suite 103,127 Westmore Drive,Toronto ON  M9V 3Y6</t>
  </si>
  <si>
    <t>(416) 749-3933</t>
  </si>
  <si>
    <t>(416) 749-3936</t>
  </si>
  <si>
    <t>William Osler Health System,Etobicoke General Hospital,101 Humber College Boulevard,Toronto ON  M9V 1R8,Canada,Phone:(416) 747-3400 Ext. 33591,Fax:(416) 747-3526,County:City of Toronto,Electoral District:10</t>
  </si>
  <si>
    <t>William Osler Health Centre Etobicoke General Site:Toronto
William Osler Health Centre-Brampton Civic Hospital:Brampton</t>
  </si>
  <si>
    <t>First certificate of registration issued: Independent Practice Certificate||Effective:   06 Mar 1962</t>
  </si>
  <si>
    <t>50795</t>
  </si>
  <si>
    <t xml:space="preserve">Independent Practice as of 27 Jun 1993 </t>
  </si>
  <si>
    <t>University Complutense of Madrid, 1977</t>
  </si>
  <si>
    <t>(613) 722-6521 Ext. 6216</t>
  </si>
  <si>
    <t>(613) 761-3602</t>
  </si>
  <si>
    <t>First certificate of registration issued: Postgraduate Education Certificate||Effective:   01 Jul 1980
Transfer of class of registration to: Hospital Practice Certificate||Effective:   27 Jun 1983
Transfer of class of registration to: Independent Practice Certificate||Effective:   27 Jun 1993</t>
  </si>
  <si>
    <t>Edward R. Horn Medicine Professional Corporation</t>
  </si>
  <si>
    <t>Inactive: Mar 13 2015</t>
  </si>
  <si>
    <t>27274</t>
  </si>
  <si>
    <t xml:space="preserve">Active Member as of 22 May 1975 </t>
  </si>
  <si>
    <t xml:space="preserve">Independent Practice as of 22 May 1975 </t>
  </si>
  <si>
    <t>Suite 806,208 Bloor Street West,Toronto ON  M5S 3B4</t>
  </si>
  <si>
    <t>(416) 921-1820</t>
  </si>
  <si>
    <t>First certificate of registration issued: Independent Practice Certificate||Effective:   22 May 1975</t>
  </si>
  <si>
    <t>77072</t>
  </si>
  <si>
    <t xml:space="preserve">Active Member as of 19 Sep 2001 </t>
  </si>
  <si>
    <t xml:space="preserve">Independent Practice as of 19 Sep 2001 </t>
  </si>
  <si>
    <t>Arabic, Assyrian, English</t>
  </si>
  <si>
    <t>University of Mosul, 1971</t>
  </si>
  <si>
    <t>Cambridge Memorial Hospital,Community Mental Health Clinic,700 Coronation Boulevard,Cambridge ON  N1R 3G2</t>
  </si>
  <si>
    <t>(519) 621-2333</t>
  </si>
  <si>
    <t>(519) 740-4936</t>
  </si>
  <si>
    <t>First certificate of registration issued: Independent Practice Certificate||Effective:   19 Sep 2001</t>
  </si>
  <si>
    <t>Matti Medicine Professional Corporation</t>
  </si>
  <si>
    <t>Issued Date:  Aug 04 2006</t>
  </si>
  <si>
    <t>Dr. E. Matti (CPSO# 77072)</t>
  </si>
  <si>
    <t>Cambridge Memorial Hospital,Community Mental Health Clinic,700 Coronation Boulevard,Cambridge ON  N1R 3G2,(519) 740-4900</t>
  </si>
  <si>
    <t>57228</t>
  </si>
  <si>
    <t xml:space="preserve">Independent Practice as of 12 Jun 1987 </t>
  </si>
  <si>
    <t>Suite 707,586 Eglinton Avenue East,Toronto ON  M4P 1P2</t>
  </si>
  <si>
    <t>(416) 480-0042</t>
  </si>
  <si>
    <t>First certificate of registration issued: Postgraduate Education Certificate||Effective:   01 Jul 1986
Transfer of class of registration to: Independent Practice Certificate||Effective:   12 Jun 1987</t>
  </si>
  <si>
    <t>63487</t>
  </si>
  <si>
    <t xml:space="preserve">Active Member as of 08 May 1991 </t>
  </si>
  <si>
    <t xml:space="preserve">Independent Practice as of 08 May 1991 </t>
  </si>
  <si>
    <t>Chinese, English, French</t>
  </si>
  <si>
    <t>McGill University, 1989</t>
  </si>
  <si>
    <t>University Of British Columbia,Department Of Psychiatry,2255 Wesbrook Mall,Vancouver BC  V6T 2A1</t>
  </si>
  <si>
    <t>(604) 822-7121</t>
  </si>
  <si>
    <t>First certificate of registration issued: Independent Practice Certificate||Effective:   08 May 1991</t>
  </si>
  <si>
    <t>68803</t>
  </si>
  <si>
    <t xml:space="preserve">Independent Practice as of 08 Aug 2001 </t>
  </si>
  <si>
    <t>University of Calgary, 1995</t>
  </si>
  <si>
    <t>Sunnybrook Health Sciences Centre,Department of Psychiatry,2075 Bayview Avenue,Toronto ON  M4N 3M5</t>
  </si>
  <si>
    <t>(416) 480-4693</t>
  </si>
  <si>
    <t>(416) 480-5318</t>
  </si>
  <si>
    <t>Odette Cancer Centre,2075 Bayview Avenue,Toronto ON  M4N 3M5,Canada,Phone:(416) 480-4623,Fax:(416) 480-5144,County:City of Toronto,Electoral District:10</t>
  </si>
  <si>
    <t>University of Toronto, 01 Jul 1995  to 30 Jun 1996|PostGrad Yr 1 - Psychiatry
University of Toronto, 01 Jul 1996  to 30 Jun 1997|PostGrad Yr 2 - Psychiatry
University of Toronto, 01 Jul 1997  to 30 Jun 1998|PostGrad Yr 3 - Psychiatry
University of Toronto, 01 Jul 1998  to 31 Aug 1998|PostGrad Yr 3 - Psychiatry
University of Toronto, 01 Sep 1998  to 30 Jun 1999|PostGrad Yr 4 - Psychiatry
University of Toronto, 01 Jul 1999  to 30 Apr 2000|PostGrad Yr 4 - Psychiatry
University of Toronto, 01 May 2000  to 30 Jun 2000|PostGrad Yr 5 - Psychiatry
University of Toronto, 01 Jul 2000  to 30 Jun 2001|PostGrad Yr 5 - Psychiatry</t>
  </si>
  <si>
    <t>First certificate of registration issued: Postgraduate Education Certificate||Effective:   01 Jul 1995
Expired: Terms and conditions of certificate of registration||Expiry:      30 Jun 2001
Subsequent certificate of registration Issued: Independent Practice Certificate||Effective:   08 Aug 2001</t>
  </si>
  <si>
    <t>73895</t>
  </si>
  <si>
    <t>Department of Psychiatry,Mount Sinai Hospital,600 University Avenue,9th Floor,Toronto ON  M5G 1X5</t>
  </si>
  <si>
    <t>(416) 586-4800 Ext. 8325</t>
  </si>
  <si>
    <t>Toronto Sleep Institute,586 Eglinton Avenue East, Suite 507,Toronto ON  M4P 1P2,Canada,Phone:(416) 488-6980,Fax:(416) 488-3998,County:City of Toronto,Electoral District:10</t>
  </si>
  <si>
    <t>18991</t>
  </si>
  <si>
    <t xml:space="preserve">Active Member as of 18 Feb 1964 </t>
  </si>
  <si>
    <t xml:space="preserve">Independent Practice as of 18 Feb 1964 </t>
  </si>
  <si>
    <t>University of Toronto, 1962</t>
  </si>
  <si>
    <t>6 Connable Drive,Toronto ON  M5R 1Z8</t>
  </si>
  <si>
    <t>(416) 921-1432</t>
  </si>
  <si>
    <t>(416) 921-3313</t>
  </si>
  <si>
    <t>Psychiatry||Effective: 08 Nov 1976||RCPSC Specialist</t>
  </si>
  <si>
    <t>First certificate of registration issued: Independent Practice Certificate||Effective:   18 Feb 1964</t>
  </si>
  <si>
    <t>E.F. Borins Medicine Professional Corporation</t>
  </si>
  <si>
    <t>Issued Date:  Oct 04 2010</t>
  </si>
  <si>
    <t>Dr. E. Borins (CPSO# 18991)</t>
  </si>
  <si>
    <t>6 Connable Drive,Toronto ON  M5R 1Z8,(416) 921-1432</t>
  </si>
  <si>
    <t>26450</t>
  </si>
  <si>
    <t xml:space="preserve">Active Member as of 27 May 1974 </t>
  </si>
  <si>
    <t xml:space="preserve">Independent Practice as of 27 May 1974 </t>
  </si>
  <si>
    <t>University of Toronto, 1969</t>
  </si>
  <si>
    <t>Hamilton General Hospital,Regional Rehabilitation Centre,Building B,237 Barton Street East,Hamilton ON  L8L 2X2</t>
  </si>
  <si>
    <t>(905) 521-2100 Ext. 40836</t>
  </si>
  <si>
    <t>(905) 521-7954</t>
  </si>
  <si>
    <t>Hamilton Health Sciences,General Site:Hamilton
St Joseph's Healthcare System,Hamilton:Hamilton</t>
  </si>
  <si>
    <t>First certificate of registration issued: Independent Practice Certificate||Effective:   27 May 1974</t>
  </si>
  <si>
    <t>Liliana Monti and Eldon Tunks Medicine Professional Corporation</t>
  </si>
  <si>
    <t>Issued Date:  Jun 29 2012</t>
  </si>
  <si>
    <t>Dr. L. Monti (CPSO# 26451),Dr. E. Tunks (CPSO# 26450)</t>
  </si>
  <si>
    <t>838 Fennell Avenue East,Hamilton ON  L8V 1V6,(905) 389-6336
Hamilton General Hospital,Hamilton General Hospital,Regional Rehabilitation Centre,Building B,237 Barton Street East,Hamilton ON  L8L 2X2,(905) 521-2100</t>
  </si>
  <si>
    <t>96122</t>
  </si>
  <si>
    <t>Nica, Elena Irina (used until: 28 Jul 2014 )</t>
  </si>
  <si>
    <t>60 Murray St.,Suite L1-012,Mailbox # 38,Toronto ON  M5T 3L9</t>
  </si>
  <si>
    <t>(416) 586-4800 Ext. 5883</t>
  </si>
  <si>
    <t>94752</t>
  </si>
  <si>
    <t xml:space="preserve">Active Member as of 25 Feb 2015 </t>
  </si>
  <si>
    <t xml:space="preserve">Independent Practice as of 25 Feb 2015 </t>
  </si>
  <si>
    <t>Saratov State Medical University, 1999</t>
  </si>
  <si>
    <t>595 Pinawa cirlce,Nepean ON  K2J5Y2</t>
  </si>
  <si>
    <t>(613) 695-9400</t>
  </si>
  <si>
    <t>(613) 692-9300</t>
  </si>
  <si>
    <t>240 sparks street unit 153,Ottawa ON  K1P6Z9,Canada,Phone:6134820118,County:Regional Municipality of Ottawa-Carleton,Electoral District:07</t>
  </si>
  <si>
    <t>University of Ottawa, 18 Jan 2011  to 11 Apr 2011|Elective Trainee - Psychiatry</t>
  </si>
  <si>
    <t>First certificate of registration issued: Postgraduate Education Certificate||Effective:   18 Jan 2011
Expired: Terms and conditions of certificate of registration||Expiry:      11 Apr 2011
Subsequent certificate of registration Issued: Independent Practice Certificate||Effective:   25 Feb 2015</t>
  </si>
  <si>
    <t>Elena Shurshilova Medicine Professional Corporation</t>
  </si>
  <si>
    <t>Issued Date:  Jul 28 2015</t>
  </si>
  <si>
    <t>Dr. E. Shurshilova (CPSO# 94752)</t>
  </si>
  <si>
    <t>14 Davidson Crescent,Gloucester ON  K1J 6M2
201 - 5102 50th Avenue,201 - 5102 50th Avenue,Yellowknife YT  X1A 3S8,(867) 767-9107</t>
  </si>
  <si>
    <t>89390</t>
  </si>
  <si>
    <t>University of Medicine and Pharmacy, 2002</t>
  </si>
  <si>
    <t>Trillium Health Partners,100 Quensway West,Mississauga ON  L5B 1P8</t>
  </si>
  <si>
    <t>(905) 848-7580</t>
  </si>
  <si>
    <t>University of Ottawa, 01 Jul 2008  to 22 Sep 2008|Assessment Verification Period - Psychiatry
University of Ottawa, 23 Sep 2008  to 30 Jun 2009|PostGrad Yr 1 - Psychiatry
University of Toronto, 01 Jul 2009  to 30 Jun 2010|PostGrad Yr 2 - Psychiatry
University of Toronto, 01 Jul 2010  to 30 Jun 2011|PostGrad Yr 3 - Psychiatry
University of Toronto, 01 Jul 2011  to 30 Jun 2012|PostGrad Yr 4 - Psychiatry
University of Toronto, 01 Jul 2012  to 30 Jun 2013|PostGrad Yr 5 - Psychiatry</t>
  </si>
  <si>
    <t>First certificate of registration issued: Pre Entry Assessment Program Certificate||Effective:   01 Jul 2008
Transfer of class of registration to: Postgraduate Education Certificate||Effective:   23 Sep 2008
Transfer of class of registration to: Independent Practice Certificate||Effective:   30 Jun 2013</t>
  </si>
  <si>
    <t>99337</t>
  </si>
  <si>
    <t xml:space="preserve">Active Member as of 08 Nov 2013 </t>
  </si>
  <si>
    <t xml:space="preserve">Independent Practice as of 08 Nov 2013 </t>
  </si>
  <si>
    <t>University of Nigeria, 2002</t>
  </si>
  <si>
    <t>(705) 675-5900</t>
  </si>
  <si>
    <t>127 CEDAR STREET,Sudbury ON  P3E 1B1,Canada,Phone:(705) 523-4988,Fax:(705) 669-1509,County:Terr.District/Regional Municipality of Sudbury,Electoral District:08
41 RAMSEY LAKE ROAD,Sudbury ON  P3E 5J1,Canada,Phone:(705) 523-7100 Ext. 1256,Fax:(705) 671-5457,County:Terr.District/Regional Municipality of Sudbury,Electoral District:08
31 NOVA SCOTIA WALK,Elliot Lake ON  P5A 1Y9,Canada,Phone:(705) 848-9131,Fax:(705) 848-0410,County:Territorial District of Algoma,Electoral District:08</t>
  </si>
  <si>
    <t>First certificate of registration issued: Restricted certificate||Effective:   31 Aug 2012
Terms and conditions imposed on certificate by Registration Committee||Effective:   31 Aug 2012
Expiry date attached to certificate of registration.||Expiry Date: 30 Aug 2015
Expired: Terms and conditions imposed on certificate by Registration Committee||Effective:   08 Nov 2013
Subsequent certificate of registration Issued: Independent Practice Certificate||Effective:   08 Nov 2013</t>
  </si>
  <si>
    <t>Dr. Elendu Okoronkwo Medicine Professional Corporation</t>
  </si>
  <si>
    <t>Issued Date:  Nov 22 2012</t>
  </si>
  <si>
    <t>Dr. E. Okoronkwo (CPSO# 99337)</t>
  </si>
  <si>
    <t>41 Ramsey Lake Road,Sudbury ON  P3E 5J1,(705) 523-7100
127 Cedar Street,127 Cedar Street,Sudbury ON  P3E 1B1,(705) 523-4988
Suite 202,Suite 202,31 Nova Scotia Walk,Elliot Lake ON  P5A 1Z9,(705) 848-9131
Health Sciences North,Health Sciences North,680 Kirkwood Drive,Sudbury ON  P3E 1X3,(705) 675-5900</t>
  </si>
  <si>
    <t>59551</t>
  </si>
  <si>
    <t xml:space="preserve">Independent Practice as of 20 Jun 1990 </t>
  </si>
  <si>
    <t>English, German</t>
  </si>
  <si>
    <t>Herzog-Adolph-Strasse 5,Koenigstein 61462,Germany</t>
  </si>
  <si>
    <t>+4961742496286</t>
  </si>
  <si>
    <t>Germany</t>
  </si>
  <si>
    <t>University of Ottawa, 01 Jul 1995  to 30 Jun 1996|Resident 3 - Psychiatry
University of Ottawa, 01 Jul 1996  to 30 Jun 1997|Resident 4 - Psychiatry</t>
  </si>
  <si>
    <t>First certificate of registration issued: Postgraduate Education Certificate||Effective:   13 Jun 1988
Transfer of class of registration to: Independent Practice Certificate||Effective:   20 Jun 1990</t>
  </si>
  <si>
    <t>80898</t>
  </si>
  <si>
    <t>Arabic, English, French, Portuguese</t>
  </si>
  <si>
    <t>The University of Manitoba, 2004</t>
  </si>
  <si>
    <t>416-813-7529</t>
  </si>
  <si>
    <t>416-813-6565</t>
  </si>
  <si>
    <t>UHN Toronto Western Hospital,TS Neurodevelopmental Clinic,399 Bathurst Street Room 3WW 402,Toronto ON  M5T 2S8,Canada,Phone:(416) 603-5794,Fax:(416) 603-5182,County:City of Toronto,Electoral District:10</t>
  </si>
  <si>
    <t>Centre of Addiction &amp; Mental Health,- College Street Site:Toronto
Hospital For Sick Children:Toronto
University Health Network,Toronto Western Hospital Site:Toronto</t>
  </si>
  <si>
    <t>University of Toronto, 01 Jul 2004  to 30 Jun 2005|PostGrad Yr 1 - Psychiatry
University of Toronto, 01 Jul 2005  to 30 Jun 2006|PostGrad Yr 2 - Psychiatry
University of Toronto, 01 Jul 2006  to 30 Jun 2007|PostGrad Yr 3 - Psychiatry
University of Toronto, 01 Jul 2007  to 30 Jun 2008|PostGrad Yr 4 - Psychiatry
University of Toronto, 01 Jul 2008  to 30 Jun 2009|PostGrad Yr 5 - Psychiatry
University of Toronto, 01 Jul 2014  to 30 Sep 2014|Clinical Fellow - Psychiatry</t>
  </si>
  <si>
    <t>105129</t>
  </si>
  <si>
    <t xml:space="preserve">Active Member as of 27 Oct 2014 </t>
  </si>
  <si>
    <t xml:space="preserve">Independent Practice as of 27 Oct 2014 </t>
  </si>
  <si>
    <t>McGill University, 2009</t>
  </si>
  <si>
    <t>2075 Bayview Avenue, TG-230,Toronto ON  M4N 3M5</t>
  </si>
  <si>
    <t>First certificate of registration issued: Independent Practice Certificate||Effective:   27 Oct 2014</t>
  </si>
  <si>
    <t>Dr. Elie Isenberg-Grzeda Medicine Professional Corporation</t>
  </si>
  <si>
    <t>Issued Date:  Jan 20 2016</t>
  </si>
  <si>
    <t>Dr. E. Isenberg-Grzeda (CPSO# 105129)</t>
  </si>
  <si>
    <t>Room TG-230,2075 Bayview Avenue,Toronto ON  M4N 3M5,(416) 480-4624</t>
  </si>
  <si>
    <t>66704</t>
  </si>
  <si>
    <t xml:space="preserve">Active Member as of 06 Oct 1998 </t>
  </si>
  <si>
    <t xml:space="preserve">Independent Practice as of 06 Oct 1998 </t>
  </si>
  <si>
    <t>Parkwod Institute,Geriatric Psychiatry Program,H2- 437, Mental Health Building,550 Wellington Road,London ON  N6C 0A7</t>
  </si>
  <si>
    <t>(519) 455-5110 Ext. 47374</t>
  </si>
  <si>
    <t>Psychiatry||Effective: 30 Sep 1998||RCPSC Specialist</t>
  </si>
  <si>
    <t>University of Toronto, 01 Jul 1993  to 30 Jun 1994|PostGrad Yr 1 - Psychiatry
University of Toronto, 01 Jul 1994  to 30 Jun 1995|Resident 1 - Psychiatry
University of Toronto, 01 Jul 1995  to 30 Jun 1996|Resident 2 - Psychiatry
University of Toronto, 01 Jul 1996  to 31 Dec 1996|Resident 2 - Psychiatry
University of Toronto, 01 Jul 1997  to 31 Dec 1997|Resident 3 - Psychiatry
University of Toronto, 01 Jul 1998  to 30 Sep 1998|Resident 4 - Psychiatry</t>
  </si>
  <si>
    <t>First certificate of registration issued: Postgraduate Education Certificate||Effective:   01 Jul 1993
Expired: Terms and conditions of certificate of registration||Expiry:      30 Sep 1998
Subsequent certificate of registration Issued: Independent Practice Certificate||Effective:   06 Oct 1998</t>
  </si>
  <si>
    <t>101460</t>
  </si>
  <si>
    <t xml:space="preserve">Active Member as of 18 Jul 2018 </t>
  </si>
  <si>
    <t xml:space="preserve">Independent Practice as of 18 Jul 2018 </t>
  </si>
  <si>
    <t>The Women's College Hospital,Department of Psychiatry,76 Grenville St,Toronto ON  M5S 1B2</t>
  </si>
  <si>
    <t>University of Toronto, 01 Jul 2013  to 30 Jun 2014|PostGrad Yr 1 - Family Medicine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t>
  </si>
  <si>
    <t>First certificate of registration issued: Postgraduate Education Certificate||Effective:   01 Jul 2013
Expired: Terms and conditions of certificate of registration||Expiry:      30 Jun 2018
Subsequent certificate of registration Issued: Independent Practice Certificate||Effective:   18 Jul 2018</t>
  </si>
  <si>
    <t>90582</t>
  </si>
  <si>
    <t xml:space="preserve">Active Member as of 14 Aug 2015 </t>
  </si>
  <si>
    <t xml:space="preserve">Independent Practice as of 14 Aug 2015 </t>
  </si>
  <si>
    <t>St Michaels Hospital,Department of Psychiatry,30 Bond Street,Toronto ON  M5A 2W8</t>
  </si>
  <si>
    <t>416-864-3084</t>
  </si>
  <si>
    <t>McMaster University, 01 Jul 2009  to 30 Jun 2010|PostGrad Yr 1 - Psychiatry
McMaster University, 01 Jul 2010  to 30 Jun 2011|PostGrad Yr 2 - Psychiatry
McMaster University, 01 Jul 2011  to 30 Jun 2012|PostGrad Yr 3 - Psychiatry
McMaster University, 01 Jul 2012  to 30 Jun 2013|PostGrad Yr 4 - Psychiatry
McMaster University, 01 Jul 2013  to 30 Jun 2014|PostGrad Yr 5 - Psychiatry</t>
  </si>
  <si>
    <t>First certificate of registration issued: Postgraduate Education Certificate||Effective:   01 Jul 2009
Expired: Terms and conditions of certificate of registration||Expiry:      30 Jun 2014
Subsequent certificate of registration Issued: Independent Practice Certificate||Effective:   14 Aug 2015</t>
  </si>
  <si>
    <t>Elise Hall Medicine Professional Corporation</t>
  </si>
  <si>
    <t>Issued Date:  Feb 01 2016</t>
  </si>
  <si>
    <t>Dr. E. Hall (CPSO# 90582)</t>
  </si>
  <si>
    <t>St Michaels Hospital,Department of Psychiatry,30 Bond Street,Toronto ON  M5A 2W8,(416) 864-3084</t>
  </si>
  <si>
    <t>57908</t>
  </si>
  <si>
    <t xml:space="preserve">Active Member as of 23 Feb 1987 </t>
  </si>
  <si>
    <t>The Hebrew University, 1976</t>
  </si>
  <si>
    <t>First certificate of registration issued: Hospital Practice Certificate||Effective:   23 Feb 1987
Transfer of class of registration to: Independent Practice Certificate||Effective:   28 Sep 1989</t>
  </si>
  <si>
    <t>E. Sagi Medicine Professional Corporation</t>
  </si>
  <si>
    <t>Issued Date:  Jun 28 2013</t>
  </si>
  <si>
    <t>Dr. E. Sagi (CPSO# 57908)</t>
  </si>
  <si>
    <t>Lakeridge Health Oshawa,1 Hospital Court,Oshawa ON  L1G 2B9,(905) 576-8711</t>
  </si>
  <si>
    <t>56931</t>
  </si>
  <si>
    <t xml:space="preserve">Independent Practice as of 25 Sep 1987 </t>
  </si>
  <si>
    <t>Algoma District Medical Group,240 McNabb Street,Sault Ste Marie ON  P6B 1Y5</t>
  </si>
  <si>
    <t>(705) 759-5623</t>
  </si>
  <si>
    <t>(705) 541-2228</t>
  </si>
  <si>
    <t>Family Medicine||Effective: 01 Jul 1988||CFPC Specialist
Psychiatry||Effective: 31 Dec 2007||RCPSC Specialist
Child and Adolescent Psychiatry||Effective: 26 Sep 2013||RCPSC Specialist
FCFP - Family Medicine||Effective: 29 Oct 2009||CFPC Specialist</t>
  </si>
  <si>
    <t>University of Ottawa, 13 Jan 2004  to 12 Jan 2005|PostGrad Yr 2 - Psychiatry
University of Ottawa, 13 Jan 2005  to 12 Jan 2006|PostGrad Yr 3 - Psychiatry
University of Ottawa, 13 Jan 2006  to 12 Jan 2007|PostGrad Yr 4 - Psychiatry
University of Ottawa, 13 Jan 2007  to 31 Dec 2007|PostGrad Yr 5 - Psychiatry
University of Ottawa, 07 Jan 2008  to 30 Jun 2008|Clinical Fellow - Psychiatry</t>
  </si>
  <si>
    <t>First certificate of registration issued: Postgraduate Education Certificate||Effective:   16 Jun 1986
Transfer of class of registration to: Independent Practice Certificate||Effective:   25 Sep 1987</t>
  </si>
  <si>
    <t>Fera Medicine Professional Corporation</t>
  </si>
  <si>
    <t>Issued Date:  May 27 2003</t>
  </si>
  <si>
    <t>Dr. M. Jenkins (CPSO# 99889),Dr. W. Wallace (CPSO# 92960),Dr. W. Chung (CPSO# 99567),Dr. J. DellaVedova (CPSO# 91071)
Dr. J. Patterson (CPSO# 91088),Dr. J. Bishop (CPSO# 96910),Dr. A. Schamp (CPSO# 82979),Dr. E. Hirvi (CPSO# 84322)
Dr. C. Kuntz (CPSO# 84476),Dr. K. Opryszczko (CPSO# 89989),Dr. J. Keuhl (CPSO# 88070),Dr. M. Hemy (CPSO# 86777)
Dr. P. Ciaschini (CPSO# 52948),Dr. D. Burrows (CPSO# 50233),Dr. C. Bruni (CPSO# 55651),Dr. S. Buehner (CPSO# 65582)
Dr. D. Brooks (CPSO# 26921),Dr. P. Bragaglia (CPSO# 33769),Dr. S. Bondar (CPSO# 59698),Dr. E. Barrett (CPSO# 56931)
Dr. S. Allen (CPSO# 73014),Dr. M. Edwards (CPSO# 52889),Dr. A. Fam (CPSO# 62586),Dr. D. Fera (CPSO# 33299)
Dr. D. Fritz (CPSO# 60812),Dr. S. Fratesi (CPSO# 27368),Dr. M. Hackett (CPSO# 33820),Dr. H. Gupta (CPSO# 78301)
Dr. M. Keating (CPSO# 57489),Dr. C. Kobelka (CPSO# 62567),Dr. J. Lane (CPSO# 61549),Dr. M. Leahy (CPSO# 57088)
Dr. M. Lee (CPSO# 62320),Dr. M. Mathew (CPSO# 44024),Dr. D. Micomonaco (CPSO# 80815),Dr. M. Mogharrabi (CPSO# 57473)
Dr. B. Mitchell (CPSO# 59931),Dr. J. Reich (CPSO# 73103),Dr. C. Rossi (CPSO# 51523),Dr. B. Slagel (CPSO# 79472)
Dr. J. Stewart (CPSO# 72520),Dr. K. Taylor (CPSO# 75094),Dr. M. Wilson (CPSO# 69274),Dr. R. Wytsma (CPSO# 52032)
Dr. G. Yee (CPSO# 70560),Dr. K. Zufelt (CPSO# 67007),Dr. P. Zehr (CPSO# 59997),Dr. L. Bonder (CPSO# 90576)</t>
  </si>
  <si>
    <t>240 McNabb Street,Sault Ste Marie ON  P6B 1Y5,(705) 759-5540
170 East Street,170 East Street,Sault Ste Marie ON  P6A 3C6,(705) 759-5540
955 Queen Street East,955 Queen Street East,Sault Ste Marie ON  P6A 2C3,(705) 549-5540
974 Queen Street East,974 Queen Street East,Sault Ste Marie ON  P6A 2C2,(705) 759-5540
773 Great Northern Road,773 Great Northern Road,Sault Ste Marie ON  P6A 5K7,(705) 759-5540
773 Great Northern Road,773 Great Northern Road,Sault Ste Marie ON  P6A 5K7,(705) 759-554</t>
  </si>
  <si>
    <t>Elizabeth Barrett Medicine Professional Corporation</t>
  </si>
  <si>
    <t>Issued Date:  Dec 05 2008</t>
  </si>
  <si>
    <t>Dr. E. Barrett (CPSO# 56931)</t>
  </si>
  <si>
    <t>Algoma District Medical Group,240 McNabb Street,Sault Ste Marie ON  P6A 1Y5,(705) 541-2681</t>
  </si>
  <si>
    <t>83691</t>
  </si>
  <si>
    <t xml:space="preserve">Active Member as of 27 May 2014 </t>
  </si>
  <si>
    <t xml:space="preserve">Restricted as of 27 May 2014 </t>
  </si>
  <si>
    <t>Michigan State University, 1993</t>
  </si>
  <si>
    <t>London Health Sciences Centre,FEMAP,860 Richmond Street,London ON  N6A 3H8</t>
  </si>
  <si>
    <t>(519) 646-6000 Ext. 65188</t>
  </si>
  <si>
    <t>(519) 646-6211</t>
  </si>
  <si>
    <t>London Health Sciences Centre,University Site:London</t>
  </si>
  <si>
    <t>Psychiatry||Effective: 27 May 2014||CPSO Recognized Specialist</t>
  </si>
  <si>
    <t>First certificate of registration issued: Academic Practice Certificate||Effective:   01 Sep 2005
Expiry date removed from certificate of registration.||Effective:   22 Apr 2010
Expired: Terms and conditions of certificate of registration||Expiry:      27 May 2014
Subsequent certificate of registration issued: Restricted certificate||Effective:   27 May 2014</t>
  </si>
  <si>
    <t>Elizabeth Osuch Medicine Professional Corporation</t>
  </si>
  <si>
    <t>Issued Date:  May 30 2008</t>
  </si>
  <si>
    <t>Dr. E. Osuch (CPSO# 83691)</t>
  </si>
  <si>
    <t>London Health Sciences Centre,First Episode Mood and Anxiety Program,860 Richmond Street,London ON  N6A 3H8,(519) 646-6000</t>
  </si>
  <si>
    <t>51476</t>
  </si>
  <si>
    <t xml:space="preserve">Active Member as of 03 Apr 1992 </t>
  </si>
  <si>
    <t xml:space="preserve">Independent Practice as of 03 Apr 1992 </t>
  </si>
  <si>
    <t>Psychiatry||Effective: 02 Jun 1992||RCPSC Specialist</t>
  </si>
  <si>
    <t>First certificate of registration issued: Postgraduate Education Certificate||Effective:   15 Jun 1982
Transfer of class of registration to: Independent Practice Certificate||Effective:   14 Feb 1984
Expired: Resigned from membership.||Expiry:      15 Jan 1987
Subsequent certificate of registration Issued: Independent Practice Certificate||Effective:   03 Apr 1992</t>
  </si>
  <si>
    <t>74030</t>
  </si>
  <si>
    <t>Columbia University, 1992</t>
  </si>
  <si>
    <t>Ottawa Hospital,Civic Campus,Department Psychiatry - A6,1053 Carling Avenue,Ottawa ON  K1Y 4E9</t>
  </si>
  <si>
    <t>(613) 761-5328</t>
  </si>
  <si>
    <t>On Track - Champlain District,Regional First Episode Psychosis,Program, Suite 208,1355 Bank Street,Ottawa ON  K1H 8K7,Canada,Phone:613-737-8069,Fax:613-737-8318,County:Regional Municipality of Ottawa-Carleton,Electoral District:07</t>
  </si>
  <si>
    <t>University of Ottawa, 01 Jul 1999  to 30 Jun 2000|PostGrad Yr 5 - Psychiatry</t>
  </si>
  <si>
    <t>First certificate of registration issued: Postgraduate Education Certificate||Effective:   01 Jul 1999
Transfer of class of registration to: Independent Practice Certificate||Effective:   30 Jun 2000</t>
  </si>
  <si>
    <t>75181</t>
  </si>
  <si>
    <t xml:space="preserve">Active Member as of 15 Aug 2006 </t>
  </si>
  <si>
    <t xml:space="preserve">Independent Practice as of 15 Aug 2006 </t>
  </si>
  <si>
    <t>Suite 203,345 Lakeshore Road East,Oakville ON  L6J 1J5</t>
  </si>
  <si>
    <t>(905) 844-7770</t>
  </si>
  <si>
    <t>Psychiatry||Effective: 30 Jul 2005||RCPSC Specialist</t>
  </si>
  <si>
    <t>McMaster University, 01 Jul 2000  to 30 Jun 2001|PostGrad Yr 1 - Psychiatry
McMaster University, 01 Jul 2001  to 30 Jun 2002|PostGrad Yr 2 - Psychiatry
McMaster University, 01 Jul 2002  to 30 Jun 2003|PostGrad Yr 3 - Psychiatry
McMaster University, 01 Jul 2003  to 30 Jun 2004|PostGrad Yr 4 - Psychiatry
McMaster University, 01 Jul 2004  to 30 Jun 2005|PostGrad Yr 5 - Psychiatry
McMaster University, 01 Jul 2005  to 31 Jul 2005|PostGrad Yr 5 - Psychiatry</t>
  </si>
  <si>
    <t>First certificate of registration issued: Postgraduate Education Certificate||Effective:   01 Jul 2000
Expired: Terms and conditions of certificate of registration||Expiry:      31 Jul 2005
Subsequent certificate of registration Issued: Independent Practice Certificate||Effective:   22 Dec 2005
Expired: Failure to Renew Membership||Expiry:      11 Aug 2006
Subsequent certificate of registration Issued: Independent Practice Certificate||Effective:   15 Aug 2006</t>
  </si>
  <si>
    <t>Dr. Elizabeth C. Layne Medicine Professional Corporation</t>
  </si>
  <si>
    <t>Issued Date:  Feb 03 2012</t>
  </si>
  <si>
    <t>Dr. E. Layne (CPSO# 75181)</t>
  </si>
  <si>
    <t>Suite 203,345 Lakeshore Road East,Oakville ON  L6J 1J5,(905) 844-7770</t>
  </si>
  <si>
    <t>70249</t>
  </si>
  <si>
    <t xml:space="preserve">Active Member as of 18 Jul 2001 </t>
  </si>
  <si>
    <t xml:space="preserve">Independent Practice as of 18 Jul 2001 </t>
  </si>
  <si>
    <t>McGill University, 1996</t>
  </si>
  <si>
    <t>600 Sherbourne St., Unit 606,Toronto ON  M4X 1W4</t>
  </si>
  <si>
    <t>6473483886</t>
  </si>
  <si>
    <t>6473488099</t>
  </si>
  <si>
    <t>Psychiatry||Effective: 01 Jul 2001||RCPSC Specialist</t>
  </si>
  <si>
    <t>First certificate of registration issued: Postgraduate Education Certificate||Effective:   01 Jul 1996
Expired: Terms and conditions of certificate of registration||Expiry:      30 Jun 2001
Subsequent certificate of registration Issued: Independent Practice Certificate||Effective:   18 Jul 2001</t>
  </si>
  <si>
    <t>83085</t>
  </si>
  <si>
    <t xml:space="preserve">Active Member as of 02 Jun 2011 </t>
  </si>
  <si>
    <t xml:space="preserve">Independent Practice as of 25 May 2016 </t>
  </si>
  <si>
    <t>2399 Parkedale Avenue,P.O. Box 50003,Brockville ON  K6V 7M7</t>
  </si>
  <si>
    <t>(613) 900-8114</t>
  </si>
  <si>
    <t>University of Ottawa, 01 Jul 2005  to 30 Jun 2006|PostGrad Yr 1 - Psychiatry
University of Ottawa, 01 Jul 2006  to 30 Jun 2007|PostGrad Yr 2 - Psychiatry
University of Ottawa, 01 Jul 2007  to 30 Jun 2008|PostGrad Yr 3 - Psychiatry
University of Ottawa, 01 Jul 2008  to 30 Jun 2009|PostGrad Yr 4 - Psychiatry
University of Ottawa, 01 Jul 2009  to 30 Jun 2010|PostGrad Yr 5 - Psychiatry
University of Ottawa, 01 Jul 2010  to 14 Oct 2010|PostGrad Yr 5 - Psychiatry</t>
  </si>
  <si>
    <t>First certificate of registration issued: Postgraduate Education Certificate||Effective:   01 Jul 2005
Expired: Terms and conditions of certificate of registration||Expiry:      14 Oct 2010
Subsequent certificate of registration Issued: Independent Practice Certificate||Effective:   02 Jun 2011
Transfer of class of certificate to: Restricted certificate||Effective:   25 Feb 2016
Terms and conditions imposed on certificate||Effective:   25 Feb 2016
Transfer of class of registration to: Independent Practice Certificate||Effective:   25 May 2016</t>
  </si>
  <si>
    <t>50309</t>
  </si>
  <si>
    <t xml:space="preserve">Independent Practice as of 01 Feb 1984 </t>
  </si>
  <si>
    <t>William Osler Health System,Brampton Civic Hospital,2100 Bovaird Drive East,Brampton ON  L6B 1A1</t>
  </si>
  <si>
    <t>(905) 494-2120 Ext. 56695</t>
  </si>
  <si>
    <t>Headwaters Health Care Centre,Orangeville-Dufferin Site:Orangeville
William Osler Health Centre-Brampton Civic Hospital:Brampton</t>
  </si>
  <si>
    <t>First certificate of registration issued: Postgraduate Education Certificate||Effective:   14 Jun 1982
Transfer of class of registration to: Independent Practice Certificate||Effective:   01 Feb 1984</t>
  </si>
  <si>
    <t>96717</t>
  </si>
  <si>
    <t xml:space="preserve">Active Member as of 07 Feb 2013 </t>
  </si>
  <si>
    <t xml:space="preserve">Independent Practice as of 07 Feb 2013 </t>
  </si>
  <si>
    <t>(905) 430-4033</t>
  </si>
  <si>
    <t>Psychiatry||Effective: 03 May 2012||RCPSC Specialist
Forensic Psychiatry||Effective: 21 Sep 2015||RCPSC Specialist</t>
  </si>
  <si>
    <t>First certificate of registration issued: Restricted certificate||Effective:   06 Sep 2011
Terms and conditions imposed on certificate by Registration Committee||Effective:   06 Sep 2011
Expiry date attached to certificate of registration.||Expiry Date: 05 Sep 2014
Expired: Terms and conditions imposed on certificate by Registration Committee||Effective:   07 Feb 2013
Subsequent certificate of registration Issued: Independent Practice Certificate||Effective:   07 Feb 2013</t>
  </si>
  <si>
    <t>Dr. Elizabeth Coleman Medicine Professional Corporation</t>
  </si>
  <si>
    <t>Issued Date:  Apr 21 2014</t>
  </si>
  <si>
    <t>Dr. E. Coleman (CPSO# 96717)</t>
  </si>
  <si>
    <t>Ontario Shores Centre for Mental Health Sciences,700 Gordon Street,Whitby ON  L1N 5S9,(905) 668-5881</t>
  </si>
  <si>
    <t>92925</t>
  </si>
  <si>
    <t>Dalhousie University, 2010</t>
  </si>
  <si>
    <t>305 East 161st St,Bronx NY  10451,United States</t>
  </si>
  <si>
    <t>718-579-2500 Ext. 425</t>
  </si>
  <si>
    <t>Nunavut
USA - New York</t>
  </si>
  <si>
    <t>83062</t>
  </si>
  <si>
    <t xml:space="preserve">Active Member as of 20 Jun 2011 </t>
  </si>
  <si>
    <t xml:space="preserve">Independent Practice as of 20 Jun 2011 </t>
  </si>
  <si>
    <t>Jagiellonian University, 1986</t>
  </si>
  <si>
    <t>Niagara Health System,St Catharines Site,1200 Fourth Avenue,St Catharines ON  L2S 0A9</t>
  </si>
  <si>
    <t>(905) 378-4647 Ext. 49463</t>
  </si>
  <si>
    <t>(289) 398-1067</t>
  </si>
  <si>
    <t>First certificate of registration issued: Postgraduate Education Certificate||Effective:   01 Jul 2005
Expired: Terms and conditions of certificate of registration||Expiry:      30 Jun 2010
Subsequent certificate of registration issued: Restricted certificate||Effective:   01 Oct 2010
Expired: Terms and conditions imposed on certificate by Registration Committee||Effective:   20 Jun 2011
Subsequent certificate of registration Issued: Independent Practice Certificate||Effective:   20 Jun 2011</t>
  </si>
  <si>
    <t>Dr. Elizabeth Hampel Medicine Professional Corporation</t>
  </si>
  <si>
    <t>Issued Date:  Oct 21 2013</t>
  </si>
  <si>
    <t>Dr. E. Hampel (CPSO# 83062)</t>
  </si>
  <si>
    <t>Niagara Health System,St Catharines Site,1200 Fourth Avenue,St Catharines ON  L2S 0A9,(905) 378-4647</t>
  </si>
  <si>
    <t>32373</t>
  </si>
  <si>
    <t xml:space="preserve">Active Member as of 22 May 1981 </t>
  </si>
  <si>
    <t xml:space="preserve">Independent Practice as of 22 May 1981 </t>
  </si>
  <si>
    <t>University of Queensland, 1973</t>
  </si>
  <si>
    <t>301 Metcalfe Street,Ottawa ON  K2P 1R9</t>
  </si>
  <si>
    <t>(613) 739-8388</t>
  </si>
  <si>
    <t>(613) 731-2248</t>
  </si>
  <si>
    <t>First certificate of registration issued: Postgraduate Education Certificate||Effective:   01 Jul 1976
Expired: Terms and conditions of certificate of registration||Expiry:      30 Jun 1980
Subsequent certificate of registration Issued: Independent Practice Certificate||Effective:   22 May 1981</t>
  </si>
  <si>
    <t>Dr. E.M. Esmond Medicine Professional Corporation</t>
  </si>
  <si>
    <t>Inactive: Apr 12 2018</t>
  </si>
  <si>
    <t>73690</t>
  </si>
  <si>
    <t>University of Ottawa, 1999</t>
  </si>
  <si>
    <t>Department of Psychiatry,Mount Sinai Hospital,600 University Avenue - 9th Floor,Toronto ON  M5G 1X5</t>
  </si>
  <si>
    <t>(416) 586-4800 Ext. 4560</t>
  </si>
  <si>
    <t>Dr. Ellen Margolese Medicine Professional Corporation</t>
  </si>
  <si>
    <t>Issued Date:  Sep 23 2015</t>
  </si>
  <si>
    <t>Dr. E. Margolese (CPSO# 73690)</t>
  </si>
  <si>
    <t>Mount Sinai Hospital,Department of Psychiatry,600 University Avenue,Suite 926,Toronto ON  M5G 1X5,(416) 586-4800</t>
  </si>
  <si>
    <t>72532</t>
  </si>
  <si>
    <t xml:space="preserve">Active Member as of 16 Jul 2003 </t>
  </si>
  <si>
    <t xml:space="preserve">Independent Practice as of 16 Jul 2003 </t>
  </si>
  <si>
    <t>Centre for Addiction,and Mental Health,100 Stokes Street,4th Floor,Toronto ON  M6J 1H4</t>
  </si>
  <si>
    <t>(416) 535-8501 Ext. 34354</t>
  </si>
  <si>
    <t>(416) 979-4297</t>
  </si>
  <si>
    <t>First certificate of registration issued: Postgraduate Education Certificate||Effective:   01 Jul 1998
Expired: Terms and conditions of certificate of registration||Expiry:      30 Jun 2003
Subsequent certificate of registration Issued: Independent Practice Certificate||Effective:   16 Jul 2003</t>
  </si>
  <si>
    <t>55343</t>
  </si>
  <si>
    <t xml:space="preserve">Active Member as of 11 Jul 1985 </t>
  </si>
  <si>
    <t xml:space="preserve">Independent Practice as of 27 Jan 1987 </t>
  </si>
  <si>
    <t>Ron Joyce Children's Health Centre,325 Wellington Street., North,CYMHP - Level 3,Hamilton ON  L8L 0A4</t>
  </si>
  <si>
    <t>(905) 521-2100 Ext. 77294</t>
  </si>
  <si>
    <t>(905) 521-7968</t>
  </si>
  <si>
    <t>McMaster University, 01 Jul 1985  to 30 Jun 1986|Other - Comprehensive Internship
McMaster University, 01 Jul 1986  to 30 Jun 1987|Resident 1 - Psychiatry
McMaster University, 01 Jul 1987  to 30 Jun 1988|Resident 2 - Psychiatry
McMaster University, 01 Jul 1988  to 30 Jun 1989|Resident 4 - Psychiatry
University of Toronto, 01 Jul 1989  to 30 Jun 1990|Resident 4 - Psychiatry</t>
  </si>
  <si>
    <t>First certificate of registration issued: Postgraduate Education Certificate||Effective:   11 Jul 1985
Transfer of class of registration to: Independent Practice Certificate||Effective:   27 Jan 1987</t>
  </si>
  <si>
    <t>Dr. Lipman Medicine Professional Corporation</t>
  </si>
  <si>
    <t>Issued Date:  May 13 2009</t>
  </si>
  <si>
    <t>Dr. E. Lipman (CPSO# 55343)</t>
  </si>
  <si>
    <t>Ron Joyce Children's Health Centre,325 Wellington Street North,CYMHP - Level 3,Hamilton ON  L8L 0A4,(905) 521-2100</t>
  </si>
  <si>
    <t>83106</t>
  </si>
  <si>
    <t xml:space="preserve">Active Member as of 17 Jun 2005 </t>
  </si>
  <si>
    <t xml:space="preserve">Independent Practice as of 17 Jun 2005 </t>
  </si>
  <si>
    <t>Suite 3127,1145 Carling Avenue,Ottawa ON  K1Z 7K4</t>
  </si>
  <si>
    <t>Psychiatry||Effective: 27 Jun 2004||RCPSC Specialist</t>
  </si>
  <si>
    <t>First certificate of registration issued: Independent Practice Certificate||Effective:   17 Jun 2005</t>
  </si>
  <si>
    <t>Elliott Kyung Lee and Soojin Chun Medicine Professional Corporation</t>
  </si>
  <si>
    <t>Issued Date:  Oct 16 2006</t>
  </si>
  <si>
    <t>Dr. E. Lee (CPSO# 83106),Dr. S. Chun (CPSO# 91247)</t>
  </si>
  <si>
    <t>3127 - 1145 Carling Avenue,Ottawa ON  K1Z 7K4,(613) 722-6521</t>
  </si>
  <si>
    <t>98734</t>
  </si>
  <si>
    <t>980 Oliver Rd,Thunder Bay ON  P7B6V4</t>
  </si>
  <si>
    <t>6476688400</t>
  </si>
  <si>
    <t>Centre of Addiction &amp; Mental Health,- College Street Site:Toronto
Thunder Bay Regional Health Sciences Centre:Thunder Bay</t>
  </si>
  <si>
    <t>University of Ottawa,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Psychiatry</t>
  </si>
  <si>
    <t>51067</t>
  </si>
  <si>
    <t xml:space="preserve">Independent Practice as of 23 Apr 1987 </t>
  </si>
  <si>
    <t>The University of Manitoba, 1982</t>
  </si>
  <si>
    <t>Suite 309,1580 Merivale Road,Ottawa,Ottawa ON  K2G 4B5</t>
  </si>
  <si>
    <t>613-596-4344</t>
  </si>
  <si>
    <t>613-701-4206</t>
  </si>
  <si>
    <t>28 Prescott Street,Kemptville ON  K0G 1J0,Canada,Phone:(613) 868-9642 Ext. 4,Fax:613-701-4206,County:County of Leeds and Grenville,Electoral District:06</t>
  </si>
  <si>
    <t>First certificate of registration issued: Postgraduate Education Certificate||Effective:   15 Jun 1982
Expired: Terms and conditions of certificate of registration||Expiry:      15 Jun 1983
Subsequent certificate of registration Issued: Postgraduate Education Certificate||Effective:   01 Jul 1985
Transfer of class of registration to: Independent Practice Certificate||Effective:   23 Apr 1987</t>
  </si>
  <si>
    <t>42972</t>
  </si>
  <si>
    <t xml:space="preserve">Active Member as of 15 Aug 1995 </t>
  </si>
  <si>
    <t xml:space="preserve">Independent Practice as of 17 Oct 1995 </t>
  </si>
  <si>
    <t>University of London, 1979</t>
  </si>
  <si>
    <t>Practice Address Not Available,Toronto ON  M3J 2C6</t>
  </si>
  <si>
    <t>416-736-0199</t>
  </si>
  <si>
    <t>Psychiatry||Effective: 13 Nov 1992||RCPSC Specialist</t>
  </si>
  <si>
    <t>First certificate of registration issued: Postgraduate Education Certificate||Effective:   27 Apr 1982
Expired: Terms and conditions of certificate of registration||Expiry:      30 Sep 1982
Subsequent certificate of registration Issued: Academic Practice Certificate||Effective:   01 Jan 1990
Transfer of class of certificate to: Restricted certificate||Effective:   01 Jan 1990
Expiry date attached to certificate of registration.||Expiry Date: 31 Dec 1990
Expired: Terms and conditions of certificate of registration||Expiry:      31 Dec 1990
Subsequent certificate of registration Issued: Academic Practice Certificate||Effective:   12 Apr 1991
Expired: Terms and conditions of certificate of registration||Expiry:      14 Aug 1995
Subsequent certificate of registration issued: Restricted certificate||Effective:   15 Aug 1995
Transfer of class of registration to: Independent Practice Certificate||Effective:   17 Oct 1995</t>
  </si>
  <si>
    <t>59369</t>
  </si>
  <si>
    <t xml:space="preserve">Active Member as of 18 Dec 1989 </t>
  </si>
  <si>
    <t xml:space="preserve">Independent Practice as of 18 Dec 1989 </t>
  </si>
  <si>
    <t>McMaster University, 1988</t>
  </si>
  <si>
    <t>3080 Yonge St, Suite 5016,Toronto ON  M4N 3N1</t>
  </si>
  <si>
    <t>(416) 322-5433</t>
  </si>
  <si>
    <t>(416) 322-5432</t>
  </si>
  <si>
    <t>First certificate of registration issued: Postgraduate Education Certificate||Effective:   01 Jul 1988
Expired: Terms and conditions of certificate of registration||Expiry:      30 Jun 1989
Subsequent certificate of registration Issued: Independent Practice Certificate||Effective:   18 Dec 1989</t>
  </si>
  <si>
    <t>Dubo Medicine Professional Corporation</t>
  </si>
  <si>
    <t>Issued Date:  Apr 14 2011</t>
  </si>
  <si>
    <t>Dr. E. Dubo (CPSO# 59369),Dr. M. Gelman (CPSO# 69528)</t>
  </si>
  <si>
    <t>Unit 5016,3080 Yonge Street,Toronto ON  M4N 3N1,(416) 322-5433
The Scarborough Hospital Birchmount Division,The Scarborough Hospital Birchmount Division,Department of Emergency Medicine,3030 Birchmount Road,Scarborough ON  M1W 3W3,(416) 495-2400
The Scarborough Hospital,The Scarborough Hospital,General Division,Department of Emergency Medicine,3050 Lawrence Avenue East,Scarborough ON  M1P 2V5,(416) 431-8200</t>
  </si>
  <si>
    <t>58743</t>
  </si>
  <si>
    <t xml:space="preserve">Independent Practice as of 20 Dec 1989 </t>
  </si>
  <si>
    <t>Academy of Medicine, Warsaw, 1980</t>
  </si>
  <si>
    <t>Assertive Community Treatment Team,Thunder Bay ON  P7B 7T1</t>
  </si>
  <si>
    <t>(807) 684-7980</t>
  </si>
  <si>
    <t>(807) 683 4360</t>
  </si>
  <si>
    <t>Queen's University, 01 Jul 1991  to 30 Jun 1992|Resident 4 - Psychiatry</t>
  </si>
  <si>
    <t>First certificate of registration issued: Postgraduate Education Certificate||Effective:   01 Jul 1987
Transfer of class of registration to: Independent Practice Certificate||Effective:   20 Dec 1989</t>
  </si>
  <si>
    <t>19222</t>
  </si>
  <si>
    <t xml:space="preserve">Active Member as of 09 Jul 1964 </t>
  </si>
  <si>
    <t xml:space="preserve">Independent Practice as of 09 Jul 1964 </t>
  </si>
  <si>
    <t>English, Ukrainian</t>
  </si>
  <si>
    <t>Queen's University, 1960</t>
  </si>
  <si>
    <t>1601 King Street East,Hamilton ON  L8K 1T5</t>
  </si>
  <si>
    <t>(905) 549-8800</t>
  </si>
  <si>
    <t>(905) 549-4933</t>
  </si>
  <si>
    <t>Psychiatry||Effective: 17 Nov 1965||RCPSC Specialist</t>
  </si>
  <si>
    <t>First certificate of registration issued: Independent Practice Certificate||Effective:   09 Jul 1964</t>
  </si>
  <si>
    <t>53036</t>
  </si>
  <si>
    <t xml:space="preserve">Active Member as of 15 Jun 1983 </t>
  </si>
  <si>
    <t xml:space="preserve">Independent Practice as of 13 Aug 1984 </t>
  </si>
  <si>
    <t>1083 The Parkway,London ON  N6A 2W8</t>
  </si>
  <si>
    <t>(519) 642-1252</t>
  </si>
  <si>
    <t>First certificate of registration issued: Postgraduate Education Certificate||Effective:   15 Jun 1983
Transfer of class of registration to: Independent Practice Certificate||Effective:   13 Aug 1984</t>
  </si>
  <si>
    <t>Noce Medicine Professional Corporation</t>
  </si>
  <si>
    <t>Issued Date:  Jul 03 2012</t>
  </si>
  <si>
    <t>Dr. E. Noce (CPSO# 53036)</t>
  </si>
  <si>
    <t>1083 The Parkway,London ON  N6A 2W8,(519) 642-1252</t>
  </si>
  <si>
    <t>80324</t>
  </si>
  <si>
    <t xml:space="preserve">Active Member as of 26 Oct 2009 </t>
  </si>
  <si>
    <t xml:space="preserve">Independent Practice as of 26 Oct 2009 </t>
  </si>
  <si>
    <t>Czech, English, Slovak</t>
  </si>
  <si>
    <t>Univerzity P.J. Safarika, 1996</t>
  </si>
  <si>
    <t>Brantford General Hospital,Department of Psychiatry,200 Terrace Hill Street,Brantford ON  N3R 1G9</t>
  </si>
  <si>
    <t>(519) 751-5544 Ext. 2481</t>
  </si>
  <si>
    <t>(519) 751-5543</t>
  </si>
  <si>
    <t>Brant Community Healthcare System:Brantford</t>
  </si>
  <si>
    <t>Psychiatry||Effective: 01 Sep 2008||RCPSC Specialist</t>
  </si>
  <si>
    <t>University of Ottawa, 01 Dec 2003  to 01 Jun 2004|International Specialist Physician - Psychiatry
University of Ottawa, 02 Jun 2004  to 30 Jul 2004|PostGrad Yr 5 - Psychiatry
University of Ottawa, 01 Jul 2004  to 30 Jun 2005|PostGrad Yr 5 - Psychiatry</t>
  </si>
  <si>
    <t>First certificate of registration issued: Postgraduate Education Certificate||Effective:   01 Dec 2003
Expired: Terms and conditions of certificate of registration||Expiry:      30 Jun 2005
Subsequent certificate of registration issued: Restricted certificate||Effective:   02 Aug 2005
Expired: Terms and conditions imposed on certificate by Registration Committee||Effective:   26 Oct 2009
Subsequent certificate of registration Issued: Independent Practice Certificate||Effective:   26 Oct 2009</t>
  </si>
  <si>
    <t>Dr. Olejarova Medicine Professional Corporation</t>
  </si>
  <si>
    <t>Issued Date:  Oct 01 2011</t>
  </si>
  <si>
    <t>Dr. E. Olejarova (CPSO# 80324)</t>
  </si>
  <si>
    <t>Brantford General Hospital,Department of Psychiatry,200 Terrace Hill Street,Brantford ON  N3R 1G9,(519) 751-5544</t>
  </si>
  <si>
    <t>53445</t>
  </si>
  <si>
    <t xml:space="preserve">Active Member as of 09 Nov 1987 </t>
  </si>
  <si>
    <t xml:space="preserve">Independent Practice as of 09 Nov 1987 </t>
  </si>
  <si>
    <t>University of Haiti, 1976</t>
  </si>
  <si>
    <t>311 McArthur Avenue,Suite 303,Ottawa ON  K1L 8M3</t>
  </si>
  <si>
    <t>(613) 746-4845</t>
  </si>
  <si>
    <t>(613) 746-7017</t>
  </si>
  <si>
    <t>75 Bruyere St,Geriatry pschiatry community,services of Ottawa,Ottawa ON  K1N 5C7,Canada,Phone:613 562 0283,County:Regional Municipality of Ottawa-Carleton,Electoral District:07
Ottawa Hospital- Geriatric,Psychiatry Community Services,501 Smyth Road,Ottawa ON  K1H 8L6,Canada,Phone:613 746 4845,Fax:613 746 4845,County:Regional Municipality of Ottawa-Carleton,Electoral District:07</t>
  </si>
  <si>
    <t>Haiti
Quebec
USA - Minnesota</t>
  </si>
  <si>
    <t>Bruyere Continuing Care-Elisabeth Bruyere Site:Ottawa
Cornwall General Hospital:Cornwall
Ottawa Hospital,General Site:Ottawa
Royal Ottawa Health Care Group:Ottawa</t>
  </si>
  <si>
    <t>First certificate of registration issued: Postgraduate Education Certificate||Effective:   21 Jul 1983
Expired: Terms and conditions of certificate of registration||Expiry:      30 Jun 1987
Subsequent certificate of registration Issued: Independent Practice Certificate||Effective:   09 Nov 1987</t>
  </si>
  <si>
    <t>E. Bazile Medicine Professional Corporation</t>
  </si>
  <si>
    <t>Issued Date:  Dec 13 2011</t>
  </si>
  <si>
    <t>Dr. E. Bazile (CPSO# 53445)</t>
  </si>
  <si>
    <t>311 McArthur Avenue,Suite 303,Vanier ON  K1L 8M3,(613) 746-4845</t>
  </si>
  <si>
    <t>117030</t>
  </si>
  <si>
    <t>State Univ of New York at Buffalo, 2007</t>
  </si>
  <si>
    <t>CMHA Waterloo Wellington,1 - 485 Silvercreek Pkwy N,Guelph ON  N1H 7K5</t>
  </si>
  <si>
    <t>CMHA Waterloo Wellington,80 Waterloo Ave,Guelph ON  N1H 0A1,Canada,County:County of Wellington,Electoral District:03
67 King St E,Kitchener ON  N2G 2K4,Canada,County:Regional Municipality of Waterloo,Electoral District:03
234 St. Patrick St E,Fergus ON  N1M 1M6,Canada,County:County of Wellington,Electoral District:03
3 - 9 Wellingston St,Canada,County:Regional Municipality of Waterloo,Electoral District:03</t>
  </si>
  <si>
    <t>95085</t>
  </si>
  <si>
    <t>CAMH College Street Site,250 College Street - room 938,Toronto ON  M5T 1R8</t>
  </si>
  <si>
    <t>416 535 8501</t>
  </si>
  <si>
    <t>Dr. Emma Hapke Medicine Professional Corporation</t>
  </si>
  <si>
    <t>Issued Date:  Feb 27 2017</t>
  </si>
  <si>
    <t>Dr. E. Hapke (CPSO# 95085)</t>
  </si>
  <si>
    <t>CAMH College Street Site,250 College Street,Suite 938,Toronto ON  M5T 1R8,(416) 535-8501</t>
  </si>
  <si>
    <t>94608</t>
  </si>
  <si>
    <t xml:space="preserve">Active Member as of 10 Nov 2010 </t>
  </si>
  <si>
    <t xml:space="preserve">Independent Practice as of 10 Nov 2010 </t>
  </si>
  <si>
    <t>St Catharines Hospital,Department Of Psychiatry,1200 Fourth Avenue,St Catharines ON  L2S 0A9</t>
  </si>
  <si>
    <t>(905) 378-4647</t>
  </si>
  <si>
    <t>First certificate of registration issued: Independent Practice Certificate||Effective:   10 Nov 2010</t>
  </si>
  <si>
    <t>E. Unoh Medicine Professional Corporation</t>
  </si>
  <si>
    <t>Issued Date:  Aug 31 2011</t>
  </si>
  <si>
    <t>Dr. E. Unoh (CPSO# 94608)</t>
  </si>
  <si>
    <t>St Catherines Hospital,Department of Psychiatry,1200 Fourth Avenue,St Catharines ON  L2S 0A9,(905) 378-4647</t>
  </si>
  <si>
    <t>73407</t>
  </si>
  <si>
    <t xml:space="preserve">Active Member as of 21 Oct 2004 </t>
  </si>
  <si>
    <t xml:space="preserve">Independent Practice as of 21 Oct 2004 </t>
  </si>
  <si>
    <t>Department of Psychiatry,Sault Area Hospital,750 Great Northern Rd,Sault Ste Marie ON  P6B 0A8</t>
  </si>
  <si>
    <t>(705) 256-3494</t>
  </si>
  <si>
    <t>Psychiatry||Effective: 30 Sep 2004||RCPSC Specialist</t>
  </si>
  <si>
    <t>McMaster University, 01 Jul 1999  to 30 Jun 2000|PostGrad Yr 1 - Psychiatry
McMaster University, 01 Jul 2000  to 30 Jun 2001|PostGrad Yr 2 - Psychiatry
McMaster University, 01 Jul 2001  to 31 Oct 2001|PostGrad Yr 2 - Psychiatry
McMaster University, 01 Nov 2001  to 30 Jun 2002|PostGrad Yr 3 - Psychiatry
McMaster University, 01 Jul 2002  to 31 Oct 2002|PostGrad Yr 3 - Psychiatry
McMaster University, 01 Nov 2002  to 31 Oct 2003|PostGrad Yr 4 - Psychiatry
McMaster University, 01 Nov 2003  to 30 Jun 2004|PostGrad Yr 5 - Psychiatry
McMaster University, 01 Jul 2004  to 30 Sep 2004|PostGrad Yr 5 - Psychiatry</t>
  </si>
  <si>
    <t>First certificate of registration issued: Postgraduate Education Certificate||Effective:   01 Jul 1999
Expired: Terms and conditions of certificate of registration||Expiry:      30 Sep 2004
Subsequent certificate of registration Issued: Independent Practice Certificate||Effective:   21 Oct 2004</t>
  </si>
  <si>
    <t>Dr. Emmalee Marshall Medicine Professional Corporation</t>
  </si>
  <si>
    <t>Issued Date:  Feb 25 2010</t>
  </si>
  <si>
    <t>Dr. E. Marshall (CPSO# 73407)</t>
  </si>
  <si>
    <t>Department of Psychiatry,Sault Area Hospital,750  Great Northern Road,Sault Ste Marie ON  P6A 0A8,(705) 759-3434</t>
  </si>
  <si>
    <t>41788</t>
  </si>
  <si>
    <t xml:space="preserve">Active Member as of 03 Aug 1972 </t>
  </si>
  <si>
    <t>University of Cairo, 1963</t>
  </si>
  <si>
    <t>Alan Square,290-180 King Street South,Waterloo ON  N2J 1P8</t>
  </si>
  <si>
    <t>(519) 745-0511 Ext. ----------</t>
  </si>
  <si>
    <t>Grand River Hospital Corporation,Freeport Site:Kitchener
Grand River Hospital Corporation,Kitchener Waterloo Site:Kitchener
St Mary's Memorial Hospital:St Marys</t>
  </si>
  <si>
    <t>Psychiatry||Effective: 13 Mar 1978||RCPSC Specialist</t>
  </si>
  <si>
    <t>First certificate of registration issued: Hospital Practice Certificate||Effective:   03 Aug 1972
Transfer of class of registration to: Independent Practice Certificate||Effective:   30 Jun 1988</t>
  </si>
  <si>
    <t>25198</t>
  </si>
  <si>
    <t xml:space="preserve">Active Member as of 14 Sep 1972 </t>
  </si>
  <si>
    <t xml:space="preserve">Independent Practice as of 14 Sep 1972 </t>
  </si>
  <si>
    <t>University of Durham, 1964</t>
  </si>
  <si>
    <t>Markham Stouffville Hospital,381 Church Street,Markham ON  L3P 7P3</t>
  </si>
  <si>
    <t>Psychiatry||Effective: 03 Dec 1969||RCPSC Specialist</t>
  </si>
  <si>
    <t>First certificate of registration issued: Postgraduate Education Certificate||Effective:   01 Jul 1966
Transfer of class of registration to: Temporary Employment Practice Certificate||Effective:   25 Aug 1969
Transfer of class of registration to: Independent Practice Certificate||Effective:   14 Sep 1972</t>
  </si>
  <si>
    <t>42399</t>
  </si>
  <si>
    <t xml:space="preserve">Active Member as of 07 Jul 1980 </t>
  </si>
  <si>
    <t xml:space="preserve">Independent Practice as of 22 Mar 1985 </t>
  </si>
  <si>
    <t>University of the Philippines, 1971</t>
  </si>
  <si>
    <t>Credit Valley Hospital Site,Trillium Health Partners,2200 Eglinton Ave W,Mississauga ON  L5M 2N1</t>
  </si>
  <si>
    <t>First certificate of registration issued: Postgraduate Education Certificate||Effective:   01 Jul 1975
Expired: Terms and conditions of certificate of registration||Expiry:      30 Jun 1979
Subsequent certificate of registration Issued: Hospital Practice Certificate||Effective:   07 Jul 1980
Transfer of class of registration to: Independent Practice Certificate||Effective:   22 Mar 1985</t>
  </si>
  <si>
    <t>91973</t>
  </si>
  <si>
    <t>University of Benin, 1988</t>
  </si>
  <si>
    <t>Scarborough &amp; Rouge Hospital,Centenary Site,Child &amp; Adolescent /Shoniker Clinic,2877A Ellesmere Road,Scarborough ON  M1E 4C1</t>
  </si>
  <si>
    <t>416 281 7301</t>
  </si>
  <si>
    <t>416 281 7465</t>
  </si>
  <si>
    <t>Lakeridge Health, Ajax Site,Department of Psychiatry,580 Harwood Avenue South, Ajax, Ont,Ajax ON  L1S 2J4,Canada,Phone:905 683 2320 Ext. 3275,Fax:(905) 683-8527,County:Regional Municipality of Durham,Electoral District:05</t>
  </si>
  <si>
    <t>First certificate of registration issued: Restricted certificate||Effective:   06 Aug 2009
Terms and conditions imposed on certificate by Registration Committee||Effective:   06 Aug 2009
Expiry date attached to certificate of registration.||Expiry Date: 05 Aug 2012
Expired: Terms and conditions imposed on certificate by Registration Committee||Effective:   08 Jul 2011
Subsequent certificate of registration Issued: Independent Practice Certificate||Effective:   08 Jul 2011</t>
  </si>
  <si>
    <t>Dr. Omoruyi Medicine Professional Corporation</t>
  </si>
  <si>
    <t>Issued Date:  May 17 2010</t>
  </si>
  <si>
    <t>Dr. E. Omoruyi (CPSO# 91973)</t>
  </si>
  <si>
    <t>RVHS Rouge Valley Ajax &amp; Pickering,Department of Psychiatry,580 Harwood Avenue South,Ajax ON  L1S 2J4,(905) 683-2320
RVHS Centenary,RVHS Centenary,Shoniker Clinic,2877A Ellesmere Road,Scarborough ON  M1E 4C1,(416) 281-7301
209 Bond Street East,209 Bond Street East,Oshawa ON  L1G 1B4,(905) 434-8909</t>
  </si>
  <si>
    <t>61692</t>
  </si>
  <si>
    <t xml:space="preserve">Active Member as of 14 Sep 1989 </t>
  </si>
  <si>
    <t xml:space="preserve">Independent Practice as of 13 Sep 1994 </t>
  </si>
  <si>
    <t>University of Pavia, 1987</t>
  </si>
  <si>
    <t>Suite 302,1615 Dufferin Street,Toronto ON  M6H 4H4</t>
  </si>
  <si>
    <t>(416) 651-7100</t>
  </si>
  <si>
    <t>(416) 652-3007</t>
  </si>
  <si>
    <t>Psychiatry||Effective: 13 Sep 1994||RCPSC Specialist</t>
  </si>
  <si>
    <t>University of Toronto, 01 Jul 1994  to 15 Sep 1994|Resident 4 - Psychiatry</t>
  </si>
  <si>
    <t>First certificate of registration issued: Postgraduate Education Certificate||Effective:   14 Sep 1989
Transfer of class of registration to: Independent Practice Certificate||Effective:   13 Sep 1994</t>
  </si>
  <si>
    <t>Enzo D'Alessandro Medicine Professional Corporation</t>
  </si>
  <si>
    <t>Issued Date:  Nov 03 2005</t>
  </si>
  <si>
    <t>Dr. E. D'Alessandro (CPSO# 61692)</t>
  </si>
  <si>
    <t>302 - 1615 Dufferin Street,Toronto ON  M6H 4H4,(416) 651-7100</t>
  </si>
  <si>
    <t>20784</t>
  </si>
  <si>
    <t xml:space="preserve">Active Member as of 21 Jun 1967 </t>
  </si>
  <si>
    <t xml:space="preserve">Independent Practice as of 21 Jun 1967 </t>
  </si>
  <si>
    <t>University of Toronto, 1966</t>
  </si>
  <si>
    <t>5114 Walkers Line,Burlington ON  L7M 0R1</t>
  </si>
  <si>
    <t>(905) 335-2023</t>
  </si>
  <si>
    <t>25 Water Street South,Kitchener ON  N2G 4Z4,Canada,Phone:(519) 883-5702,Fax:(519) 579-3680,County:Regional Municipality of Waterloo,Electoral District:03
330 University Avenue,Toronto ON  M5G 1R8,Canada,Phone:(416) 552-5135,Fax:(855) 827-1872,County:City of Toronto,Electoral District:10
330 University Avenue,Toronto ON  M5G 1R8,Canada,Phone:(416) 552-5135,Fax:(855) 827-1872,County:City of Toronto,Electoral District:10</t>
  </si>
  <si>
    <t>First certificate of registration issued: Postgraduate Education Certificate||Effective:   01 Jul 1966
Transfer of class of registration to: Independent Practice Certificate||Effective:   21 Jun 1967</t>
  </si>
  <si>
    <t>Busse Medicine Professional Corporation</t>
  </si>
  <si>
    <t>Issued Date:  Oct 16 2008</t>
  </si>
  <si>
    <t>Dr. E. Busse (CPSO# 20784)</t>
  </si>
  <si>
    <t>1 University Avenue,Toronto ON  M5J 2P1,(877) 786-5433
25 Water Street South,25 Water Street South,Kitchener ON  N2G 4Z4,(519) 883-5702
330 University Avenue,330 University Avenue,Toronto ON  M5G 1R8,(416) 552-5135</t>
  </si>
  <si>
    <t>27179</t>
  </si>
  <si>
    <t xml:space="preserve">Active Member as of 15 Jan 1975 </t>
  </si>
  <si>
    <t xml:space="preserve">Restricted as of 08 May 2013 </t>
  </si>
  <si>
    <t>Queen's University, 1970</t>
  </si>
  <si>
    <t>239 Dovercourt Avenue,Ottawa ON  K1Z 7H3</t>
  </si>
  <si>
    <t>(613) 728-8182</t>
  </si>
  <si>
    <t>First certificate of registration issued: Independent Practice Certificate||Effective:   15 Jan 1975
Transfer of class of certificate to: Restricted certificate||Effective:   08 May 2013
Terms and conditions imposed on certificate by member||Effective:   08 May 2013</t>
  </si>
  <si>
    <t>Eric Knight Medicine Professional Corporation</t>
  </si>
  <si>
    <t>Issued Date:  Aug 22 2011</t>
  </si>
  <si>
    <t>Dr. E. Knight (CPSO# 27179)</t>
  </si>
  <si>
    <t>239 Dovercourt Avenue,Ottawa ON  K1Z 7H3,(613) 728-8182</t>
  </si>
  <si>
    <t>28781</t>
  </si>
  <si>
    <t xml:space="preserve">Active Member as of 24 Sep 1976 </t>
  </si>
  <si>
    <t xml:space="preserve">Independent Practice as of 24 Sep 1976 </t>
  </si>
  <si>
    <t>University of Toronto, 1974</t>
  </si>
  <si>
    <t>(519) 767-3587</t>
  </si>
  <si>
    <t>Homewood Health Centre:Guelph</t>
  </si>
  <si>
    <t>First certificate of registration issued: Postgraduate Education Certificate||Effective:   17 Jun 1974
Transfer of class of registration to: Independent Practice Certificate||Effective:   24 Sep 1976</t>
  </si>
  <si>
    <t>101352</t>
  </si>
  <si>
    <t>CAMH College Street SIte,250 College Street Suite 841,Toronto ON  M5T 1R8</t>
  </si>
  <si>
    <t>416 535 8501 Ext. 30868</t>
  </si>
  <si>
    <t>CAMH - Queen Street Site Buildings,80 Workman Way,Toronto ON  M6J 1H4,Canada,County:City of Toronto,Electoral District:10</t>
  </si>
  <si>
    <t>University of Toronto, 01 Jul 2013  to 30 Jun 2014|PostGrad Yr 1 - Psychiatry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
University of Toronto, 01 Jul 2018  to 30 Jun 2019|Clinical Fellow - Psychiatry</t>
  </si>
  <si>
    <t>19489</t>
  </si>
  <si>
    <t xml:space="preserve">Active Member as of 16 Jun 1965 </t>
  </si>
  <si>
    <t xml:space="preserve">Independent Practice as of 16 Jun 1965 </t>
  </si>
  <si>
    <t>University of Glasgow, 1964</t>
  </si>
  <si>
    <t>1815-2 St Clair Ave W,Toronto ON  M4V 1L5</t>
  </si>
  <si>
    <t>(416) 966-5466</t>
  </si>
  <si>
    <t>(647) 255-8012</t>
  </si>
  <si>
    <t>First certificate of registration issued: Postgraduate Education Certificate||Effective:   01 Jul 1964
Transfer of class of registration to: Independent Practice Certificate||Effective:   16 Jun 1965</t>
  </si>
  <si>
    <t>80712</t>
  </si>
  <si>
    <t>(705) 728-9090</t>
  </si>
  <si>
    <t>134 Anne St,Barrie ON  L4N 6A2,Canada,Phone:(705) 726-5033,Fax:(705) 726-5496,County:County of Simcoe,Electoral District:05</t>
  </si>
  <si>
    <t>Georgian Bay General Hospital:Midland
Royal Victoria Regional Health Centre:Barrie
Waypoint Centre for Mental Health Care:Penetanguishene</t>
  </si>
  <si>
    <t>Mulder Medicine Professional Corporation</t>
  </si>
  <si>
    <t>Issued Date:  May 02 2012</t>
  </si>
  <si>
    <t>Dr. E. Mulder (CPSO# 80712)</t>
  </si>
  <si>
    <t>Royal Victoria Regional Health Centre,201 Georgian Drive,Barrie ON  L4M 6M2,(705) 728-9090</t>
  </si>
  <si>
    <t>93646</t>
  </si>
  <si>
    <t xml:space="preserve">Independent Practice as of 17 Jul 2015 </t>
  </si>
  <si>
    <t>The Ottawa Hospital,General Campus - Psychiatry,501 Smyth Road,Ottawa ON  K1H 8L6</t>
  </si>
  <si>
    <t>(613) 798-5555</t>
  </si>
  <si>
    <t>Psychiatry||Effective: 17 Jul 2015||RCPSC Specialist</t>
  </si>
  <si>
    <t>University of Ottawa, 01 Jul 2010  to 30 Jun 2011|PostGrad Yr 1 - Psychiatry
University of Ottawa, 01 Jul 2011  to 30 Jun 2012|PostGrad Yr 2 - Psychiatry
University of Ottawa, 01 Jul 2012  to 18 Jul 2012|PostGrad Yr 2 - Psychiatry
University of Ottawa, 19 Jul 2012  to 30 Jun 2013|PostGrad Yr 3 - Psychiatry
University of Ottawa, 01 Jul 2013  to 17 Jul 2013|PostGrad Yr 3 - Psychiatry
University of Ottawa, 18 Jul 2013  to 30 Jun 2014|PostGrad Yr 4 - Psychiatry
University of Ottawa, 01 Jul 2014  to 17 Jul 2014|PostGrad Yr 4 - Psychiatry
University of Ottawa, 18 Jul 2014  to 30 Jun 2015|PostGrad Yr 5 - Psychiatry
University of Ottawa, 01 Jul 2015  to 17 Jul 2015|PostGrad Yr 5 - Psychiatry</t>
  </si>
  <si>
    <t>First certificate of registration issued: Postgraduate Education Certificate||Effective:   01 Jul 2010
Transfer of class of registration to: Independent Practice Certificate||Effective:   17 Jul 2015</t>
  </si>
  <si>
    <t>Eric Mikhail Medicine Professional Corporation</t>
  </si>
  <si>
    <t>Issued Date:  Sep 24 2015</t>
  </si>
  <si>
    <t>Dr. E. Mikhail (CPSO# 93646)</t>
  </si>
  <si>
    <t>The Ottawa Hospital,General Campus - Psychiatry,501 Smyth Road,Ottawa ON  K1H 8L6,(613) 798-5555</t>
  </si>
  <si>
    <t>76174</t>
  </si>
  <si>
    <t>Hotel Dieu Hospital,166 Brock Street,Kingston ON  K7L 5G2</t>
  </si>
  <si>
    <t>(613) 544-3400 Ext. 3522</t>
  </si>
  <si>
    <t>(613) 544-9666</t>
  </si>
  <si>
    <t>Queen's University, 01 Jul 2001  to 30 Jun 2002|PostGrad Yr 1 - Psychiatry
Queen's University, 01 Jul 2002  to 30 Jun 2003|PostGrad Yr 2 - Psychiatry
Queen's University, 01 Jul 2003  to 30 Jun 2004|PostGrad Yr 3 - Psychiatry
Queen's University, 01 Jul 2004  to 25 Aug 2004|PostGrad Yr 3 - Psychiatry
Queen's University, 26 Aug 2004  to 30 Jun 2005|PostGrad Yr 4 - Psychiatry
Queen's University, 01 Jul 2005  to 31 Aug 2005|PostGrad Yr 4 - Psychiatry
Queen's University, 01 Sep 2005  to 30 Jun 2006|PostGrad Yr 5 - Psychiatry</t>
  </si>
  <si>
    <t>51135</t>
  </si>
  <si>
    <t xml:space="preserve">Independent Practice as of 06 Nov 1985 </t>
  </si>
  <si>
    <t>Suite 106,89 Dawson Road,Guelph ON  N1H 1B1</t>
  </si>
  <si>
    <t>(519) 836-5992</t>
  </si>
  <si>
    <t>(519) 836-5251</t>
  </si>
  <si>
    <t>First certificate of registration issued: Postgraduate Education Certificate||Effective:   01 Jul 1982
Transfer of class of registration to: Independent Practice Certificate||Effective:   06 Nov 1985</t>
  </si>
  <si>
    <t>Erik W. Mulder Medicine Professional Corporation</t>
  </si>
  <si>
    <t>Issued Date:  Jul 12 2006</t>
  </si>
  <si>
    <t>Dr. E. Mulder (CPSO# 51135)</t>
  </si>
  <si>
    <t>89 Dawson Road,Suite 106,Guelph ON  N1H 1B1,(519) 836-5992</t>
  </si>
  <si>
    <t>99292</t>
  </si>
  <si>
    <t xml:space="preserve">Active Member as of 20 Aug 2012 </t>
  </si>
  <si>
    <t xml:space="preserve">Independent Practice as of 20 Aug 2012 </t>
  </si>
  <si>
    <t>Royal College of Surgeons in Ireland, 2006</t>
  </si>
  <si>
    <t>CHEO,401 Smyth Road,Ottawa ON  K1H 8L1</t>
  </si>
  <si>
    <t>(613) 737-7600</t>
  </si>
  <si>
    <t>Psychiatry||Effective: 04 May 2011||RCPSC Specialist
Child and Adolescent Psychiatry||Effective: 21 Sep 2015||RCPSC Specialist</t>
  </si>
  <si>
    <t>First certificate of registration issued: Independent Practice Certificate||Effective:   20 Aug 2012</t>
  </si>
  <si>
    <t>Erin K. Kelly Medicine Professional Corporation</t>
  </si>
  <si>
    <t>Dr. E. Kelly (CPSO# 99292)</t>
  </si>
  <si>
    <t>CHEO,401 Smyth Road,Ottawa ON  K1H 8L1,(613) 737-7600</t>
  </si>
  <si>
    <t>96265</t>
  </si>
  <si>
    <t xml:space="preserve">Postgraduate Education as of 24 Sep 2011 </t>
  </si>
  <si>
    <t>University of Dublin Trinity College, 2011</t>
  </si>
  <si>
    <t>McMaster University,Faculty of Health Sciences,Room MDCL 3101A,1280 Main Street West,Hamilton ON  L8S 4K1</t>
  </si>
  <si>
    <t>9055212100</t>
  </si>
  <si>
    <t>McMaster University, 01 Jul 2011  to 23 Sep 2011|Assessment Verification Period - Psychiatry
McMaster University, 24 Sep 2011  to 30 Jun 2012|PostGrad Yr 1 - Psychiatry
McMaster University, 01 Jul 2012  to 30 Jun 2013|PostGrad Yr 2 - Psychiatry
McMaster University, 01 Jul 2013  to 30 Jun 2014|PostGrad Yr 3 - Psychiatry
McMaster University, 01 Jul 2014  to 30 Jun 2015|PostGrad Yr 4 - Psychiatry
McMaster University, 01 Jul 2015  to 30 Jun 2016|PostGrad Yr 5 - Geriatric Psychiatry
McMaster University, 01 Jul 2016  to 30 Jun 2017|PostGrad Yr 5 - Geriatric Psychiatry
McMaster University, 01 Jul 2017  to 30 Jun 2018|PostGrad Yr 6 - Geriatric Psychiatry
McMaster University, 01 Jul 2018  to 10 May 2019|PostGrad Yr 6 - Geriatric Psychiatry</t>
  </si>
  <si>
    <t>First certificate of registration issued: Pre Entry Assessment Program Certificate||Effective:   01 Jul 2011
Transfer of class of registration to: Postgraduate Education Certificate||Effective:   24 Sep 2011
Expiry date attached to certificate of registration.||Expiry Date: 10 May 2019</t>
  </si>
  <si>
    <t>82682</t>
  </si>
  <si>
    <t xml:space="preserve">Active Member as of 11 Oct 2011 </t>
  </si>
  <si>
    <t xml:space="preserve">Independent Practice as of 11 Oct 2011 </t>
  </si>
  <si>
    <t>St Joseph's Health Centre,Department of Psychiatry,30 The Queensway,Toronto ON  M6R 1B5</t>
  </si>
  <si>
    <t>(416) 530-6175</t>
  </si>
  <si>
    <t>(416) 530-6105</t>
  </si>
  <si>
    <t>St Joseph's Health Centre,Toronto:Toronto
Women's College Hospital:Toronto</t>
  </si>
  <si>
    <t>McMaster University, 01 Jul 2005  to 30 Jun 2006|PostGrad Yr 1 - Psychiatry
McMaster University, 01 Jul 2006  to 31 Dec 2006|PostGrad Yr 1 - Psychiatry
McMaster University, 01 Jan 2007  to 31 Dec 2007|PostGrad Yr 2 - Psychiatry
McMaster University, 01 Jan 2008  to 03 Nov 2008|PostGrad Yr 3 - Psychiatry
McMaster University, 04 Nov 2008  to 31 Aug 2009|PostGrad Yr 3 - Psychiatry
McMaster University, 01 Sep 2009  to 31 Aug 2010|PostGrad Yr 4 - Psychiatry
McMaster University, 01 Sep 2010  to 31 Aug 2011|PostGrad Yr 5 - Psychiatry</t>
  </si>
  <si>
    <t>First certificate of registration issued: Postgraduate Education Certificate||Effective:   01 Jul 2005
Expired: Terms and conditions of certificate of registration||Expiry:      31 Aug 2011
Subsequent certificate of registration Issued: Independent Practice Certificate||Effective:   11 Oct 2011</t>
  </si>
  <si>
    <t>75485</t>
  </si>
  <si>
    <t xml:space="preserve">Active Member as of 31 Aug 2007 </t>
  </si>
  <si>
    <t xml:space="preserve">Independent Practice as of 31 Aug 2007 </t>
  </si>
  <si>
    <t>Dalhousie University, 2000</t>
  </si>
  <si>
    <t>600 Sherbourne Street,Suite 606,Toronto ON  M4X1W4</t>
  </si>
  <si>
    <t>(647) 888-0142</t>
  </si>
  <si>
    <t>(647) 348-8099</t>
  </si>
  <si>
    <t>University of Toronto, 01 Jul 2000  to 30 Jun 2001|PostGrad Yr 1 - Family Medicine
University of Toronto, 01 Jul 2001  to 31 Jul 2001|PostGrad Yr 1 - Family Medicine
University of Toronto, 01 Aug 2001  to 30 Jun 2002|PostGrad Yr 2 - Family Medicine
University of Toronto, 01 Jul 2002  to 30 Jun 2003|PostGrad Yr 2 - Psychiatry
University of Toronto, 01 Jul 2003  to 31 May 2004|PostGrad Yr 2 - Psychiatry
University of Toronto, 01 Jun 2004  to 30 Jun 2004|PostGrad Yr 3 - Psychiatry
University of Toronto, 01 Jul 2004  to 30 Jun 2005|PostGrad Yr 3 - Psychiatry
University of Toronto, 01 Jul 2005  to 30 Jun 2006|PostGrad Yr 4 - Psychiatry
University of Toronto, 01 Jul 2006  to 30 Jun 2007|PostGrad Yr 5 - Psychiatry</t>
  </si>
  <si>
    <t>First certificate of registration issued: Postgraduate Education Certificate||Effective:   13 Jul 2000
Expired: Terms and conditions of certificate of registration||Expiry:      30 Jun 2007
Subsequent certificate of registration Issued: Independent Practice Certificate||Effective:   31 Aug 2007</t>
  </si>
  <si>
    <t>101684</t>
  </si>
  <si>
    <t xml:space="preserve">Postgraduate Education as of 01 Jul 2013 </t>
  </si>
  <si>
    <t>CHEO,Department of Psychiatry,401 Smyth Road,Ottawa ON  K1H 8L6</t>
  </si>
  <si>
    <t>(613) 7377600 Ext. 3767</t>
  </si>
  <si>
    <t>University of Ottawa, 01 Jul 2013  to 30 Jun 2014|PostGrad Yr 1 - Psychiatry
University of Ottawa, 01 Jul 2014  to 30 Jun 2015|PostGrad Yr 2 - Psychiatry
University of Ottawa, 01 Jul 2015  to 30 Jun 2016|PostGrad Yr 3 - Psychiatry
University of Ottawa, 01 Jul 2016  to 30 Jun 2017|PostGrad Yr 4 - Psychiatry
University of Ottawa, 01 Jul 2017  to 12 Jul 2017|PostGrad Yr 4 - Psychiatry
University of Ottawa, 13 Jul 2017  to 30 Jun 2018|PostGrad Yr 5 - Psychiatry
University of Ottawa, 01 Jul 2018  to 30 Jun 2019|PostGrad Yr 6 - Child and Adolescent Psychiatry</t>
  </si>
  <si>
    <t>First certificate of registration issued: Postgraduate Education Certificate||Effective:   01 Jul 2013
Expiry date attached to certificate of registration.||Expiry Date: 30 Jun 2019</t>
  </si>
  <si>
    <t>55504</t>
  </si>
  <si>
    <t xml:space="preserve">Independent Practice as of 26 Jun 1986 </t>
  </si>
  <si>
    <t>Suite 401,170 The Donway West,Toronto ON  M3C 2G3</t>
  </si>
  <si>
    <t>(416) 515-7538</t>
  </si>
  <si>
    <t>University of Ottawa, 15 Jun 1985  to 15 Jun 1986|Other - Rotating Internship
University of Toronto, 01 Jul 1987  to 30 Jun 1988|Resident 1 - Psychiatry
University of Toronto, 01 Jul 1988  to 30 Jun 1989|Resident 2 - Psychiatry
University of Toronto, 01 Jul 1989  to 30 Jun 1990|Resident 3 - Psychiatry
University of Toronto, 01 Jul 1990  to 30 Jun 1991|Resident 4 - Psychiatry</t>
  </si>
  <si>
    <t>First certificate of registration issued: Postgraduate Education Certificate||Effective:   15 Jun 1985
Transfer of class of registration to: Independent Practice Certificate||Effective:   26 Jun 1986</t>
  </si>
  <si>
    <t>E. Brenken Medicine Professional Corporation</t>
  </si>
  <si>
    <t>Issued Date:  Jul 20 2010</t>
  </si>
  <si>
    <t>Dr. E. Brenken (CPSO# 55504)</t>
  </si>
  <si>
    <t>Suite 401,170 The Donway West,Toronto ON  M3C 2G3,(416) 515-7538</t>
  </si>
  <si>
    <t>54326</t>
  </si>
  <si>
    <t xml:space="preserve">Independent Practice as of 27 Jul 1990 </t>
  </si>
  <si>
    <t>Azari, English, Farsi</t>
  </si>
  <si>
    <t>Tabriz University, 1963</t>
  </si>
  <si>
    <t>Suite 100,80 Finch Avenue West,North York ON  M2N 2H4</t>
  </si>
  <si>
    <t>(416) 222-0909</t>
  </si>
  <si>
    <t>(416) 222-8292</t>
  </si>
  <si>
    <t>Psychiatry||Effective: 13 Mar 1974||RCPSC Specialist</t>
  </si>
  <si>
    <t>First certificate of registration issued: Hospital Practice Certificate||Effective:   11 Jun 1984
Transfer of class of registration to: Independent Practice Certificate||Effective:   27 Jul 1990</t>
  </si>
  <si>
    <t>91788</t>
  </si>
  <si>
    <t xml:space="preserve">Active Member as of 24 Jun 2015 </t>
  </si>
  <si>
    <t xml:space="preserve">Independent Practice as of 24 Jun 2015 </t>
  </si>
  <si>
    <t>Benha University, 1994</t>
  </si>
  <si>
    <t>1001 Queen St. West,Toronto ON  M6J1H4</t>
  </si>
  <si>
    <t>416-353-8501 Ext. 34574</t>
  </si>
  <si>
    <t>McMaster University, 01 Jul 2009  to 13 Aug 2009|PEAP - Clinical Fellow - Psychiatry
McMaster University, 14 Aug 2009  to 31 Jul 2010|Clinical Fellow - Psychiatry</t>
  </si>
  <si>
    <t>First certificate of registration issued: Pre Entry Assessment Program Certificate||Effective:   06 Jul 2009
Expired: Terms and conditions of certificate of registration||Expiry:      13 Aug 2009
Subsequent certificate of registration Issued: Postgraduate Education Certificate||Effective:   21 Aug 2009
Expired: Terms and conditions of certificate of registration||Expiry:      31 Jul 2010
Subsequent certificate of registration issued: Restricted certificate||Effective:   01 Sep 2010
Expired: Terms and conditions imposed on certificate by Registration Committee||Effective:   24 Jun 2015
Subsequent certificate of registration Issued: Independent Practice Certificate||Effective:   24 Jun 2015</t>
  </si>
  <si>
    <t>Dr. Essam AbdElMotaal Medicine Professional Corporation</t>
  </si>
  <si>
    <t>Issued Date:  Jan 12 2011</t>
  </si>
  <si>
    <t>Dr. E. Abd ElMotaal (CPSO# 91788)</t>
  </si>
  <si>
    <t>1001 Queen Street West,Toronto ON  M6J 1H4,(613) 770-0141</t>
  </si>
  <si>
    <t>43209</t>
  </si>
  <si>
    <t xml:space="preserve">Active Member as of 26 Feb 1985 </t>
  </si>
  <si>
    <t xml:space="preserve">Independent Practice as of 26 Feb 1985 </t>
  </si>
  <si>
    <t>Tel Aviv University, 1977</t>
  </si>
  <si>
    <t>North York Medical Arts Building,1333 Sheppard Avenue East,Suite 141,Willowdale ON  M2J 1V1</t>
  </si>
  <si>
    <t>(416) 491-4335</t>
  </si>
  <si>
    <t>(416) 491-1719</t>
  </si>
  <si>
    <t>First certificate of registration issued: Postgraduate Education Certificate||Effective:   18 Jun 1979
Expired: Terms and conditions of certificate of registration||Expiry:      16 Jun 1980
Subsequent certificate of registration Issued: Independent Practice Certificate||Effective:   26 Feb 1985</t>
  </si>
  <si>
    <t>Dr. Esther Sarid Medicine Professional Corporation</t>
  </si>
  <si>
    <t>Dr. E. Sarid (CPSO# 43209)</t>
  </si>
  <si>
    <t>North York Medical Arts Building,141 - 1333 Sheppard Avenue East,Toronto ON  M2J 1V1,(416) 491-4335</t>
  </si>
  <si>
    <t>51830</t>
  </si>
  <si>
    <t xml:space="preserve">Active Member as of 16 Jun 1980 </t>
  </si>
  <si>
    <t xml:space="preserve">Independent Practice as of 01 Jul 1984 </t>
  </si>
  <si>
    <t>University of Toronto, 1980</t>
  </si>
  <si>
    <t>Humber River Regional Hospital,Mental Health Clinic,WILSON AVE. SITE,1235 WILSON AVE.,Toronto ON  M3M 0B2</t>
  </si>
  <si>
    <t>(416)-242-1000 Ext. 43043</t>
  </si>
  <si>
    <t>(416) 2421025</t>
  </si>
  <si>
    <t>Dundas West Medical Building,Suite 205,2238 Dundas Street West,Toronto ON  M6R 3A9,Canada,Phone:(416) 533-4072,Fax:(416) 533-2241,County:City of Toronto,Electoral District:10</t>
  </si>
  <si>
    <t>Humber River Hospital,Wilson Site:Toronto
St Michael's Hospital:Toronto</t>
  </si>
  <si>
    <t>First certificate of registration issued: Postgraduate Education Certificate||Effective:   16 Jun 1980
Transfer of class of registration to: Independent Practice Certificate||Effective:   01 Jul 1984</t>
  </si>
  <si>
    <t>59331</t>
  </si>
  <si>
    <t>Cantonese, Chinese, English, Mandarin</t>
  </si>
  <si>
    <t>Centre for Addiction and,Mental Health,Room 1085,33 Russell Street,Toronto ON  M5S 2S1</t>
  </si>
  <si>
    <t>(416) 535-8501 Ext. 32736</t>
  </si>
  <si>
    <t>CAMH,1001 Queen Street West,Toronto ON  M6J 1H4,Canada,Phone:416-535-8501 Ext. x 32736,County:City of Toronto,Electoral District:10</t>
  </si>
  <si>
    <t>British Columbia
Nova Scotia
USA - California</t>
  </si>
  <si>
    <t>93460</t>
  </si>
  <si>
    <t xml:space="preserve">Independent Practice as of 20 May 2016 </t>
  </si>
  <si>
    <t>Ron Joyce Children's Health Centre,325 Wellington Street North,Hamilton ON  L8L 0A4</t>
  </si>
  <si>
    <t>McMaster Children's Hospital,Division of Pediatric Critical Care:Hamilton</t>
  </si>
  <si>
    <t>Psychiatry||Effective: 30 Jun 2015||RCPSC Specialist
Child and Adolescent Psychiatry||Effective: 27 Sep 2016||RCPSC Specialist</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</si>
  <si>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
McMaster University, 01 Jul 2015  to 30 Jun 2016|PostGrad Yr 6 - Psychiatry</t>
  </si>
  <si>
    <t>First certificate of registration issued: Postgraduate Education Certificate||Effective:   01 Jul 2010
Expired: Terms and conditions of certificate of registration||Expiry:      07 Feb 2014
Subsequent certificate of registration issued: Restricted certificate||Effective:   07 Feb 2014
Terms and conditions amended by Registration Committee||Effective:   24 Jun 2014
Expired: Terms and conditions imposed on certificate by Registration Committee||Effective:   30 Jun 2015
Subsequent certificate of registration Issued: Postgraduate Education Certificate||Effective:   01 Jul 2015
Transfer of class of registration to: Independent Practice Certificate||Effective:   20 May 2016</t>
  </si>
  <si>
    <t>E. Weizenberg Medicine Professional Corporation</t>
  </si>
  <si>
    <t>Issued Date:  Nov 25 2016</t>
  </si>
  <si>
    <t>Dr. E. Weizenberg (CPSO# 93460)</t>
  </si>
  <si>
    <t>Ron Joyce Children's Health Centre,325 Wellington Street North,Hamilton ON  L8L 0A4,(905) 521-2100</t>
  </si>
  <si>
    <t>50498</t>
  </si>
  <si>
    <t xml:space="preserve">Independent Practice as of 05 Jul 1983 </t>
  </si>
  <si>
    <t>Centre for Mindfulness Studies,180 Sudbury Street,Unit C2,Toronto ON  M5G 2N2</t>
  </si>
  <si>
    <t>6474036027</t>
  </si>
  <si>
    <t>8553449519</t>
  </si>
  <si>
    <t>McMaster University, 01 Jul 1982  to 30 Jun 1983|Other - Family Medicine
University of Toronto, 01 Jul 1984  to 30 Jun 1985|Resident 1 - Psychiatry
University of Toronto, 01 Jul 1985  to 30 Jun 1986|Resident 2 - Psychiatry
University of Toronto, 01 Jan 1987  to 30 Jun 1987|Resident 3 - Psychiatry
University of Toronto, 01 Jul 1987  to 30 Jun 1988|Resident 3 - Psychiatry
University of Toronto, 01 Jan 1988  to 30 Jun 1988|Resident 4 - Psychiatry
University of Toronto, 01 Jul 1988  to 31 Dec 1988|Resident 4 - Psychiatry
University of Toronto, 01 Jan 1989  to 30 Jun 1989|Clinical Fellow - Psychiatry</t>
  </si>
  <si>
    <t>First certificate of registration issued: Postgraduate Education Certificate||Effective:   01 Jul 1982
Transfer of class of registration to: Independent Practice Certificate||Effective:   05 Jul 1983</t>
  </si>
  <si>
    <t>30702</t>
  </si>
  <si>
    <t xml:space="preserve">Active Member as of 23 May 1979 </t>
  </si>
  <si>
    <t xml:space="preserve">Independent Practice as of 23 May 1979 </t>
  </si>
  <si>
    <t>Wayne State University, 1973</t>
  </si>
  <si>
    <t>678 Colborne Street,London ON  N6A 3Z3</t>
  </si>
  <si>
    <t>(519) 672-0420</t>
  </si>
  <si>
    <t>Pediatrics||Effective: 15 Mar 1979||RCPSC Specialist
Psychiatry||Effective: 28 May 1992||RCPSC Specialist</t>
  </si>
  <si>
    <t>First certificate of registration issued: Independent Practice Certificate||Effective:   23 May 1979</t>
  </si>
  <si>
    <t>107930</t>
  </si>
  <si>
    <t xml:space="preserve">Active Member as of 01 Sep 2015 </t>
  </si>
  <si>
    <t xml:space="preserve">Independent Practice as of 01 Sep 2015 </t>
  </si>
  <si>
    <t>University of Alberta, 2004</t>
  </si>
  <si>
    <t>North York General Hospital,Branson Site,Mental Health Department,555 Finch Avenue West,North York ON  M2R 1N5</t>
  </si>
  <si>
    <t>(416) 635 2437</t>
  </si>
  <si>
    <t>4166352521</t>
  </si>
  <si>
    <t>First certificate of registration issued: Independent Practice Certificate||Effective:   01 Sep 2015</t>
  </si>
  <si>
    <t>Cabalo Medicine Professional Corporation</t>
  </si>
  <si>
    <t>Issued Date:  Oct 01 2015</t>
  </si>
  <si>
    <t>Dr. E. Cabalo (CPSO# 107930)</t>
  </si>
  <si>
    <t>North York General Hospital, Branson Site,Mental Health Department,555 Finch Avenue Wst,North York ON  M2R 1N5,(416) 633-2437</t>
  </si>
  <si>
    <t>54179</t>
  </si>
  <si>
    <t xml:space="preserve">Independent Practice as of 23 Jan 1989 </t>
  </si>
  <si>
    <t>Academy of Medicine, Warsaw, 1973</t>
  </si>
  <si>
    <t>24 Duncairn Road,Don Mills ON  M3B 1C8</t>
  </si>
  <si>
    <t>(416) 447-9398</t>
  </si>
  <si>
    <t>(416) 447-1756</t>
  </si>
  <si>
    <t>First certificate of registration issued: Postgraduate Education Certificate||Effective:   01 Jul 1984
Transfer of class of registration to: Independent Practice Certificate||Effective:   23 Jan 1989</t>
  </si>
  <si>
    <t>Dr. Martens-Kmiotek Medicine Professional Corporation</t>
  </si>
  <si>
    <t>Issued Date:  Dec 19 2007</t>
  </si>
  <si>
    <t>Dr. E. Martens-Kmiotek (CPSO# 54179)</t>
  </si>
  <si>
    <t>24 Duncairn Road,Side Entrance,Don Mills ON  M3B 1C8,(416) 447-9398</t>
  </si>
  <si>
    <t>100509</t>
  </si>
  <si>
    <t>Poznan University of Medical Sciences, 2008</t>
  </si>
  <si>
    <t>Homewood Health Centre,150 Delhi St,Guelph ON  N1E 6K9</t>
  </si>
  <si>
    <t>Queen's University, 01 Jul 2013  to 22 Sep 2013|Assessment Verification Period - Psychiatry
Queen's University, 23 Sep 2013  to 30 Jun 2014|PostGrad Yr 1 - Psychiatry
Queen's University, 01 Jul 2014  to 31 Dec 2014|PostGrad Yr 2 - Psychiatry
McMaster University, 01 Jan 2015  to 30 Jun 2015|PostGrad Yr 2 - Psychiatry
McMaster University, 01 Jul 2015  to 30 Jun 2016|PostGrad Yr 3 - Psychiatry
McMaster University, 01 Jul 2016  to 30 Jun 2017|PostGrad Yr 4 - Psychiatry
McMaster University, 01 Jul 2017  to 30 Jun 2018|PostGrad Yr 5 - Psychiatry</t>
  </si>
  <si>
    <t>Dr. Peter Szymczak Medicine Professional Corporation</t>
  </si>
  <si>
    <t>Issued Date:  Jun 06 2013</t>
  </si>
  <si>
    <t>Dr. E. Talikowska-Szymczak (CPSO# 100509),Dr. P. Szymczak (CPSO# 87028)</t>
  </si>
  <si>
    <t>Homewood Health Centre,150 Delhi Street,Guelph ON  N1E 6K9,(519) 824-1010
160 St. David Street South,160 St. David Street South,Fergus ON  N1M 2L3,(519) 787-1800</t>
  </si>
  <si>
    <t>85691</t>
  </si>
  <si>
    <t xml:space="preserve">Active Member as of 12 Oct 2006 </t>
  </si>
  <si>
    <t xml:space="preserve">Independent Practice as of 12 Oct 2006 </t>
  </si>
  <si>
    <t>Academy of Medicine, Wroclaw, 1987</t>
  </si>
  <si>
    <t>Suite 410,27 Roncesvalles Avenue,Toronto ON  M6R 3B2</t>
  </si>
  <si>
    <t>(647) 438-7177</t>
  </si>
  <si>
    <t>(647) 430-7855</t>
  </si>
  <si>
    <t>First certificate of registration issued: Independent Practice Certificate||Effective:   12 Oct 2006</t>
  </si>
  <si>
    <t>99088</t>
  </si>
  <si>
    <t xml:space="preserve">Active Member as of 11 Jul 2012 </t>
  </si>
  <si>
    <t xml:space="preserve">Restricted as of 11 Jul 2012 </t>
  </si>
  <si>
    <t>American University of the Caribbean, 1983</t>
  </si>
  <si>
    <t>William Osler Health System,Department of Psychiatry,2100 Bovaird Drive East,Brampton ON  L6R 2E9</t>
  </si>
  <si>
    <t>(905) 494-2120 Ext. 56626</t>
  </si>
  <si>
    <t>(905) 494-6451</t>
  </si>
  <si>
    <t>100 Rolling Hills Drive,Orangeville ON  L9W 4X9,Canada,Phone:519-941-2410,County:County of Dufferin,Electoral District:03
8 lynch st,Brampton ON  L6W 2Z8,Canada,Phone:(905) 494-6626,Fax:905-4946451,County:Regional Municipality of Peel,Electoral District:05</t>
  </si>
  <si>
    <t>Headwaters Health Care Centre,Orangeville-Dufferin Site:Orangeville
William Osler Health Centre Etobicoke General Site:Toronto
William Osler Health Centre-Brampton Civic Hospital:Brampton</t>
  </si>
  <si>
    <t>Psychiatry||Effective: 11 Jul 2012||CPSO Recognized Specialist</t>
  </si>
  <si>
    <t>First certificate of registration issued: Restricted certificate||Effective:   11 Jul 2012
Terms and conditions imposed on certificate by Registration Committee||Effective:   11 Jul 2012
Expiry date attached to certificate of registration.||Expiry Date: 10 Jan 2014
Terms and conditions amended by Registration Committee||Effective:   12 Dec 2013
Expiry date removed from certificate of registration.||Effective:   12 Dec 2013</t>
  </si>
  <si>
    <t>59967</t>
  </si>
  <si>
    <t xml:space="preserve">Independent Practice as of 06 Sep 1989 </t>
  </si>
  <si>
    <t>476 Palmerston Boulevard,Toronto ON  M6G 2P1</t>
  </si>
  <si>
    <t>(416) 588-8681</t>
  </si>
  <si>
    <t>(416) 865-0480</t>
  </si>
  <si>
    <t>393 King Street East,Toronto ON  M5A 1L3,Canada,Phone:416-535-8501 Ext. 77460,County:City of Toronto,Electoral District:10</t>
  </si>
  <si>
    <t>First certificate of registration issued: Postgraduate Education Certificate||Effective:   13 Jun 1988
Transfer of class of registration to: Independent Practice Certificate||Effective:   06 Sep 1989</t>
  </si>
  <si>
    <t>Dr. Faizal Ali and Dr. Susan Beaver Medicine Professional Corporation</t>
  </si>
  <si>
    <t>Issued Date:  Nov 05 2013</t>
  </si>
  <si>
    <t>Dr. S. Beaver (CPSO# 59325),Dr. F. Ali (CPSO# 59967)</t>
  </si>
  <si>
    <t>476 Palmerston Boulevard,Toronto ON  M6G 2P1,(416) 588-8681</t>
  </si>
  <si>
    <t>101022</t>
  </si>
  <si>
    <t>University of Toronto, 2013</t>
  </si>
  <si>
    <t>89919</t>
  </si>
  <si>
    <t xml:space="preserve">Active Member as of 20 Oct 2008 </t>
  </si>
  <si>
    <t xml:space="preserve">Restricted as of 20 Oct 2008 </t>
  </si>
  <si>
    <t>Ross University, 2001</t>
  </si>
  <si>
    <t>Joseph Brant Memorial Hospital,1230 North Shore Boulevard East,Burlington ON  L7S 1W7</t>
  </si>
  <si>
    <t>(905) 632-3730</t>
  </si>
  <si>
    <t>USA - Minnesota</t>
  </si>
  <si>
    <t>Psychiatry||Effective: 20 Oct 2008||CPSO Recognized Specialist</t>
  </si>
  <si>
    <t>First certificate of registration issued: Restricted certificate||Effective:   20 Oct 2008
Terms and conditions imposed on certificate by Registration Committee||Effective:   20 Oct 2008
Expiry date attached to certificate of registration.||Expiry Date: 19 Apr 2010
Terms and conditions amended by Registration Committee||Effective:   08 Mar 2010</t>
  </si>
  <si>
    <t>F. Singh Medicine Professional Corporation</t>
  </si>
  <si>
    <t>Issued Date:  Jul 08 2011</t>
  </si>
  <si>
    <t>Dr. F. Singh (CPSO# 89919)</t>
  </si>
  <si>
    <t>Joseph Brant Memorial Hospital,1230 North Shore Boulevard East,Burlington ON  L7S 1W7,(905) 336-4125</t>
  </si>
  <si>
    <t>102306</t>
  </si>
  <si>
    <t xml:space="preserve">Active Member as of 30 Oct 2013 </t>
  </si>
  <si>
    <t xml:space="preserve">Restricted as of 30 Oct 2013 </t>
  </si>
  <si>
    <t>King Edward Medical College, 1989</t>
  </si>
  <si>
    <t>Department of Psychiatry,University of Toronto,#1148,250 College Street,Toronto ON  M5T1R8</t>
  </si>
  <si>
    <t>Psychiatry||Effective: 30 Oct 2013||CPSO Recognized Specialist</t>
  </si>
  <si>
    <t>First certificate of registration issued: Restricted certificate||Effective:   30 Oct 2013
Terms and conditions imposed on certificate by Registration Committee||Effective:   30 Oct 2013
Expiry date attached to certificate of registration.||Expiry Date: 30 Jun 2016
Terms and conditions amended by Registration Committee||Effective:   25 Jul 2016
Expiry date attached to certificate of registration||Expiry Date: 30 Jun 2021
Terms and conditions amended by Registration Committee||Effective:   22 Aug 2016
Expiry date attached to certificate of registration||Expiry Date: 30 Jun 2021
Terms and conditions amended by Registration Committee||Effective:   03 Aug 2017
Expiry date attached to certificate of registration||Expiry Date: 30 Jun 2021</t>
  </si>
  <si>
    <t>Farooq Naeem Medicine Professional Corporation</t>
  </si>
  <si>
    <t>Issued Date:  Jan 21 2014</t>
  </si>
  <si>
    <t>Dr. F. Naeem (CPSO# 102306)</t>
  </si>
  <si>
    <t>University of Toronto,250 College Street,Suite 1148,Toronto ON  M5T 1R8,(416) 535-8501</t>
  </si>
  <si>
    <t>83790</t>
  </si>
  <si>
    <t xml:space="preserve">Active Member as of 23 Dec 2010 </t>
  </si>
  <si>
    <t xml:space="preserve">Independent Practice as of 23 Dec 2010 </t>
  </si>
  <si>
    <t>Punjab University, Pakistan, 1984</t>
  </si>
  <si>
    <t>3640 Wells st,windsor on,N9C1T9,Windsor ON  N9C 4H4</t>
  </si>
  <si>
    <t>(519)258 0484</t>
  </si>
  <si>
    <t>519 258 0488</t>
  </si>
  <si>
    <t>Maryvale,3640 Wells Street,Windsor ON  N9C 1T9,Canada,Phone:5192580484,Fax:5192580488,County:County of Essex,Electoral District:01</t>
  </si>
  <si>
    <t>Pakistan
USA - Michigan</t>
  </si>
  <si>
    <t>Psychiatry||Effective: 14 Oct 2005||CPSO Recognized Specialist</t>
  </si>
  <si>
    <t>First certificate of registration issued: Restricted certificate||Effective:   14 Oct 2005
Terms and conditions imposed on certificate by Registration Committee||Effective:   14 Oct 2005
Expiry date attached to certificate of registration.||Expiry Date: 13 Jan 2007
Terms and conditions amended by Registration Committee||Effective:   16 Nov 2006
Terms and conditions amended by Registration Committee||Effective:   16 Nov 2006
Expired: Terms and conditions imposed on certificate by Registration Committee||Effective:   23 Dec 2010
Subsequent certificate of registration Issued: Independent Practice Certificate||Effective:   23 Dec 2010</t>
  </si>
  <si>
    <t>Tak Medicine Professional Corporation</t>
  </si>
  <si>
    <t>Issued Date:  Oct 26 2009</t>
  </si>
  <si>
    <t>Dr. F. Tak (CPSO# 83790)</t>
  </si>
  <si>
    <t>Maryvale,3640 Wells Street,Windsor ON  N9C 1T9,(519) 258-0484
3901 Connaught Street,3901 Connaught Street,Windsor ON  N9C 4H4,(519) 257-5215</t>
  </si>
  <si>
    <t>32409</t>
  </si>
  <si>
    <t xml:space="preserve">Active Member as of 06 Sep 1973 </t>
  </si>
  <si>
    <t xml:space="preserve">Independent Practice as of 08 Jun 1981 </t>
  </si>
  <si>
    <t>University of Haiti, 1963</t>
  </si>
  <si>
    <t>First certificate of registration issued: Hospital Practice Certificate||Effective:   06 Sep 1973
Transfer of class of registration to: Independent Practice Certificate||Effective:   08 Jun 1981</t>
  </si>
  <si>
    <t>89167</t>
  </si>
  <si>
    <t xml:space="preserve">Active Member as of 20 Jun 2008 </t>
  </si>
  <si>
    <t xml:space="preserve">Academic Practice as of 20 Jun 2008 </t>
  </si>
  <si>
    <t>Vartic-Iftene, Felicia (used until: 19 Jul 2010 )</t>
  </si>
  <si>
    <t>English, French, Romanian</t>
  </si>
  <si>
    <t>University of Cluj, 1984</t>
  </si>
  <si>
    <t>Providence Care Hospital,752 King Street West,Kingston ON  K7L 4X7</t>
  </si>
  <si>
    <t>(613) 548-6164</t>
  </si>
  <si>
    <t>(613) 540-6196</t>
  </si>
  <si>
    <t>Psychiatry||Effective: 08 Jun 2008||RCPSC Specialist</t>
  </si>
  <si>
    <t>First certificate of registration issued: Academic Practice Certificate||Effective:   20 Jun 2008
Expiry date attached to certificate of registration.||Expiry Date: 30 Jun 2019</t>
  </si>
  <si>
    <t>Iftene Medicine Professional Corporation</t>
  </si>
  <si>
    <t>Issued Date:  May 04 2015</t>
  </si>
  <si>
    <t>Dr. F. Iftene (CPSO# 89167)</t>
  </si>
  <si>
    <t>Providence Care,Unit 2,752 King Street West,Kingston ON  K7L 4X3,(613) 548-6164
Kingston General Hospital,Kingston General Hospital,76 Stuart Street,Kingston ON  K7L 2N7,(613) 549-6666
Hotel Dieu Hospital,Hotel Dieu Hospital,166 Brock Street,Kingston ON  K7L 3N6,(613) 544-3310
Queen's University,Queen's University,School of Medicine,18 Barrie Street,Kingston ON  K7L 3N6</t>
  </si>
  <si>
    <t>64640</t>
  </si>
  <si>
    <t xml:space="preserve">Active Member as of 27 Sep 1995 </t>
  </si>
  <si>
    <t xml:space="preserve">Independent Practice as of 27 Sep 1995 </t>
  </si>
  <si>
    <t>University of Buenos Aires, 1960</t>
  </si>
  <si>
    <t>Suite 18oo,2 St. Clair Avenue West,Toronto ON  M4V 1L5</t>
  </si>
  <si>
    <t>(416) 922-2220</t>
  </si>
  <si>
    <t>647 255 8001</t>
  </si>
  <si>
    <t>Psychiatry||Effective: 20 Sep 1995||RCPSC Specialist</t>
  </si>
  <si>
    <t>First certificate of registration issued: Postgraduate Education Certificate||Effective:   02 Oct 1991
Expired: Terms and conditions of certificate of registration||Expiry:      21 Sep 1995
Subsequent certificate of registration Issued: Independent Practice Certificate||Effective:   27 Sep 1995</t>
  </si>
  <si>
    <t>32567</t>
  </si>
  <si>
    <t xml:space="preserve">Active Member as of 15 Jun 2007 </t>
  </si>
  <si>
    <t xml:space="preserve">Independent Practice as of 29 Jun 1981 </t>
  </si>
  <si>
    <t>First Leningrad Medical Institute, 1957</t>
  </si>
  <si>
    <t>Suite 808,920 Yonge Street,Toronto ON  M4W 3C7</t>
  </si>
  <si>
    <t>(416) 934-0888</t>
  </si>
  <si>
    <t>(416) 431-1710</t>
  </si>
  <si>
    <t>Psychiatry||Effective: 15 Nov 1978||RCPSC Specialist</t>
  </si>
  <si>
    <t>First certificate of registration issued: Postgraduate Education Certificate||Effective:   29 Dec 1975
Transfer of class of registration to: Hospital Practice Certificate||Effective:   05 Dec 1978
Transfer of class of registration to: Independent Practice Certificate||Effective:   29 Jun 1981
Suspension of registration imposed: Discipline Committee||Effective:   15 Mar 2007
Suspension of registration removed||Effective:   15 Jun 2007</t>
  </si>
  <si>
    <t>56618</t>
  </si>
  <si>
    <t xml:space="preserve">Active Member as of 11 Mar 1986 </t>
  </si>
  <si>
    <t xml:space="preserve">Independent Practice as of 20 Aug 1986 </t>
  </si>
  <si>
    <t>University of Dublin, 1978</t>
  </si>
  <si>
    <t>Queensway Carlton Hospital,Department of Psychiatry,3045 Baseline Road,Ottawa ON  K2H 8P4</t>
  </si>
  <si>
    <t>(613) 721-4708</t>
  </si>
  <si>
    <t>First certificate of registration issued: Academic Practice Certificate||Effective:   11 Mar 1986
Transfer of class of registration to: Independent Practice Certificate||Effective:   20 Aug 1986</t>
  </si>
  <si>
    <t>Fergus Gerald McNestry Medicine Professional Corporation</t>
  </si>
  <si>
    <t>Issued Date:  Feb 14 2014</t>
  </si>
  <si>
    <t>Dr. F. McNestry (CPSO# 56618)</t>
  </si>
  <si>
    <t>Queensway Carlton Hospital,Department of Psychiatry,3045 Baseline Road,Ottawa ON  K2H 8P4,(613) 721-4708</t>
  </si>
  <si>
    <t>32422</t>
  </si>
  <si>
    <t xml:space="preserve">Active Member as of 12 Jun 1981 </t>
  </si>
  <si>
    <t xml:space="preserve">Independent Practice as of 12 Jun 1981 </t>
  </si>
  <si>
    <t>University of Toronto, 1976</t>
  </si>
  <si>
    <t>Suite 505,1200 Bay Street,Toronto ON  M5R 2A5</t>
  </si>
  <si>
    <t>(416) 920-9850</t>
  </si>
  <si>
    <t>(416) 485-4581</t>
  </si>
  <si>
    <t>First certificate of registration issued: Independent Practice Certificate||Effective:   12 Jun 1981</t>
  </si>
  <si>
    <t>65939</t>
  </si>
  <si>
    <t xml:space="preserve">Active Member as of 26 Aug 1992 </t>
  </si>
  <si>
    <t>McGill University, 1991</t>
  </si>
  <si>
    <t>1335 Pitt Street,Cornwall ON  K6J 3T7</t>
  </si>
  <si>
    <t>(613) 932-6163</t>
  </si>
  <si>
    <t>175 stillview road,office 310,pointe claire QC  H9R4S3,Canada,Phone:5146302010 Ext. 4100,Fax:5146305184,County:Electoral District</t>
  </si>
  <si>
    <t>Quebec
USA - Connecticut</t>
  </si>
  <si>
    <t>First certificate of registration issued: Independent Practice Certificate||Effective:   26 Aug 1992</t>
  </si>
  <si>
    <t>Fiore Lalla Medicine Professional Corporation</t>
  </si>
  <si>
    <t>Issued Date:  Nov 14 2006</t>
  </si>
  <si>
    <t>Dr. F. Lalla (CPSO# 65939)</t>
  </si>
  <si>
    <t>1335 Pitt Street,Cornwall ON  K6J 3T7,(613) 932-6163</t>
  </si>
  <si>
    <t>111161</t>
  </si>
  <si>
    <t xml:space="preserve">Active Member as of 07 Nov 2016 </t>
  </si>
  <si>
    <t xml:space="preserve">Academic Practice as of 07 Nov 2016 </t>
  </si>
  <si>
    <t>Federal University of Rio Grande Do Sul, 1987</t>
  </si>
  <si>
    <t>St. Joseph's Healthcare Hamilton,West 5th Campus,100 West 5th Street,Hamilton ON  L8N 3K7</t>
  </si>
  <si>
    <t>(905) 522-1155 Ext. 32251</t>
  </si>
  <si>
    <t>9053087240</t>
  </si>
  <si>
    <t>Psychiatry||Effective: 14 Sep 2016||RCPSC Specialist</t>
  </si>
  <si>
    <t>First certificate of registration issued: Academic Practice Certificate||Effective:   07 Nov 2016
Expiry date attached to Certificate of Registration||Expiry Date: 01 Feb 2019</t>
  </si>
  <si>
    <t>102552</t>
  </si>
  <si>
    <t xml:space="preserve">Active Member as of 27 Sep 2017 </t>
  </si>
  <si>
    <t xml:space="preserve">Restricted as of 27 Sep 2017 </t>
  </si>
  <si>
    <t>Canadian Mental Health Association,80 Waterloo Ave,Guelph ON  N1H 0A1</t>
  </si>
  <si>
    <t>675 UPPER JAMES STREET,Hamilton ON  L9C 2Z5,Canada,Phone:(905) 768-4400,Fax:(905) 575-0760,County:Regional Municipality of Hamilton-Wentworth,Electoral District:04</t>
  </si>
  <si>
    <t>First certificate of registration issued: Restricted certificate||Effective:   17 Jan 2014
Terms and conditions imposed on certificate by Registration Committee||Effective:   17 Jan 2014
Expiry date attached to certificate of registration.||Expiry Date: 16 Jan 2017
Terms and conditions amended by Registration Committee||Effective:   23 Nov 2015
Terms and conditions amended by Registration Committee||Effective:   10 Nov 2016
Expired: Terms and conditions imposed on certificate by Registration Committee||Effective:   01 Sep 2017
Subsequent certificate of registration issued: Restricted certificate||Effective:   27 Sep 2017
Expiry as per terms and conditions imposed on certificate||Expiry Date: 26 Nov 2018
Terms and conditions amended by Registration Committee||Effective:   07 Mar 2018
Expiry date attached to certificate of registration||Expiry Date: 26 Nov 2018</t>
  </si>
  <si>
    <t>Dr. Folake Esan Medicine Professional Corporation</t>
  </si>
  <si>
    <t>Issued Date:  May 06 2014</t>
  </si>
  <si>
    <t>Dr. F. Esan (CPSO# 102552)</t>
  </si>
  <si>
    <t>Canadian Mental Health Association,80 Waterloo Avenue,Guelph ON  N1H 0A1,(519) 821-6134
Canadian Mental Health Association,Canadian Mental Health Association,234 St Patrick Street,Fergus ON  N1M 1M6
329 Main Street North,329 Main Street North,Mount Forest ON  N0G 2L1</t>
  </si>
  <si>
    <t>99583</t>
  </si>
  <si>
    <t xml:space="preserve">Active Member as of 29 Aug 2013 </t>
  </si>
  <si>
    <t xml:space="preserve">Independent Practice as of 29 Aug 2013 </t>
  </si>
  <si>
    <t>Universite Mohammed V, 1982</t>
  </si>
  <si>
    <t>Suite 101,444 McGill Street,Hawkesbury ON  K6A 1R2</t>
  </si>
  <si>
    <t>(613) 7645464 Ext. 54701</t>
  </si>
  <si>
    <t>613 7645299</t>
  </si>
  <si>
    <t>Psychiatry||Effective: 01 May 2013||RCPSC Specialist</t>
  </si>
  <si>
    <t>First certificate of registration issued: Restricted certificate||Effective:   02 Nov 2012
Terms and conditions imposed on certificate by Registration Committee||Effective:   02 Nov 2012
Expiry date attached to certificate of registration.||Expiry Date: 01 Nov 2015
Expired: Terms and conditions imposed on certificate by Registration Committee||Effective:   29 Aug 2013
Subsequent certificate of registration Issued: Independent Practice Certificate||Effective:   29 Aug 2013</t>
  </si>
  <si>
    <t>59111</t>
  </si>
  <si>
    <t xml:space="preserve">Active Member as of 04 Dec 1987 </t>
  </si>
  <si>
    <t xml:space="preserve">Independent Practice as of 04 Dec 1987 </t>
  </si>
  <si>
    <t>STSM  HGH,580 Spence,Hawkesbury ON  K6A 0B4</t>
  </si>
  <si>
    <t>First certificate of registration issued: Independent Practice Certificate||Effective:   04 Dec 1987</t>
  </si>
  <si>
    <t>France Rocheleau Medicine Professional Corporation</t>
  </si>
  <si>
    <t>Issued Date:  Jan 22 2015</t>
  </si>
  <si>
    <t>Dr. F. Rocheleau (CPSO# 59111)</t>
  </si>
  <si>
    <t>580 Spence,Hawkesbury ON  K6A 0B4,(844) 304-1414</t>
  </si>
  <si>
    <t>97801</t>
  </si>
  <si>
    <t>University of Calgary, 2012</t>
  </si>
  <si>
    <t>Montfort Hospital,Mental Health,713 Montreal Road,Ottawa, ON,Ottawa ON  K1K 0T2</t>
  </si>
  <si>
    <t>6137464621</t>
  </si>
  <si>
    <t>Queen's University, 01 Jul 2012  to 30 Jun 2013|PostGrad Yr 1 - Family Medicine
University of Ottawa, 01 Jul 2013  to 30 Jun 2014|PostGrad Yr 2 - Psychiatry
University of Ottawa, 01 Jul 2014  to 30 Jun 2015|PostGrad Yr 3 - Psychiatry
University of Ottawa, 01 Jul 2015  to 30 Jun 2016|PostGrad Yr 4 - Psychiatry
University of Ottawa, 01 Jul 2016  to 30 Jun 2017|PostGrad Yr 5 - Psychiatry</t>
  </si>
  <si>
    <t>56969</t>
  </si>
  <si>
    <t>30 Prospect St. #302,Newmarket ON  L3Y 3S9</t>
  </si>
  <si>
    <t>(289) 803-2533</t>
  </si>
  <si>
    <t>Psychiatry||Effective: 29 May 1992||RCPSC Specialist
Child and Adolescent Psychiatry||Effective: 23 Sep 2014||RCPSC Specialist</t>
  </si>
  <si>
    <t>University of Toronto, 16 Jun 1986  to 15 Jun 1987|Other - Rotating Internship
University of Toronto, 01 Jul 1987  to 30 Jun 1988|Resident 1 - Psychiatry
University of Toronto, 01 Jan 1989  to 30 Jun 1989|Resident 2 - Psychiatry
University of Toronto, 01 Jan 1990  to 30 Jun 1990|Resident 2 - Psychiatry
University of Toronto, 01 Jul 1990  to 30 Jun 1991|Resident 3 - Psychiatry
University of Toronto, 01 Jul 1991  to 30 Jun 1992|Resident 4 - Psychiatry</t>
  </si>
  <si>
    <t>First certificate of registration issued: Postgraduate Education Certificate||Effective:   16 Jun 1986
Transfer of class of registration to: Independent Practice Certificate||Effective:   30 Jun 1988</t>
  </si>
  <si>
    <t>J. Weisbrot Medicine Professional Corporation</t>
  </si>
  <si>
    <t>Issued Date:  Sep 19 2007</t>
  </si>
  <si>
    <t>Dr. F. Brill (CPSO# 56969),Dr. J. Weisbrot (CPSO# 55753)</t>
  </si>
  <si>
    <t>York-Med Medical Arts Building,404 - 250 Harding Boulevard,Richmond Hill ON  L4C 9M7,(905) 737-0802</t>
  </si>
  <si>
    <t>65975</t>
  </si>
  <si>
    <t xml:space="preserve">Active Member as of 04 Sep 1992 </t>
  </si>
  <si>
    <t xml:space="preserve">Independent Practice as of 04 Sep 1992 </t>
  </si>
  <si>
    <t>STSM / HGH,580 ave Spence,Hawkesbury ON  K6A 0B4</t>
  </si>
  <si>
    <t>613-632-4791</t>
  </si>
  <si>
    <t>First certificate of registration issued: Independent Practice Certificate||Effective:   04 Sep 1992</t>
  </si>
  <si>
    <t>31896</t>
  </si>
  <si>
    <t xml:space="preserve">Active Member as of 01 Oct 1968 </t>
  </si>
  <si>
    <t xml:space="preserve">Independent Practice as of 08 Aug 1980 </t>
  </si>
  <si>
    <t>University of Liverpool, 1959</t>
  </si>
  <si>
    <t>Psychiatry||Effective: 03 Dec 1968||RCPSC Specialist</t>
  </si>
  <si>
    <t>First certificate of registration issued: Temporary Employment Practice Certificate||Effective:   01 Oct 1968
Transfer of class of registration to: Academic Practice Certificate||Effective:   30 Jun 1969
Transfer of class of registration to: Independent Practice Certificate||Effective:   08 Aug 1980</t>
  </si>
  <si>
    <t>58928</t>
  </si>
  <si>
    <t xml:space="preserve">Active Member as of 04 Aug 1987 </t>
  </si>
  <si>
    <t xml:space="preserve">Independent Practice as of 04 Aug 1987 </t>
  </si>
  <si>
    <t>English, Sinhala</t>
  </si>
  <si>
    <t>University of Ceylon, 1975</t>
  </si>
  <si>
    <t>Suite 307,700 Tecumseh Road East,Windsor ON  N8X 4T2</t>
  </si>
  <si>
    <t>(519) 258-8482</t>
  </si>
  <si>
    <t>(519) 258-7955</t>
  </si>
  <si>
    <t>First certificate of registration issued: Independent Practice Certificate||Effective:   04 Aug 1987</t>
  </si>
  <si>
    <t>Dr. F. P. Fernando Medicine Professional Corporation</t>
  </si>
  <si>
    <t>Issued Date:  Aug 07 2013</t>
  </si>
  <si>
    <t>Dr. F. Fernando (CPSO# 58928)</t>
  </si>
  <si>
    <t>Suite 307,700 Tecumseh Road East,Windsor ON  N8X 4T2,(519) 258-8482
Hotel Dieu Grace Healthcare,Hotel Dieu Grace Healthcare,1453 Prince Road,Windsor ON  N9C 3Z4,(519) 257-5111
Windsor Regional Hospital,Windsor Regional Hospital,1995 Lens Avenue,Windsor ON  N8W 1L9,(519) 254-5577
Windsor Regional Hospital,Windsor Regional Hospital,1030 Ouellette Avenue,Windsor ON  N9A 1E1,(519) 973-4411</t>
  </si>
  <si>
    <t>26011</t>
  </si>
  <si>
    <t>University of Toronto, 1972</t>
  </si>
  <si>
    <t>Smyth Medical Centre,1929 Russell Road,Suite 212,Ottawa ON  K1G 4G3</t>
  </si>
  <si>
    <t>(613) 521-3376</t>
  </si>
  <si>
    <t>(613) 731-9644</t>
  </si>
  <si>
    <t>23838</t>
  </si>
  <si>
    <t xml:space="preserve">Active Member as of 12 Jul 1971 </t>
  </si>
  <si>
    <t xml:space="preserve">Independent Practice as of 12 Jul 1971 </t>
  </si>
  <si>
    <t>344 Bloor Street West,Suite 208,Toronto ON  M5S 3A7</t>
  </si>
  <si>
    <t>(416) 922-7335</t>
  </si>
  <si>
    <t>(416) 922-7512</t>
  </si>
  <si>
    <t>First certificate of registration issued: Postgraduate Education Certificate||Effective:   24 Jun 1970
Transfer of class of registration to: Independent Practice Certificate||Effective:   12 Jul 1971</t>
  </si>
  <si>
    <t>51066</t>
  </si>
  <si>
    <t xml:space="preserve">Restricted as of 02 Oct 2018 </t>
  </si>
  <si>
    <t>First certificate of registration issued: Postgraduate Education Certificate||Effective:   14 Jun 1982
Transfer of class of registration to: Independent Practice Certificate||Effective:   17 Jul 1986
Transfer of class of certificate to: Restricted certificate||Effective:   02 Oct 2018
Terms and conditions imposed on certificate by member||Effective:   02 Oct 2018</t>
  </si>
  <si>
    <t>Frank J. Mace Medicine Professional Corporation</t>
  </si>
  <si>
    <t>Inactive: Aug 10 2017</t>
  </si>
  <si>
    <t>104690</t>
  </si>
  <si>
    <t xml:space="preserve">Active Member as of 09 May 2017 </t>
  </si>
  <si>
    <t xml:space="preserve">Independent Practice as of 09 May 2017 </t>
  </si>
  <si>
    <t>550 Wellington Road,London ON  N6C 0A7</t>
  </si>
  <si>
    <t>519-646-6100 Ext. 47778</t>
  </si>
  <si>
    <t>London Health Sciences Centre,Children's Hospital of Western Ontario:London
St Joseph's Health Care,London - Parkwood Hospital:London</t>
  </si>
  <si>
    <t>University of Toronto, 25 Aug 2014  to 21 Sep 2014|Elective Trainee - Psychiatry</t>
  </si>
  <si>
    <t>First certificate of registration issued: Postgraduate Education Certificate||Effective:   25 Aug 2014
Expired: Terms and conditions of certificate of registration||Expiry:      21 Sep 2014
Subsequent certificate of registration Issued: Independent Practice Certificate||Effective:   09 May 2017</t>
  </si>
  <si>
    <t>69931</t>
  </si>
  <si>
    <t>University of Alberta, 1994</t>
  </si>
  <si>
    <t>Brockville General Hospital,75 Charles Street,Brockville ON  K6V 1S8</t>
  </si>
  <si>
    <t>Suite 105,  785 Midpark Drive,Kingston ON  K7M 7G3,Canada,Phone:343 344 0016,Fax:343 344 0017,County:County of Frontenac,Electoral District:06
301 Lillie Street,Sister Margaret Smith Centre,Thunder Bay ON  P7C 0A6,Canada,Phone:807 684 5105,Fax:807 622 1779,County:District of Thunder Bay,Electoral District:09</t>
  </si>
  <si>
    <t>Brockville General Hospital:Brockville
St Joseph's Care Group,Thunder Bay:Thunder Bay
Thunder Bay Regional Health Sciences Centre:Thunder Bay</t>
  </si>
  <si>
    <t>Queen's University, 01 Jul 1996  to 30 Jun 1997|PostGrad Yr 1 - Psychiatry
Queen's University, 01 Jul 1997  to 30 Jun 1998|PostGrad Yr 2 - Psychiatry
Queen's University, 01 Jul 1998  to 30 Jun 1999|PostGrad Yr 3 - Psychiatry
Queen's University, 01 Jul 1999  to 30 Jun 2000|PostGrad Yr 4 - Psychiatry
Queen's University, 01 Jul 2000  to 30 Jun 2001|PostGrad Yr 5 - Psychiatry
Queen's University, 01 Jul 2001  to 31 Dec 2001|Clinical Fellow - Psychiatry</t>
  </si>
  <si>
    <t>Franklin H. Sim Medicine Professional Corporation</t>
  </si>
  <si>
    <t>Issued Date:  Nov 11 2014</t>
  </si>
  <si>
    <t>Dr. F. Sim (CPSO# 69931)</t>
  </si>
  <si>
    <t>25 Front Avenue West,Brockville ON  K6V 4J2,(613) 342-2262
301 Lillie Street North,301 Lillie Street North,Thunder Bay ON  P7C 0A6,(807) 684-5105
Brockville General Hospital,Brockville General Hospital,75 Charles Street,Brockville ON  K6V 1S8,(613) 342-2262
105 - 785 Midpark Drive,105 - 785 Midpark Drive,Kingston ON  K7M 7G3</t>
  </si>
  <si>
    <t>66682</t>
  </si>
  <si>
    <t xml:space="preserve">Independent Practice as of 29 Jun 1995 </t>
  </si>
  <si>
    <t>Queen's University, 1993</t>
  </si>
  <si>
    <t>North York Seniors Health Centre,2 Buchan Court,Toronto ON  M2J 5A3</t>
  </si>
  <si>
    <t>(416) 756-6050 Ext. 8093</t>
  </si>
  <si>
    <t>(416) 756-1844</t>
  </si>
  <si>
    <t>North York General Hospital,4001 Leslie Street,Toronto ON  M2K 1E1,Canada,Phone:(416) 756-6000,County:City of Toronto,Electoral District:10</t>
  </si>
  <si>
    <t>University of Toronto, 01 Jul 1995  to 30 Jun 1996|Resident 1 - Psychiatry
University of Toronto, 01 Jul 1996  to 30 Jun 1997|Resident 2 - Psychiatry
University of Toronto, 01 Jul 1997  to 30 Jun 1998|Resident 3 - Psychiatry
University of Toronto, 01 Jul 1998  to 30 Jun 1999|Resident 4 - Psychiatry</t>
  </si>
  <si>
    <t>First certificate of registration issued: Postgraduate Education Certificate||Effective:   01 Jul 1993
Transfer of class of registration to: Independent Practice Certificate||Effective:   29 Jun 1995</t>
  </si>
  <si>
    <t>Dr. F.T. Wong Medicine Professional Corporation</t>
  </si>
  <si>
    <t>Issued Date:  May 16 2008</t>
  </si>
  <si>
    <t>Dr. F. Wong (CPSO# 66682)</t>
  </si>
  <si>
    <t>North York Seniors Health Centre,2 Buchan Court,Toronto ON  M2J 5A3,(416) 756-6050
4001 Leslie Street,4001 Leslie Street,Toronto ON  M2K 1E1,(416) 756-6000</t>
  </si>
  <si>
    <t>77827</t>
  </si>
  <si>
    <t>151 Pine Valley Drive,London ON  N6J 4M2</t>
  </si>
  <si>
    <t>(519) 435-6499</t>
  </si>
  <si>
    <t>(866) 504-3115</t>
  </si>
  <si>
    <t>Dr. David Templeman Medicine Professional Corporation</t>
  </si>
  <si>
    <t>Issued Date:  Jul 19 2007</t>
  </si>
  <si>
    <t>Dr. F. Templeman (CPSO# 77827)</t>
  </si>
  <si>
    <t>151 Pine Valley Drive,Lower Suite,London ON  N6J 4M2,(519) 435-6499</t>
  </si>
  <si>
    <t>32974</t>
  </si>
  <si>
    <t xml:space="preserve">Active Member as of 20 Nov 1981 </t>
  </si>
  <si>
    <t xml:space="preserve">Independent Practice as of 20 Nov 1981 </t>
  </si>
  <si>
    <t>Suite 303,66 Gerrard Street East,Toronto ON  M5B 1G3</t>
  </si>
  <si>
    <t>(416) 482-6660</t>
  </si>
  <si>
    <t>(416) 920-1880</t>
  </si>
  <si>
    <t>Psychiatry||Effective: 16 Nov 1981||RCPSC Specialist</t>
  </si>
  <si>
    <t>First certificate of registration issued: Postgraduate Education Certificate||Effective:   01 Jul 1978
Transfer of class of registration to: Independent Practice Certificate||Effective:   20 Nov 1981</t>
  </si>
  <si>
    <t>Finkelberg Medicine Professional Corporation</t>
  </si>
  <si>
    <t>Issued Date:  Dec 23 2014</t>
  </si>
  <si>
    <t>Dr. F. Finkelberg (CPSO# 32974),Dr. R. Weksberg (CPSO# 31759)</t>
  </si>
  <si>
    <t>303 - 66 Gerrard Street East,Toronto ON  M5B 1G3,(416) 482-6660</t>
  </si>
  <si>
    <t>117133</t>
  </si>
  <si>
    <t xml:space="preserve">Active Member as of 05 Nov 2018 </t>
  </si>
  <si>
    <t xml:space="preserve">Restricted as of 05 Nov 2018 </t>
  </si>
  <si>
    <t>University of Kentucky, 1983</t>
  </si>
  <si>
    <t>Children's Hospital of Eastern ON,Division of Child Psychiatry,401 Smyth Rd,Ottawa ON  K1H 8L1</t>
  </si>
  <si>
    <t>Child and Adolescent Psychiatry||Effective: 05 Nov 2018||CPSO Recognized Specialist</t>
  </si>
  <si>
    <t>First certificate of registration issued: Restricted certificate||Effective:   05 Nov 2018
Terms and conditions imposed on certificate by Registration Committee||Effective:   05 Nov 2018
Expiry date attached to certificate of registration.||Expiry Date: 04 May 2020</t>
  </si>
  <si>
    <t>19968</t>
  </si>
  <si>
    <t xml:space="preserve">Active Member as of 30 Jun 1966 </t>
  </si>
  <si>
    <t xml:space="preserve">Independent Practice as of 30 Jun 1966 </t>
  </si>
  <si>
    <t>Queen's University, 1965</t>
  </si>
  <si>
    <t>3 Tullamore Drive,Toronto ON  M2L 2E9</t>
  </si>
  <si>
    <t>(416) 785-5017</t>
  </si>
  <si>
    <t>(416) 785-5018</t>
  </si>
  <si>
    <t>North York General Hospital,General Division,4001 Leslie Street,Toronto ON  M2K 1S1,Canada,County:City of Toronto,Electoral District:10</t>
  </si>
  <si>
    <t>North York General Hospital,General Division:Toronto
Timmins and District Hospital:Timmins</t>
  </si>
  <si>
    <t>Psychiatry||Effective: 01 Dec 1970||RCPSC Specialist</t>
  </si>
  <si>
    <t>First certificate of registration issued: Postgraduate Education Certificate||Effective:   01 Jul 1965
Transfer of class of registration to: Independent Practice Certificate||Effective:   30 Jun 1966</t>
  </si>
  <si>
    <t>79537</t>
  </si>
  <si>
    <t xml:space="preserve">Active Member as of 11 Sep 2009 </t>
  </si>
  <si>
    <t xml:space="preserve">Independent Practice as of 11 Sep 2009 </t>
  </si>
  <si>
    <t>Bouhenic, Gabrielle Helena (used until: 02 Jul 2003 )</t>
  </si>
  <si>
    <t>Suite 201,60 Liberty Street South,Bowmanville ON  L1C 2N5</t>
  </si>
  <si>
    <t>(905) 419-5900</t>
  </si>
  <si>
    <t>(905) 623-9822</t>
  </si>
  <si>
    <t>Durham Mental Health Services,519 Brock Street South,Whitby ON  L1N 4K8,Canada,Phone:905-666-0831,Fax:905-666-2976,County:Regional Municipality of Durham,Electoral District:05</t>
  </si>
  <si>
    <t>University of Toronto, 01 Jul 2003  to 30 Jun 2004|PostGrad Yr 1 - Family Medicine
University of Toronto, 01 Jul 2004  to 30 Jun 2005|PostGrad Yr 2 - Psychiatry
University of Toronto, 01 Jul 2005  to 30 Jun 2006|PostGrad Yr 3 - Psychiatry
University of Toronto, 01 Jul 2006  to 30 Jun 2007|PostGrad Yr 4 - Psychiatry
University of Toronto, 01 Jul 2007  to 30 Jun 2008|PostGrad Yr 5 - Psychiatry
University of Toronto, 01 Jul 2008  to 30 Jun 2009|PostGrad Yr 5 - Psychiatry</t>
  </si>
  <si>
    <t>First certificate of registration issued: Postgraduate Education Certificate||Effective:   01 Jul 2003
Expired: Terms and conditions of certificate of registration||Expiry:      30 Jun 2009
Subsequent certificate of registration Issued: Independent Practice Certificate||Effective:   11 Sep 2009</t>
  </si>
  <si>
    <t>91687</t>
  </si>
  <si>
    <t xml:space="preserve">Active Member as of 29 Mar 2018 </t>
  </si>
  <si>
    <t xml:space="preserve">Independent Practice as of 29 Mar 2018 </t>
  </si>
  <si>
    <t>University of Sherbrooke, 2009</t>
  </si>
  <si>
    <t>Mental Health Services,2 Field Ambulance Medical Clinic,258 Somme road building N-111,Garrison Petawawa,Petawawa ON  K8H 2X3</t>
  </si>
  <si>
    <t>613-687-5511 Ext. 5392</t>
  </si>
  <si>
    <t>Psychiatry||Effective: 30 Jun 2014||RCPSC Specialist
Forensic Psychiatry||Effective: 27 Sep 2016||RCPSC Specialist</t>
  </si>
  <si>
    <t>University of Ottawa, 01 Jul 2009  to 30 Jun 2010|PostGrad Yr 1 - Psychiatry
University of Ottawa, 01 Jul 2010  to 30 Jun 2011|PostGrad Yr 2 - Psychiatry
University of Ottawa, 01 Jul 2011  to 30 Jun 2012|PostGrad Yr 3 - Psychiatry
University of Ottawa, 01 Jul 2012  to 30 Jun 2013|PostGrad Yr 4 - Psychiatry
University of Ottawa, 01 Jul 2013  to 30 Jun 2014|PostGrad Yr 5 - Psychiatry
University of Toronto, 01 Jul 2014  to 30 Jun 2015|PostGrad Yr 6 - Forensic Psychiatry</t>
  </si>
  <si>
    <t>First certificate of registration issued: Postgraduate Education Certificate||Effective:   01 Jul 2009
Expired: Terms and conditions of certificate of registration||Expiry:      30 Jun 2015
Subsequent certificate of registration Issued: Independent Practice Certificate||Effective:   29 Mar 2018</t>
  </si>
  <si>
    <t>55336</t>
  </si>
  <si>
    <t>St Joseph's Hospital,Room T10 157,50 Charlton Avenue East,Hamilton ON  L8N 4A6</t>
  </si>
  <si>
    <t>(905) 522-1155 Ext. 34370</t>
  </si>
  <si>
    <t>McMaster University, 01 Jul 1985  to 30 Jun 1986|Other - Rotating Internship
McMaster University, 01 Jul 1986  to 30 Jun 1987|Resident 1 - Psychiatry
McMaster University, 01 Jul 1987  to 30 Jun 1988|Resident 2 - Psychiatry
McMaster University, 01 Jul 1988  to 30 Jun 1989|Resident 3 - Psychiatry
McMaster University, 01 Jul 1989  to 30 Jun 1990|Resident 4 - Psychiatry</t>
  </si>
  <si>
    <t>First certificate of registration issued: Postgraduate Education Certificate||Effective:   01 Jul 1985
Transfer of class of registration to: Independent Practice Certificate||Effective:   28 Aug 1987</t>
  </si>
  <si>
    <t>Dr. Gagan Gaind Medicine Professional Corporation</t>
  </si>
  <si>
    <t>Issued Date:  Aug 31 2006</t>
  </si>
  <si>
    <t>Dr. G. Gaind (CPSO# 55336)</t>
  </si>
  <si>
    <t>St. Joseph's Healthcare,Unit T10-157,50 Charlton Avenue East,Hamilton ON  L8N 4A6,(905) 522-1155</t>
  </si>
  <si>
    <t>98909</t>
  </si>
  <si>
    <t>Saba University School of Medicine, 2012</t>
  </si>
  <si>
    <t>Department of Psychiatry,North Bay Regional Health Centre,50 College Drive,North Bay ON  P1B 0A4</t>
  </si>
  <si>
    <t>First certificate of registration issued: Pre Entry Assessment Program Certificate||Effective:   01 Jul 2012
Transfer of class of registration to: Postgraduate Education Certificate||Effective:   23 Sep 2012
Expired: Terms and conditions of certificate of registration||Expiry:      11 Sep 2015
Subsequent certificate of registration issued: Restricted certificate||Effective:   12 Sep 2015
Terms and conditions amended by Registration Committee||Effective:   01 Jul 2016
Expired: Terms and conditions imposed on certificate by Registration Committee||Effective:   30 Jun 2017
Subsequent certificate of registration Issued: Independent Practice Certificate||Effective:   30 Jun 2017</t>
  </si>
  <si>
    <t>Dr. G. Jeyarajan Medicine Professional Corporation</t>
  </si>
  <si>
    <t>Issued Date:  Jan 17 2018</t>
  </si>
  <si>
    <t>Dr. G. Jeyarajan (CPSO# 98909)</t>
  </si>
  <si>
    <t>North Bay Regional Health Centre,Department of Psychiatry,50 College Drive,North Bay ON  P1B 5A4,(705) 474-8600</t>
  </si>
  <si>
    <t>52088</t>
  </si>
  <si>
    <t xml:space="preserve">Active Member as of 26 Oct 1982 </t>
  </si>
  <si>
    <t xml:space="preserve">Independent Practice as of 19 Jan 1984 </t>
  </si>
  <si>
    <t>McGill University, 1978</t>
  </si>
  <si>
    <t>(613) 722-6521 Ext. 6288</t>
  </si>
  <si>
    <t>First certificate of registration issued: Postgraduate Education Certificate||Effective:   26 Oct 1982
Transfer of class of registration to: Hospital Practice Certificate||Effective:   25 Feb 1983
Transfer of class of registration to: Independent Practice Certificate||Effective:   19 Jan 1984</t>
  </si>
  <si>
    <t>Dr. Gail Beck Medicine Professional Corporation</t>
  </si>
  <si>
    <t>Issued Date:  Nov 28 2005</t>
  </si>
  <si>
    <t>Dr. G. Beck (CPSO# 52088)</t>
  </si>
  <si>
    <t>78650</t>
  </si>
  <si>
    <t xml:space="preserve">Independent Practice as of 13 Jan 2009 </t>
  </si>
  <si>
    <t>University of Cairo, 1980</t>
  </si>
  <si>
    <t>Toronto Addiction Treatment Clinics,28 Langstaff Rd E,Thornhill,On,Thornhill ON  L3T 3P8</t>
  </si>
  <si>
    <t>(905) 709-9955</t>
  </si>
  <si>
    <t>Toronto Addiction Treatment Clinics,4972 Dundas st. west,Etobicoke ON  M9A 1B7,Canada,Phone:4162330404,County:City of Toronto,Electoral District:10</t>
  </si>
  <si>
    <t>Psychiatry||Effective: 01 Mar 2008||RCPSC Specialist</t>
  </si>
  <si>
    <t>The University of Western Ontario, 01 Nov 2002  to 01 May 2003|International Specialist Physician - Psychiatry
The University of Western Ontario, 02 May 2003  to 01 May 2004|PostGrad Yr 5 - Psychiatry</t>
  </si>
  <si>
    <t>First certificate of registration issued: Postgraduate Education Certificate||Effective:   01 Nov 2002
Expired: Terms and conditions of certificate of registration||Expiry:      01 May 2004
Subsequent certificate of registration issued: Restricted certificate||Effective:   08 Jun 2004
Terms and conditions amended by Registration Committee||Effective:   24 Aug 2007
Expired: Terms and conditions imposed on certificate by Registration Committee||Effective:   13 Jan 2009
Subsequent certificate of registration Issued: Independent Practice Certificate||Effective:   13 Jan 2009</t>
  </si>
  <si>
    <t>Dr. Gamal Salama Medicine Professional Corporation</t>
  </si>
  <si>
    <t>Dr. G. Salama (CPSO# 78650)</t>
  </si>
  <si>
    <t>Humber River Hospital,1235 Wilson Avenue,Toronto ON  M3M 0B2,(416) 242-1000
28 Langstaff Road East,28 Langstaff Road East,Markham ON  L3T 3P8,(905) 709-9955</t>
  </si>
  <si>
    <t>54497</t>
  </si>
  <si>
    <t xml:space="preserve">Independent Practice as of 06 Aug 1986 </t>
  </si>
  <si>
    <t>Armenian, English, Persian</t>
  </si>
  <si>
    <t>University of Karachi, 1980</t>
  </si>
  <si>
    <t>70 colony farm road,coquitlam BC  V3C 5X9</t>
  </si>
  <si>
    <t>(604) 524-7923</t>
  </si>
  <si>
    <t>(604)523-7896</t>
  </si>
  <si>
    <t>British Columbia
USA - Arizona
USA - California
USA - Nevada
USA - Virginia
USA - Washington</t>
  </si>
  <si>
    <t>Psychiatry||Effective: 10 Jun 1991||RCPSC Specialist</t>
  </si>
  <si>
    <t>University of Toronto, 01 Jul 1990  to 30 Jun 1991|Clinical Fellow - Psychiatry</t>
  </si>
  <si>
    <t>First certificate of registration issued: Postgraduate Education Certificate||Effective:   01 Jul 1984
Transfer of class of registration to: Independent Practice Certificate||Effective:   06 Aug 1986</t>
  </si>
  <si>
    <t>27726</t>
  </si>
  <si>
    <t xml:space="preserve">Active Member as of 19 Aug 1975 </t>
  </si>
  <si>
    <t xml:space="preserve">Restricted as of 04 Oct 2010 </t>
  </si>
  <si>
    <t>1-121 Old Forest Hill Rd,Toronto ON  M5N 2N6</t>
  </si>
  <si>
    <t>(416) 488-5189</t>
  </si>
  <si>
    <t>(416) 486-8468</t>
  </si>
  <si>
    <t>Psychiatry||Effective: 21 Nov 1978||RCPSC Specialist</t>
  </si>
  <si>
    <t>First certificate of registration issued: Postgraduate Education Certificate||Effective:   01 Jul 1974
Transfer of class of registration to: Independent Practice Certificate||Effective:   19 Aug 1975
Transfer of class of certificate to: Restricted certificate||Effective:   04 Oct 2010
Terms and conditions imposed on certificate by Inquiries, Complaints and Repo||Effective:   04 Oct 2010
Terms and conditions amended by Discipline Committee||Effective:   18 Dec 2012
Terms and conditions amended by member||Effective:   27 Apr 2017</t>
  </si>
  <si>
    <t>Dr. G. Y. Shomair Medicine Professional Corporation</t>
  </si>
  <si>
    <t>Issued Date:  Jul 27 2006</t>
  </si>
  <si>
    <t>Dr. G. Shomair (CPSO# 27726)</t>
  </si>
  <si>
    <t>1-121 Old Forest Hill Road,Toronto ON  M5N 2N6,(416) 488-5189</t>
  </si>
  <si>
    <t>56099</t>
  </si>
  <si>
    <t xml:space="preserve">Independent Practice as of 22 Jul 1986 </t>
  </si>
  <si>
    <t>University of Cape Town, 1979</t>
  </si>
  <si>
    <t>St. Joseph's Health Care,Centre For Mountain Services,100 West 5th Street  Box 585,Hamilton ON  L8N 3K7</t>
  </si>
  <si>
    <t>(905) 522-1155 Ext. 35424</t>
  </si>
  <si>
    <t>(905) 381-5606</t>
  </si>
  <si>
    <t>South Africa
United Kingdom</t>
  </si>
  <si>
    <t>First certificate of registration issued: Postgraduate Education Certificate||Effective:   01 Jul 1985
Transfer of class of registration to: Independent Practice Certificate||Effective:   22 Jul 1986</t>
  </si>
  <si>
    <t>51490</t>
  </si>
  <si>
    <t xml:space="preserve">Active Member as of 10 Sep 1984 </t>
  </si>
  <si>
    <t xml:space="preserve">Independent Practice as of 09 Sep 1996 </t>
  </si>
  <si>
    <t>(416) 535-8501 Ext. 34750</t>
  </si>
  <si>
    <t>(416) 979-4292</t>
  </si>
  <si>
    <t>University of Toronto, 15 Jun 1980  to 14 Jun 1981|Resident 1 - Internal Medicine
University of Toronto, 01 Jul 1981  to 30 Jun 1982|Resident 2 - Psychiatry
University of Toronto, 01 Jul 1982  to 30 Jun 1983|Resident 3 - Psychiatry
University of Toronto, 01 Jul 1983  to 30 Jun 1984|Resident 4 - Psychiatry
University of Toronto, 10 Sep 1984  to 31 Dec 1984|Clinical Fellow - Psychiatry</t>
  </si>
  <si>
    <t>First certificate of registration issued: Postgraduate Education Certificate||Effective:   15 Jun 1980
Expired: Terms and conditions of certificate of registration||Expiry:      30 Jun 1984
Subsequent certificate of registration Issued: Postgraduate Education Certificate||Effective:   10 Sep 1984
Transfer of class of registration to: Academic Practice Certificate||Effective:   10 Dec 1984
Transfer of class of registration to: Independent Practice Certificate||Effective:   09 Sep 1996</t>
  </si>
  <si>
    <t>Dr. Gary Remington Medicine Professional Corporation</t>
  </si>
  <si>
    <t>Issued Date:  Oct 22 2008</t>
  </si>
  <si>
    <t>Dr. G. Remington (CPSO# 51490)</t>
  </si>
  <si>
    <t>250 College Street,Toronto ON  M5T 1R8,(416) 535-8501</t>
  </si>
  <si>
    <t>43872</t>
  </si>
  <si>
    <t>St. Joseph's Healthcare Hamilton,Centre for Mountain Health Services,100 West 5th Street,Hamilton ON  L8N 3K7</t>
  </si>
  <si>
    <t>(905) 522-1155 Ext. 35448</t>
  </si>
  <si>
    <t>First certificate of registration issued: Postgraduate Education Certificate||Effective:   01 Jul 1977
Expired: Terms and conditions of certificate of registration||Expiry:      30 Jun 1978
Subsequent certificate of registration Issued: Postgraduate Education Certificate||Effective:   01 Jul 1980
Expired: Terms and conditions of certificate of registration||Expiry:      30 Jun 1981
Subsequent certificate of registration Issued: Independent Practice Certificate||Effective:   27 Sep 1985</t>
  </si>
  <si>
    <t>27164</t>
  </si>
  <si>
    <t xml:space="preserve">Active Member as of 31 Dec 1974 </t>
  </si>
  <si>
    <t xml:space="preserve">Independent Practice as of 31 Dec 1974 </t>
  </si>
  <si>
    <t>Department of Supportive Care,Toronto ON  M5G 2M9</t>
  </si>
  <si>
    <t>(416) 946-4504</t>
  </si>
  <si>
    <t>(416) 946-2047</t>
  </si>
  <si>
    <t>First certificate of registration issued: Postgraduate Education Certificate||Effective:   01 Jul 1970
Transfer of class of registration to: Independent Practice Certificate||Effective:   31 Dec 1974
Expired: Resigned from membership.||Expiry:      14 Aug 1975
Subsequent certificate of registration Issued: Independent Practice Certificate||Effective:   16 Jun 1976</t>
  </si>
  <si>
    <t>Gary Michael Rodin Medicine Professional Corporation</t>
  </si>
  <si>
    <t>Issued Date:  Dec 02 2009</t>
  </si>
  <si>
    <t>Dr. D. Rodin (CPSO# 98171),Dr. G. Rodin (CPSO# 27164)</t>
  </si>
  <si>
    <t>Department of Psychosocial Oncology,and Palliative Care,Princess Margaret Hospital,Suite 16-724  610 University Avenue,Toronto ON  M5G 2M9,(416) 946-4504</t>
  </si>
  <si>
    <t>76050</t>
  </si>
  <si>
    <t>The University of Western Ontario, 2001</t>
  </si>
  <si>
    <t>The Ottawa Hospital Civic Campus,Department of Psychiatry,1053 Carling Avenue - D6,Ottawa ON  K1Y 4E9</t>
  </si>
  <si>
    <t>(613) 798-5555 Ext. 18229</t>
  </si>
  <si>
    <t>1980 Ogilvie Road,Ottawa ON  K1J 9L3,Canada,Phone:613-701-1222,Fax:613-701-1223,County:Regional Municipality of Ottawa-Carleton,Electoral District:07
Elisabeth Bruyere Hospital,Saint-Vincent Site,Ottawa ON  K1R 7A5,Canada,Phone:613-562-6262,Fax:613-782-2724,County:Regional Municipality of Ottawa-Carleton,Electoral District:07</t>
  </si>
  <si>
    <t>Bruyere Continuing Care-St Vincent Hospital Site:Ottawa
Ottawa Hospital,Civic Site:Ottawa</t>
  </si>
  <si>
    <t>University of Ottawa, 01 Jul 2001  to 30 Jun 2002|PostGrad Yr 1 - Neurology
University of Ottawa, 01 Jul 2002  to 30 Jun 2003|PostGrad Yr 2 - Neurology
University of Ottawa, 01 Jul 2003  to 30 Jun 2004|PostGrad Yr 3 - Psychiatry
University of Ottawa, 01 Jul 2004  to 30 Jun 2005|PostGrad Yr 4 - Psychiatry
University of Ottawa, 01 Jul 2005  to 30 Jun 2006|PostGrad Yr 5 - Psychiatry</t>
  </si>
  <si>
    <t>G. P. Kay Medicine Professional Corporation</t>
  </si>
  <si>
    <t>Issued Date:  Dec 14 2015</t>
  </si>
  <si>
    <t>Dr. G. Kay (CPSO# 76050)</t>
  </si>
  <si>
    <t>The Ottawa Hospital Civic Campus,Department of Psychiatry,D6-1053 Carling Avenue,Ottawa ON  K1Y 4E9,(613) 798-5555
1980 Ogilvie Road,1980 Ogilvie Road,Unit 216,Ottawa ON  K1J 9L3,(613) 701-1222
Elisabeth Bruyere Hospital,Elisabeth Bruyere Hospital,Saint-Vincent Hospital Site,60 Cambridge Street North,Ottawa ON  K1R 7A5,(613) 562-6262</t>
  </si>
  <si>
    <t>29238</t>
  </si>
  <si>
    <t xml:space="preserve">Active Member as of 24 Jun 1977 </t>
  </si>
  <si>
    <t xml:space="preserve">Independent Practice as of 24 Jun 1977 </t>
  </si>
  <si>
    <t>Suite 102,300 St Clair Avenue West,Toronto ON  M4V 1S4</t>
  </si>
  <si>
    <t>(416) 969-9795</t>
  </si>
  <si>
    <t>Psychiatry||Effective: 01 Jan 1978||RCPSC Specialist</t>
  </si>
  <si>
    <t>First certificate of registration issued: Postgraduate Education Certificate||Effective:   22 Jun 1973
Expired: Terms and conditions of certificate of registration||Expiry:      21 Jun 1974
Subsequent certificate of registration Issued: Independent Practice Certificate||Effective:   24 Jun 1977</t>
  </si>
  <si>
    <t>Dr. Gary Taerk Medicine Professional Corporation</t>
  </si>
  <si>
    <t>Issued Date:  May 02 2011</t>
  </si>
  <si>
    <t>Dr. G. Taerk (CPSO# 29238)</t>
  </si>
  <si>
    <t>Suite 102,300 St. Clair Avenue West,Toronto ON  M4V 1S4,(416) 969-9795
200 Elizabeth Street,200 Elizabeth Street,Toronto ON  M5G 2C4</t>
  </si>
  <si>
    <t>102148</t>
  </si>
  <si>
    <t xml:space="preserve">Independent Practice as of 07 Nov 2016 </t>
  </si>
  <si>
    <t>College of Medical Sciences, 2000</t>
  </si>
  <si>
    <t>Southlake Regional Health Centre,Department of Psychiatry,596 Davis Drive,Newmarket ON  L3Y 2P9</t>
  </si>
  <si>
    <t>(905) 8954521</t>
  </si>
  <si>
    <t>905 830 5977</t>
  </si>
  <si>
    <t>First certificate of registration issued: Restricted certificate||Effective:   25 Sep 2013
Terms and conditions imposed on certificate by Registration Committee||Effective:   25 Sep 2013
Expiry date attached to certificate of registration.||Expiry Date: 24 Sep 2016
Terms and conditions amended by Registration Committee||Effective:   21 Sep 2016
Expired: Terms and conditions imposed on certificate by Registration Committee||Effective:   07 Nov 2016
Subsequent certificate of registration Issued: Independent Practice Certificate||Effective:   07 Nov 2016</t>
  </si>
  <si>
    <t>Dr. Gaurav Mehta Medicine Professional Corporation</t>
  </si>
  <si>
    <t>Issued Date:  Jan 03 2014</t>
  </si>
  <si>
    <t>Dr. G. Mehta (CPSO# 102148)</t>
  </si>
  <si>
    <t>Southlake Regional Health Centre,Department of Psychiatry,West Building, 5th Floor,596 Davis Drive,Newmarket ON  L3Y 2P9,(905) 895-4521</t>
  </si>
  <si>
    <t>84925</t>
  </si>
  <si>
    <t>English, Malay, Tamil</t>
  </si>
  <si>
    <t>The University of Manitoba, 2005</t>
  </si>
  <si>
    <t>Peterborough Regional Health Centre,Department of Psychiatry,1 Hospital Dr,Peterborough ON  K9J 7C6</t>
  </si>
  <si>
    <t>Family Medicine||Effective: 18 Jun 2008||CFPC Specialist
Psychiatry||Effective: 30 Jun 2018||RCPSC Specialist</t>
  </si>
  <si>
    <t>McMaster University, 01 Jul 2006  to 30 Jul 2007|PostGrad Yr 1 - Family Medicine
McMaster University, 01 Jul 2007  to 30 Jun 2008|PostGrad Yr 2 - Family Medicine
McMaster University, 01 Sep 2008  to 31 Aug 2009|PostGrad Yr 3 - Family Medicine
McMaster University, 01 Sep 2009  to 30 Sep 2009|PostGrad Yr 3 - Family Medicine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t>
  </si>
  <si>
    <t>First certificate of registration issued: Postgraduate Education Certificate||Effective:   01 Jul 2006
Expired: Terms and conditions of certificate of registration||Expiry:      30 Jun 2008
Subsequent certificate of registration Issued: Independent Practice Certificate||Effective:   01 Aug 2008
Transfer of class of registration to: Postgraduate Education Certificate||Effective:   02 Jul 2015
Transfer of class of registration to: Independent Practice Certificate||Effective:   30 Jun 2018</t>
  </si>
  <si>
    <t>76101</t>
  </si>
  <si>
    <t xml:space="preserve">Active Member as of 01 Nov 2007 </t>
  </si>
  <si>
    <t xml:space="preserve">Independent Practice as of 01 Nov 2007 </t>
  </si>
  <si>
    <t>First certificate of registration issued: Postgraduate Education Certificate||Effective:   01 Jul 2001
Expired: Terms and conditions of certificate of registration||Expiry:      30 Jun 2006
Subsequent certificate of registration Issued: Independent Practice Certificate||Effective:   01 Nov 2007</t>
  </si>
  <si>
    <t>Gayla Tennen Medicine Professional Corporation</t>
  </si>
  <si>
    <t>Issued Date:  Dec 11 2007</t>
  </si>
  <si>
    <t>Dr. G. Tennen (CPSO# 76101)</t>
  </si>
  <si>
    <t>Sunnybrook Health Sciences Centre,Department of Psychiatry,2075 Bayview Avenue,Toronto ON  M4N 3M5,(416) 480-5836</t>
  </si>
  <si>
    <t>52407</t>
  </si>
  <si>
    <t xml:space="preserve">Independent Practice as of 14 Jul 1987 </t>
  </si>
  <si>
    <t>Medical Arts Building,1 Young Street,Suite 611,Hamilton ON  L8N 1T8</t>
  </si>
  <si>
    <t>(905) 929-9941</t>
  </si>
  <si>
    <t>First certificate of registration issued: Postgraduate Education Certificate||Effective:   01 Jul 1983
Transfer of class of registration to: Independent Practice Certificate||Effective:   14 Jul 1987</t>
  </si>
  <si>
    <t>G. Bigelow Medicine Professional Corporation</t>
  </si>
  <si>
    <t>Dr. G. Bigelow (CPSO# 52407)</t>
  </si>
  <si>
    <t>1390 Main Street East,Hamilton ON  L8K 1C1
611 - 1 Young Street,611 - 1 Young Street,Hamilton ON  L8N 1T8,(905) 929-9941</t>
  </si>
  <si>
    <t>96496</t>
  </si>
  <si>
    <t xml:space="preserve">Active Member as of 04 Jul 2011 </t>
  </si>
  <si>
    <t>Olabisi Onabanjo University, 2004</t>
  </si>
  <si>
    <t>St. Joseph's Healthcare Hamilton,West 5th Campus,100 West 5th Street,Hamilton ON  L9C 0E3</t>
  </si>
  <si>
    <t>905-522-1155 Ext. 39055</t>
  </si>
  <si>
    <t>Nigeria</t>
  </si>
  <si>
    <t>Queen's University, 01 Jul 2011  to 22 Sep 2011|Assessment Verification Period - Psychiatry
Queen's University, 23 Sep 2011  to 30 Jun 2012|PostGrad Yr 1 - Psychiatry
Queen's University, 01 Jul 2012  to 30 Jun 2013|PostGrad Yr 2 - Psychiatry
Queen's University, 01 Jul 2013  to 30 Jun 2014|PostGrad Yr 3 - Psychiatry
Queen's University, 01 Jul 2014  to 30 Jun 2015|PostGrad Yr 4 - Psychiatry
Queen's University, 01 Jul 2015  to 30 Jun 2016|PostGrad Yr 5 - Psychiatry
McMaster University, 01 Sep 2016  to 30 Jun 2017|Clinical Fellow - Psychiatry
McMaster University, 01 Jul 2017  to 31 Aug 2017|Clinical Fellow - Psychiatry</t>
  </si>
  <si>
    <t>First certificate of registration issued: Pre Entry Assessment Program Certificate||Effective:   04 Jul 2011
Transfer of class of registration to: Postgraduate Education Certificate||Effective:   23 Sep 2011
Transfer of class of registration to: Independent Practice Certificate||Effective:   30 Jun 2016</t>
  </si>
  <si>
    <t>58710</t>
  </si>
  <si>
    <t xml:space="preserve">Active Member as of 03 Jul 1990 </t>
  </si>
  <si>
    <t xml:space="preserve">Independent Practice as of 27 Aug 1990 </t>
  </si>
  <si>
    <t>Amharic, English, Eritrean</t>
  </si>
  <si>
    <t>Addis Ababa University, 1975</t>
  </si>
  <si>
    <t>100 Stokes Street,Toronto ON  M6J 1H4</t>
  </si>
  <si>
    <t>(416) 535-8501 Ext. 32254</t>
  </si>
  <si>
    <t>(416) 979-6864</t>
  </si>
  <si>
    <t>455 Spadina ave. Suite #210,Toronto ON  M5S 2G8,Canada,Phone:(416) 535-8501 Ext. 32254,County:City of Toronto,Electoral District:10</t>
  </si>
  <si>
    <t>First certificate of registration issued: Postgraduate Education Certificate||Effective:   01 Jul 1987
Expired: Terms and conditions of certificate of registration||Expiry:      30 Jun 1990
Subsequent certificate of registration Issued: Hospital Practice Certificate||Effective:   03 Jul 1990
Transfer of class of registration to: Independent Practice Certificate||Effective:   27 Aug 1990</t>
  </si>
  <si>
    <t>Gebrehiwot Abraham Medicine Professional Corporation</t>
  </si>
  <si>
    <t>Issued Date:  Nov 18 2009</t>
  </si>
  <si>
    <t>Dr. G. Abraham (CPSO# 58710)</t>
  </si>
  <si>
    <t>250 College Street,Toronto ON  M5T 1R8,(416) 535-8501
100 Stokes Street,100 Stokes Street,Toronto ON  M6J 1H4,(416) 535-8501</t>
  </si>
  <si>
    <t>87361</t>
  </si>
  <si>
    <t xml:space="preserve">Active Member as of 10 Sep 2012 </t>
  </si>
  <si>
    <t xml:space="preserve">Independent Practice as of 10 Sep 2012 </t>
  </si>
  <si>
    <t>University of Sherbrooke, 2007</t>
  </si>
  <si>
    <t>The Ottawa Hospital General Campus,Department of Psychiatry,501 Smyth Road,Ottawa ON  K1H 8L6</t>
  </si>
  <si>
    <t>(613) 737-8899</t>
  </si>
  <si>
    <t>University of Ottawa, 01 Jul 2007  to 30 Jun 2008|PostGrad Yr 1 - Psychiatry
University of Ottawa, 01 Jul 2008  to 30 Jun 2009|PostGrad Yr 2 - Psychiatry
University of Ottawa, 01 Jul 2009  to 30 Jun 2010|PostGrad Yr 3 - Psychiatry
University of Ottawa, 01 Jul 2010  to 30 Jun 2011|PostGrad Yr 4 - Psychiatry
University of Ottawa, 01 Jul 2011  to 30 Jun 2012|PostGrad Yr 5 - Psychiatry
University of Toronto, 01 Oct 2012  to 30 Jun 2013|Clinical Fellow - Psychiatry
University of Toronto, 01 Jul 2013  to 30 Sep 2013|Clinical Fellow - Psychiatry</t>
  </si>
  <si>
    <t>First certificate of registration issued: Postgraduate Education Certificate||Effective:   01 Jul 2007
Expired: Terms and conditions of certificate of registration||Expiry:      30 Jun 2012
Subsequent certificate of registration Issued: Independent Practice Certificate||Effective:   10 Sep 2012</t>
  </si>
  <si>
    <t>Genevieve Proulx Medicine Professional Corporation</t>
  </si>
  <si>
    <t>Issued Date:  Dec 19 2014</t>
  </si>
  <si>
    <t>Dr. G. Proulx (CPSO# 87361)</t>
  </si>
  <si>
    <t>The Ottawa Hospital,General Campus,Department of Psychiatry,501 Smyth Road,Ottawa ON  K1H 8L6,(613) 737-8899</t>
  </si>
  <si>
    <t>58212</t>
  </si>
  <si>
    <t xml:space="preserve">Active Member as of 27 Jun 1988 </t>
  </si>
  <si>
    <t xml:space="preserve">Independent Practice as of 27 Jun 1988 </t>
  </si>
  <si>
    <t>Waypoint,Bayfield Building,500 Church Street,Penetanguishene ON  L9M 1G3</t>
  </si>
  <si>
    <t>(877) 341-4729</t>
  </si>
  <si>
    <t>University of Toronto, 15 Jun 1987  to 13 Jun 1988|Other - Rotating Internship
University of Toronto, 01 Jul 1989  to 30 Jun 1990|Resident 1 - Psychiatry
University of Toronto, 01 Jul 1990  to 30 Jun 1991|Resident 2 - Psychiatry
University of Toronto, 01 Jul 1991  to 30 Jun 1992|Resident 3 - Psychiatry
University of Toronto, 01 Jul 1992  to 30 Jun 1993|Resident 4 - Psychiatry</t>
  </si>
  <si>
    <t>First certificate of registration issued: Postgraduate Education Certificate||Effective:   15 Jun 1987
Expired: Terms and conditions of certificate of registration||Expiry:      13 Jun 1988
Subsequent certificate of registration Issued: Independent Practice Certificate||Effective:   27 Jun 1988</t>
  </si>
  <si>
    <t>Geoff Daniel Medicine Professional Corporation</t>
  </si>
  <si>
    <t>Issued Date:  Aug 05 2011</t>
  </si>
  <si>
    <t>Dr. G. Daniel (CPSO# 58212)</t>
  </si>
  <si>
    <t>Waypoint,Bayfield Building,500 Church Street,Penetanguishene ON  L9M 1G3,(705) 549-3181</t>
  </si>
  <si>
    <t>19894</t>
  </si>
  <si>
    <t xml:space="preserve">Active Member as of 16 Jun 1966 </t>
  </si>
  <si>
    <t xml:space="preserve">Independent Practice as of 16 Jun 1966 </t>
  </si>
  <si>
    <t>University of Toronto, 1965</t>
  </si>
  <si>
    <t>Suite 226,89 Queensway West,Mississauga ON  L5B 2V2</t>
  </si>
  <si>
    <t>905-232-7001</t>
  </si>
  <si>
    <t>905-232-8002</t>
  </si>
  <si>
    <t>First certificate of registration issued: Postgraduate Education Certificate||Effective:   01 Jul 1965
Transfer of class of registration to: Independent Practice Certificate||Effective:   16 Jun 1966</t>
  </si>
  <si>
    <t>33788</t>
  </si>
  <si>
    <t xml:space="preserve">Active Member as of 04 Nov 1982 </t>
  </si>
  <si>
    <t xml:space="preserve">Independent Practice as of 04 Nov 1982 </t>
  </si>
  <si>
    <t>Dalhousie University, 1967</t>
  </si>
  <si>
    <t>CF Health Services Centre Ottawa,Mental Health Department,101 Colonel By Drive,Ottawa ON  K1A 0K2</t>
  </si>
  <si>
    <t>(613) 945-1060</t>
  </si>
  <si>
    <t>First certificate of registration issued: Independent Practice Certificate||Effective:   04 Nov 1982</t>
  </si>
  <si>
    <t>George A. Fraser Medicine Professional Corporation</t>
  </si>
  <si>
    <t>Issued Date:  Sep 13 2006</t>
  </si>
  <si>
    <t>Dr. G. Fraser (CPSO# 33788)</t>
  </si>
  <si>
    <t>Canadian Operational Trauma and Stress,Support Centre,101 Colonel By Drive,Ottawa ON  K1A 0K2,(613) 945-1015</t>
  </si>
  <si>
    <t>81176</t>
  </si>
  <si>
    <t>Dalhousie University, 2004</t>
  </si>
  <si>
    <t>CAMH,Room 738,250 College Street,Toronto ON  M5T 1R8</t>
  </si>
  <si>
    <t>(416) 535-8501 Ext. 34390</t>
  </si>
  <si>
    <t>University of Toronto, 01 Jul 2004  to 30 Jun 2005|PostGrad Yr 1 - Psychiatry
University of Toronto, 01 Jul 2005  to 30 Jun 2006|PostGrad Yr 2 - Psychiatry
University of Toronto, 01 Jul 2006  to 30 Jun 2007|PostGrad Yr 3 - Psychiatry
University of Toronto, 01 Jul 2007  to 30 Jun 2008|PostGrad Yr 4 - Clinician Investigator
University of Toronto, 01 Jul 2008  to 30 Jun 2009|PostGrad Yr 5 - Clinician Investigator
University of Toronto, 01 Jul 2009  to 30 Jun 2010|Clinical Fellow - Psychiatry
University of Toronto, 01 Jul 2010  to 30 Jun 2011|Clinical Fellow - Psychiatry
University of Toronto, 01 Jul 2011  to 30 Jun 2012|Clinical Fellow - Psychiatry
University of Toronto, 01 Jul 2012  to 31 Dec 2012|Clinical Fellow - Psychiatry</t>
  </si>
  <si>
    <t>63292</t>
  </si>
  <si>
    <t xml:space="preserve">Active Member as of 18 Dec 1990 </t>
  </si>
  <si>
    <t xml:space="preserve">Independent Practice as of 18 Dec 1990 </t>
  </si>
  <si>
    <t>McGill University, 1986</t>
  </si>
  <si>
    <t>Consent and Capacity Board,Toronto ON  M4V 2Y9</t>
  </si>
  <si>
    <t>416-988-0194</t>
  </si>
  <si>
    <t>First certificate of registration issued: Independent Practice Certificate||Effective:   18 Dec 1990</t>
  </si>
  <si>
    <t>19315</t>
  </si>
  <si>
    <t xml:space="preserve">Active Member as of 14 Sep 1964 </t>
  </si>
  <si>
    <t xml:space="preserve">Independent Practice as of 14 Sep 1964 </t>
  </si>
  <si>
    <t>Apartment 706,500 Avenue Road,Toronto ON  M4V 2J6</t>
  </si>
  <si>
    <t>(416) 966-3504</t>
  </si>
  <si>
    <t>First certificate of registration issued: Postgraduate Education Certificate||Effective:   21 Aug 1962
Transfer of class of registration to: Independent Practice Certificate||Effective:   14 Sep 1964</t>
  </si>
  <si>
    <t>88469</t>
  </si>
  <si>
    <t xml:space="preserve">Independent Practice as of 03 Oct 2013 </t>
  </si>
  <si>
    <t>University of Brussels, 2000</t>
  </si>
  <si>
    <t>PARKWOOD INSTITUTE,550 Wellington Road,G5,London ON  N6C 0A7</t>
  </si>
  <si>
    <t>519-646-6100</t>
  </si>
  <si>
    <t>LHSC,800 COMMISSIONERS RD EAST,London ON  N6A 5W9,Canada,Phone:(519) 6858500,County:County of Middlesex,Electoral District:02</t>
  </si>
  <si>
    <t>Psychiatry||Effective: 30 Aug 2013||RCPSC Specialist</t>
  </si>
  <si>
    <t>The University of Western Ontario, 01 Jul 2008  to 23 Sep 2008|Assessment Verification Period - Psychiatry
The University of Western Ontario, 24 Sep 2008  to 30 Jun 2009|PostGrad Yr 1 - Psychiatry
The University of Western Ontario, 01 Jul 2009  to 30 Jun 2010|PostGrad Yr 2 - Psychiatry
The University of Western Ontario, 01 Jul 2010  to 30 Jun 2011|PostGrad Yr 3 - Psychiatry
The University of Western Ontario, 01 Jul 2011  to 30 Jun 2012|PostGrad Yr 4 - Psychiatry
The University of Western Ontario, 01 Jul 2012  to 30 Jun 2013|PostGrad Yr 5 - Psychiatry
The University of Western Ontario, 01 Jul 2013  to 09 Oct 2013|PostGrad Yr 5 - Psychiatry</t>
  </si>
  <si>
    <t>First certificate of registration issued: Pre Entry Assessment Program Certificate||Effective:   01 Jul 2008
Transfer of class of registration to: Postgraduate Education Certificate||Effective:   24 Sep 2008
Transfer of class of registration to: Independent Practice Certificate||Effective:   03 Oct 2013</t>
  </si>
  <si>
    <t>93030</t>
  </si>
  <si>
    <t>The University of British Columbia, 2010</t>
  </si>
  <si>
    <t>C A M H,1001 Queen Street West,Unit 3-4,Toronto ON  M6J 1H4</t>
  </si>
  <si>
    <t>Peterborough Regional Health Centre,1 Hospital Dr.,Peterborough ON  K9J7C6,Canada,Phone:7047432121,County:County of Peterborough,Electoral District:06
1055 Yonge St.,Suite 301,Toronto ON  M4W2L2,Canada,Phone:4169013077,County:City of Toronto,Electoral District:10</t>
  </si>
  <si>
    <t>Centre for Addiction &amp; Mental Health,Queen Street Site:Toronto
Peterborough Regional Health Centre:Peterborough</t>
  </si>
  <si>
    <t>Psychiatry||Effective: 30 Jun 2015||RCPSC Specialist
Forensic Psychiatry||Effective: 27 Sep 2016||RCPSC Specialist</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</si>
  <si>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
University of Toronto, 01 Jul 2015  to 30 Jun 2016|PostGrad Yr 6 - Psychiatry</t>
  </si>
  <si>
    <t>Dr. Georgia Walton Medicine Professional Corporation</t>
  </si>
  <si>
    <t>Dr. G. Walton (CPSO# 93030)</t>
  </si>
  <si>
    <t>C A M H,Suite 3-4,1001 Queen Street West,Toronto ON  M6J 1H4,(416) 535-8501
Peterborough Regional Health Centre,Peterborough Regional Health Centre,1 Hospital Drive,Peterborough ON  K9J 7C6,(704) 743-2121</t>
  </si>
  <si>
    <t>77090</t>
  </si>
  <si>
    <t xml:space="preserve">Active Member as of 12 Jun 2009 </t>
  </si>
  <si>
    <t xml:space="preserve">Independent Practice as of 12 Jun 2009 </t>
  </si>
  <si>
    <t>Suite 104,1920 Yonge Street,Toronto ON  M4S 3E2</t>
  </si>
  <si>
    <t>(416) 481-8054</t>
  </si>
  <si>
    <t>(416) 481-8056</t>
  </si>
  <si>
    <t>Psychiatry||Effective: 21 Apr 2009||RCPSC Specialist</t>
  </si>
  <si>
    <t>University of Toronto, 01 Jul 2001  to 30 Jun 2002|PostGrad Yr 1 - Psychiatry
University of Toronto, 01 Jul 2002  to 30 Jun 2003|PostGrad Yr 2 - Psychiatry
University of Toronto, 01 Jul 2003  to 30 Jun 2004|PostGrad Yr 3 - Psychiatry
University of Toronto, 01 Jul 2004  to 30 Jun 2005|PostGrad Yr 4 - Psychiatry
University of Toronto, 01 Jul 2005  to 30 Jun 2006|PostGrad Yr 5 - Psychiatry
University of Toronto, 01 Jul 2006  to 30 Jun 2007|Clinical Fellow - Psychiatry
University of Toronto, 01 Jul 2007  to 30 Jun 2008|Clinical Fellow - Psychiatry</t>
  </si>
  <si>
    <t>First certificate of registration issued: Postgraduate Education Certificate||Effective:   25 Sep 2001
Expired: Terms and conditions of certificate of registration||Expiry:      30 Jun 2008
Subsequent certificate of registration Issued: Independent Practice Certificate||Effective:   12 Jun 2009</t>
  </si>
  <si>
    <t>Georgios Koutsoukos Medicine Professional Corporation</t>
  </si>
  <si>
    <t>Issued Date:  Jun 18 2009</t>
  </si>
  <si>
    <t>Dr. G. Koutsoukos (CPSO# 77090)</t>
  </si>
  <si>
    <t>104 - 1920 Yonge Street,Toronto ON  M4S 3E2,(416) 481-8054</t>
  </si>
  <si>
    <t>18026</t>
  </si>
  <si>
    <t xml:space="preserve">Active Member as of 14 Jul 1961 </t>
  </si>
  <si>
    <t xml:space="preserve">Independent Practice as of 14 Jul 1961 </t>
  </si>
  <si>
    <t>Centre for Addiction &amp; Mental Hlth,Clarke Site,250 College Street,Toronto ON  M5T 1R8</t>
  </si>
  <si>
    <t>(416) 979-6861</t>
  </si>
  <si>
    <t>Psychiatry||Effective: 01 Jan 1965||RCPSC Specialist</t>
  </si>
  <si>
    <t>First certificate of registration issued: Independent Practice Certificate||Effective:   14 Jul 1961</t>
  </si>
  <si>
    <t>54374</t>
  </si>
  <si>
    <t xml:space="preserve">Restricted as of 03 Feb 2014 </t>
  </si>
  <si>
    <t>University of Ottawa, 1984</t>
  </si>
  <si>
    <t>3162 Uplands Dr,Ottawa ON  K1V0A8</t>
  </si>
  <si>
    <t>613-594-0055</t>
  </si>
  <si>
    <t>University of Ottawa, 01 Jul 1984  to 30 Jun 1985|Other - Rotating Internship
University of Ottawa, 01 Jul 1985  to 30 Jun 1986|Resident 1 - Psychiatry
University of Ottawa, 01 Jul 1986  to 30 Jun 1987|Resident 2 - Psychiatry
University of Ottawa, 01 Jul 1987  to 30 Jun 1988|Resident 3 - Psychiatry
University of Ottawa, 01 Jul 1988  to 30 Jun 1989|Resident 3 - Psychiatry
University of Ottawa, 01 Jul 1989  to 30 Jun 1990|Resident 4 - Psychiatry</t>
  </si>
  <si>
    <t>First certificate of registration issued: Postgraduate Education Certificate||Effective:   01 Jul 1984
Transfer of class of registration to: Independent Practice Certificate||Effective:   30 Apr 1987
Transfer of class of certificate to: Restricted certificate||Effective:   03 Feb 2014
Terms and conditions imposed on certificate by Discipline Committee||Effective:   03 Feb 2014
Suspension of registration imposed: Discipline Committee||Effective:   03 Feb 2014
Suspension of registration removed||Effective:   03 Nov 2014
Terms and conditions amended by Discipline Committee||Effective:   10 Jan 2017
Suspension of registration imposed: Discipline Committee||Effective:   10 Jan 2017
Suspension of registration removed||Effective:   10 May 2017</t>
  </si>
  <si>
    <t>21852</t>
  </si>
  <si>
    <t xml:space="preserve">Active Member as of 22 Apr 1969 </t>
  </si>
  <si>
    <t xml:space="preserve">Independent Practice as of 22 Apr 1969 </t>
  </si>
  <si>
    <t>Sunnybrook Health Sciences Centre,FG63 - 2075 Bayview Ave,Toronto ON  M4N 3M5</t>
  </si>
  <si>
    <t>(416) 480-5677</t>
  </si>
  <si>
    <t>First certificate of registration issued: Postgraduate Education Certificate||Effective:   01 Jul 1968
Transfer of class of registration to: Independent Practice Certificate||Effective:   22 Apr 1969</t>
  </si>
  <si>
    <t>G.E. Robinson Medicine Professional Corporation</t>
  </si>
  <si>
    <t>Issued Date:  Nov 15 2007</t>
  </si>
  <si>
    <t>Dr. G. Robinson (CPSO# 21852)</t>
  </si>
  <si>
    <t>FG63 - 2075 Bayview Avenue,Toronto ON  M4N 3M5,(416) 480-5677</t>
  </si>
  <si>
    <t>58711</t>
  </si>
  <si>
    <t xml:space="preserve">Active Member as of 20 Aug 2008 </t>
  </si>
  <si>
    <t xml:space="preserve">Independent Practice as of 20 Aug 2008 </t>
  </si>
  <si>
    <t>Suite 230,4600 Highway 7,Woodbridge ON  L4L 4Y7</t>
  </si>
  <si>
    <t>(647) 227-3745</t>
  </si>
  <si>
    <t>(905)850-7919</t>
  </si>
  <si>
    <t>300 John Street,Thornhill ON  L3T 5W4,Canada,County:Regional Municipality of York,Electoral District:05</t>
  </si>
  <si>
    <t>University of Toronto, 01 Jul 1987  to 31 Dec 1989|Resident 2 - Psychiatry
University of Toronto, 01 Jan 1990  to 30 Jun 1990|Resident 3 - Psychiatry
Queen's University, 01 Jul 1992  to 30 Jun 1993|Resident 2 - Psychiatry
Queen's University, 01 Jul 1993  to 31 Dec 1993|Resident 3 - Psychiatry
Queen's University, 01 Jan 1994  to 31 Dec 1994|Resident 4 - Psychiatry
Queen's University, 01 Jan 1995  to 30 Jun 1995|Resident 4 - Psychiatry</t>
  </si>
  <si>
    <t>First certificate of registration issued: Postgraduate Education Certificate||Effective:   01 Jul 1987
Transfer of class of registration to: Independent Practice Certificate||Effective:   16 Jul 1987
Expired: Failure to Renew Membership||Expiry:      09 Aug 2008
Subsequent certificate of registration Issued: Independent Practice Certificate||Effective:   20 Aug 2008</t>
  </si>
  <si>
    <t>Dr. G. Kimmons Medicine Professional Corporation</t>
  </si>
  <si>
    <t>Issued Date:  Sep 27 2005</t>
  </si>
  <si>
    <t>Dr. G. Kimmons (CPSO# 58711)</t>
  </si>
  <si>
    <t>4600 Highway 7,Suite 230,Vaughan ON  L4L 4Y7,(647) 227-3745</t>
  </si>
  <si>
    <t>52896</t>
  </si>
  <si>
    <t xml:space="preserve">Independent Practice as of 28 May 1986 </t>
  </si>
  <si>
    <t>Queen's University, 1983</t>
  </si>
  <si>
    <t>(416) 972-1931</t>
  </si>
  <si>
    <t>(416) 972-7690</t>
  </si>
  <si>
    <t>USA - Arizona
USA - California</t>
  </si>
  <si>
    <t>The University of Western Ontario, 15 Jun 1983  to 15 Jun 1984|Other - Rotating Internship
University of Toronto, 01 Jul 1984  to 30 Jun 1985|Resident 1 - Psychiatry
University of Toronto, 01 Jul 1985  to 30 Jun 1986|Resident 2 - Psychiatry
University of Toronto, 01 Jul 1986  to 30 Jun 1987|Resident 3 - Psychiatry
University of Toronto, 01 Jul 1987  to 30 Jun 1988|Resident 4 - Psychiatry
University of Toronto, 01 Jul 1988  to 30 Jun 1989|Clinical Fellow - Psychiatry
University of Toronto, 01 Jul 1989  to 30 Jun 1990|Clinical Fellow - Psychiatry</t>
  </si>
  <si>
    <t>First certificate of registration issued: Postgraduate Education Certificate||Effective:   15 Jun 1983
Transfer of class of registration to: Independent Practice Certificate||Effective:   28 May 1986</t>
  </si>
  <si>
    <t>61966</t>
  </si>
  <si>
    <t xml:space="preserve">Active Member as of 06 Jan 2002 </t>
  </si>
  <si>
    <t>R R 1,110 Kilmarnock Road,Smiths Falls ON  K7A 5B8</t>
  </si>
  <si>
    <t>(613) 284-2361</t>
  </si>
  <si>
    <t>(613) 284-2551</t>
  </si>
  <si>
    <t>University of Ottawa, 01 Jul 1990  to 30 Jun 1991|Resident 2 - Psychiatry
University of Ottawa, 01 Jul 1991  to 30 Jun 1992|Resident 3 - Psychiatry
University of Ottawa, 01 Jul 1992  to 30 Jun 1993|Resident 4 - Psychiatry</t>
  </si>
  <si>
    <t>First certificate of registration issued: Postgraduate Education Certificate||Effective:   01 Jul 1990
Transfer of class of registration to: Independent Practice Certificate||Effective:   23 Jul 1991
Suspension of registration imposed: Discipline Committee||Effective:   06 Oct 2001
Suspension of registration removed||Effective:   06 Jan 2002</t>
  </si>
  <si>
    <t>Dr. Gerasimos Kambites Medicine Professional Corporation</t>
  </si>
  <si>
    <t>Issued Date:  Apr 23 2013</t>
  </si>
  <si>
    <t>Dr. G. Kambites (CPSO# 61966)</t>
  </si>
  <si>
    <t>RR 1,110 Kilmarnock Road,Smiths Falls ON  K7A 5B8,(613) 284-2361</t>
  </si>
  <si>
    <t>76965</t>
  </si>
  <si>
    <t xml:space="preserve">Active Member as of 10 Aug 2001 </t>
  </si>
  <si>
    <t xml:space="preserve">Independent Practice as of 10 Aug 2001 </t>
  </si>
  <si>
    <t>Dalhousie University, 1995</t>
  </si>
  <si>
    <t>(705) 549-3181 Ext. 2666</t>
  </si>
  <si>
    <t>Ontario Shores,500 Gordon St,Whitby ON  L1N 5S9,Canada,Phone:(905) 668-5881,County:Regional Municipality of Durham,Electoral District:05</t>
  </si>
  <si>
    <t>Psychiatry||Effective: 21 Aug 2000||RCPSC Specialist
Forensic Psychiatry||Effective: 26 Sep 2013||RCPSC Specialist</t>
  </si>
  <si>
    <t>First certificate of registration issued: Independent Practice Certificate||Effective:   10 Aug 2001</t>
  </si>
  <si>
    <t>Dr. Gertrude Eayrs Medicine Professional Corporation</t>
  </si>
  <si>
    <t>Issued Date:  Nov 26 2009</t>
  </si>
  <si>
    <t>Dr. G. Eayrs (CPSO# 76965)</t>
  </si>
  <si>
    <t>Waypoint Centre,Unit 2656,500 Church Street,Penetanguishene ON  L9M 1G3,(705) 549-3181</t>
  </si>
  <si>
    <t>69318</t>
  </si>
  <si>
    <t>7560 Bayview Avenue,Markham ON  L3T 2S1</t>
  </si>
  <si>
    <t>(905) 731-1133</t>
  </si>
  <si>
    <t>(905) 731-6752</t>
  </si>
  <si>
    <t>41976</t>
  </si>
  <si>
    <t xml:space="preserve">Active Member as of 10 Oct 1973 </t>
  </si>
  <si>
    <t xml:space="preserve">Restricted as of 09 Mar 2007 </t>
  </si>
  <si>
    <t>University of Rome, 1958</t>
  </si>
  <si>
    <t>St Josephs Health Centre,Mental Health Outpatient Program,710 Victoria Avenue East,Thunder Bay ON  P7C 5P7</t>
  </si>
  <si>
    <t>(807) 624-3740</t>
  </si>
  <si>
    <t>Psychiatry||Effective: 02 Dec 1968||RCPSC Specialist</t>
  </si>
  <si>
    <t>First certificate of registration issued: Academic Practice Certificate||Effective:   10 Oct 1973
Transfer of class of registration to: Independent Practice Certificate||Effective:   26 Mar 1987
Transfer of class of certificate to: Restricted certificate||Effective:   09 Mar 2007
Terms and conditions imposed on certificate by Executive Committee||Effective:   09 Mar 2007
Terms and conditions amended by member||Effective:   04 Sep 2007</t>
  </si>
  <si>
    <t>Giampiero Bartolucci Medicine Professional Corporation</t>
  </si>
  <si>
    <t>Issued Date:  Aug 30 2011</t>
  </si>
  <si>
    <t>Dr. G. Bartolucci (CPSO# 41976)</t>
  </si>
  <si>
    <t>2nd Floor,438 Concession Street,Hamilton ON  L9A 1C2,(905) 540-1308
710 Victoria Avenue East,710 Victoria Avenue East,Thunder Bay ON  P7C 5P7,(807) 624-3400</t>
  </si>
  <si>
    <t>82322</t>
  </si>
  <si>
    <t xml:space="preserve">Active Member as of 22 Aug 2007 </t>
  </si>
  <si>
    <t xml:space="preserve">Restricted as of 22 Aug 2007 </t>
  </si>
  <si>
    <t>Tel Aviv University, 1998</t>
  </si>
  <si>
    <t>Toronto East General Hospital,Department of Psychiatry,825 Coxwell Ave.,Toronto ON  M4C 3E7</t>
  </si>
  <si>
    <t>(416) 469-6580 Ext. 3229</t>
  </si>
  <si>
    <t>Department of Psychiatry,2075 Bayview Ave.,Toronto ON  M4N 3M5,Canada,Phone:(416) 480-6833,County:City of Toronto,Electoral District:10</t>
  </si>
  <si>
    <t>Michael Garron Hospital - Toronto East Health Network:Toronto
Sunnybrook Health Sciences Centre:Toronto</t>
  </si>
  <si>
    <t>Psychiatry||Effective: 22 Aug 2007||CPSO Recognized Specialist
Child and Adolescent Psychiatry||Effective: 13 Nov 2014||CPSO Recognized Specialist</t>
  </si>
  <si>
    <t>University of Toronto, 04 Apr 2005  to 22 Jun 2005|PEAP - Clinical Fellow - Psychiatry
University of Toronto, 23 Jun 2005  to 30 Jun 2005|Clinical Fellow - Psychiatry
University of Toronto, 01 Jul 2005  to 30 Jun 2006|Clinical Fellow - Psychiatry
University of Toronto, 01 Jul 2006  to 30 Jun 2007|Clinical Fellow - Psychiatry
University of Toronto, 01 Jul 2007  to 31 Jul 2007|Clinical Fellow - Psychiatry</t>
  </si>
  <si>
    <t>First certificate of registration issued: Pre Entry Assessment Program Certificate||Effective:   20 Apr 2005
Transfer of class of registration to: Postgraduate Education Certificate||Effective:   24 Jun 2005
Expired: Terms and conditions of certificate of registration||Expiry:      31 Jul 2007
Subsequent certificate of registration issued: Restricted certificate||Effective:   22 Aug 2007
Terms and conditions amended by Registration Committee||Effective:   09 Mar 2012
Terms and conditions amended by Registration Committee||Effective:   15 Aug 2014
Terms and conditions amended by Registration Committee||Effective:   13 Nov 2014
Expiry date removed from certificate of registration.||Effective:   13 Nov 2014</t>
  </si>
  <si>
    <t>O. Nevo and G.W. Adler Nevo Medicine Professional Corporation</t>
  </si>
  <si>
    <t>Issued Date:  Jan 04 2011</t>
  </si>
  <si>
    <t>Dr. G. Adler Nevo (CPSO# 82322),Dr. O. Nevo (CPSO# 80168)</t>
  </si>
  <si>
    <t>Sunnybrook Health Sciences Centre,Room M4-170,2075 Bayview Avenue,Toronto ON  M4N 3M5,(416) 480-4920
Toronto East General Hospital,Toronto East General Hospital,Department of Psychiatry,Room A613,825 Coxwell Avenue,Toronto ON  M4C 3E7,(416) 469-6580</t>
  </si>
  <si>
    <t>86118</t>
  </si>
  <si>
    <t xml:space="preserve">Active Member as of 04 May 2007 </t>
  </si>
  <si>
    <t xml:space="preserve">Independent Practice as of 04 May 2007 </t>
  </si>
  <si>
    <t>University of Montreal, 2000</t>
  </si>
  <si>
    <t>The Montfort Hospital,Room LB208,713 Montreal Road,Ottawa ON  K1K 0T3</t>
  </si>
  <si>
    <t>Unit # 1,53 Marier Avenue,Ottawa ON  K1L 5S2,Canada,Phone:613-701-8337,Fax:613-701-7899,County:Regional Municipality of Ottawa-Carleton,Electoral District:07</t>
  </si>
  <si>
    <t>First certificate of registration issued: Independent Practice Certificate||Effective:   04 May 2007</t>
  </si>
  <si>
    <t>Dr. Mary-Clare Royle Medicine Professional Corporation</t>
  </si>
  <si>
    <t>Issued Date:  Jan 24 2011</t>
  </si>
  <si>
    <t>Dr. M. Royle (CPSO# 79207),Dr. G. Fleury (CPSO# 86118)</t>
  </si>
  <si>
    <t>The Ottawa Hospital Civic Campus,Department of Psychiatry,1053 Carling Avenue,Ottawa ON  K1Y 4E9,(613) 761-4581
The Ottawa Hospital General Campus,The Ottawa Hospital General Campus,Department of Psychiatry,501 Smyth Road,Ottawa ON  K1H 8L6
CF Health Services Centre Ottawa,CF Health Services Centre Ottawa,101 Colonel by Drive,Ottawa ON  K1A 0K2,(613) 945-1111
CF Health Services Centre Ottawa,CF Health Services Centre Ottawa,101 Colonel by Drive,Ottawa ON  K1A 0K2,(613) 945-111</t>
  </si>
  <si>
    <t>Dr. Gilles Fleury Medicine Professional Corporation</t>
  </si>
  <si>
    <t>Issued Date:  Mar 15 2011</t>
  </si>
  <si>
    <t>Montfort Hospital,Room 3B115,713 Montreal Road,Ottawa ON  K1K 0T3,(613) 761-4621</t>
  </si>
  <si>
    <t>56078</t>
  </si>
  <si>
    <t xml:space="preserve">Active Member as of 01 Sep 1989 </t>
  </si>
  <si>
    <t xml:space="preserve">Independent Practice as of 01 Sep 1989 </t>
  </si>
  <si>
    <t>90A Isabella Street,Toronto ON  M4Y 1N4</t>
  </si>
  <si>
    <t>(416) 929-7729</t>
  </si>
  <si>
    <t>First certificate of registration issued: Postgraduate Education Certificate||Effective:   01 Jul 1985
Expired: Terms and conditions of certificate of registration||Expiry:      30 Jun 1989
Subsequent certificate of registration Issued: Independent Practice Certificate||Effective:   01 Sep 1989
Expiry date attached to certificate of registration.||Expiry Date: 11 Jun 1991</t>
  </si>
  <si>
    <t>65511</t>
  </si>
  <si>
    <t xml:space="preserve">Independent Practice as of 12 Nov 1992 </t>
  </si>
  <si>
    <t>University of Ottawa, 1991</t>
  </si>
  <si>
    <t>(613) 722-6521 Ext. 6511</t>
  </si>
  <si>
    <t>Psychiatry||Effective: 31 Jul 1996||RCPSC Specialist</t>
  </si>
  <si>
    <t>University of Ottawa, 01 Jul 1992  to 30 Jun 1993|Resident 1 - Psychiatry
University of Ottawa, 01 Jul 1993  to 30 Jun 1994|Resident 2 - Psychiatry
University of Ottawa, 01 Jul 1994  to 30 Jun 1995|Resident 3 - Psychiatry
University of Ottawa, 01 Jul 1995  to 30 Jun 1996|Resident 4 - Psychiatry</t>
  </si>
  <si>
    <t>First certificate of registration issued: Postgraduate Education Certificate||Effective:   01 Jul 1992
Transfer of class of registration to: Independent Practice Certificate||Effective:   12 Nov 1992</t>
  </si>
  <si>
    <t>108158</t>
  </si>
  <si>
    <t xml:space="preserve">Active Member as of 21 Oct 2015 </t>
  </si>
  <si>
    <t xml:space="preserve">Independent Practice as of 21 Oct 2015 </t>
  </si>
  <si>
    <t>Universidade Federal De Goias, 1992</t>
  </si>
  <si>
    <t>401 Sunset Dr,St Thomas ON  N5R 3C6</t>
  </si>
  <si>
    <t>(519) 631-8510 Ext. 49122</t>
  </si>
  <si>
    <t>St Joseph's Health Care,St Thomas Mental Health Site:St Thomas</t>
  </si>
  <si>
    <t>Forensic Psychiatry||Effective: 23 Sep 2014||RCPSC Specialist
Psychiatry||Effective: 31 Oct 2007||RCPSC Specialist</t>
  </si>
  <si>
    <t>First certificate of registration issued: Independent Practice Certificate||Effective:   21 Oct 2015</t>
  </si>
  <si>
    <t>de Amorim Levin Medicine Professional Corporation</t>
  </si>
  <si>
    <t>Issued Date:  Aug 08 2016</t>
  </si>
  <si>
    <t>Dr. G. de Amorim Levin (CPSO# 108158)</t>
  </si>
  <si>
    <t>401 Sunset Drive,St Thomas ON  N5R 3C6,(519) 646-6100</t>
  </si>
  <si>
    <t>76464</t>
  </si>
  <si>
    <t xml:space="preserve">Active Member as of 20 Jul 2006 </t>
  </si>
  <si>
    <t xml:space="preserve">Independent Practice as of 20 Jul 2006 </t>
  </si>
  <si>
    <t>Suite 104,860 Tecumseh Road East,Windsor ON  N8X 2S5</t>
  </si>
  <si>
    <t>(519) 977-8604</t>
  </si>
  <si>
    <t>(519) 915-9577</t>
  </si>
  <si>
    <t>Hotel-Dieu Grace Healthcare,Windsor ON  N9C 3Z4,Canada,Phone:(519) 257-5111,County:County of Essex,Electoral District:01
Windsor Regional Hospital,Ouellette Campus,1030 Ouellette Avenue,Windsor ON  N9A 1E1,Canada,Phone:(519) 973-4411,County:County of Essex,Electoral District:01
1400 Windsor Avenue,Windsor ON  N8X 3L9,Canada,Phone:(519) 255-7440,County:County of Essex,Electoral District:01</t>
  </si>
  <si>
    <t>First certificate of registration issued: Postgraduate Education Certificate||Effective:   01 Jul 2001
Expired: Terms and conditions of certificate of registration||Expiry:      30 Jun 2006
Subsequent certificate of registration Issued: Independent Practice Certificate||Effective:   20 Jul 2006</t>
  </si>
  <si>
    <t>Villella Medicine Professional Corporation</t>
  </si>
  <si>
    <t>Dr. G. Villella (CPSO# 76464)</t>
  </si>
  <si>
    <t>860 Tecumseh Road East,Suite 104,Windsor ON  N8X 2S5,(519) 977-8604
Windsor Regional Hospital - Western Campus,Windsor Regional Hospital - Western Campus,Department of Psychiatry,1453 Prince Road,Windsor ON  N9C 3Z4,(519) 257-5111
1995 Lens Avenue,1995 Lens Avenue,Windsor ON  N8W 1L9,(519) 255-7440
1030 Ouellette Avenue,1030 Ouellette Avenue,Windsor ON  N9A 1E1,(519) 973-4411
744 Ouellette Avenue,744 Ouellette Avenue,Windsor ON  N9A 1C3,(519) 257-5224</t>
  </si>
  <si>
    <t>51473</t>
  </si>
  <si>
    <t xml:space="preserve">Active Member as of 01 Jul 1977 </t>
  </si>
  <si>
    <t xml:space="preserve">Independent Practice as of 31 Dec 1985 </t>
  </si>
  <si>
    <t>University of Madras, 1968</t>
  </si>
  <si>
    <t>Greater Peterborough Chamber,of Commerce,Unit 11,175 George Street North,Peterborough ON  K9J 3G6</t>
  </si>
  <si>
    <t>(705) 743-5700</t>
  </si>
  <si>
    <t>Northumberland Hills Hospital,Cobourg District General Site:Cobourg
Ross Memorial Hospital:Lindsay</t>
  </si>
  <si>
    <t>First certificate of registration issued: Postgraduate Education Certificate||Effective:   01 Jul 1977
Transfer of class of registration to: Independent Practice Certificate||Effective:   31 Dec 1985</t>
  </si>
  <si>
    <t>Girija Ravindran Medicine Professional Corporation</t>
  </si>
  <si>
    <t>Issued Date:  Jul 18 2006</t>
  </si>
  <si>
    <t>Dr. G. Ravindran (CPSO# 51473)</t>
  </si>
  <si>
    <t>11 - 175 George Street North,Peterborough ON  K9J 3G6,(705) 743-5700</t>
  </si>
  <si>
    <t>70836</t>
  </si>
  <si>
    <t xml:space="preserve">Active Member as of 11 Sep 1996 </t>
  </si>
  <si>
    <t xml:space="preserve">Independent Practice as of 11 Sep 1996 </t>
  </si>
  <si>
    <t>Guru Nanak Dev University, 1979</t>
  </si>
  <si>
    <t>Ajax Pickering Lakeridge,580 Harwood Drive,Ajax ON  L1S 2J4</t>
  </si>
  <si>
    <t>905 683 2320</t>
  </si>
  <si>
    <t>First certificate of registration issued: Independent Practice Certificate||Effective:   11 Sep 1996</t>
  </si>
  <si>
    <t>Girish Birdi Medicine Professional Corporation</t>
  </si>
  <si>
    <t>Issued Date:  Nov 13 2008</t>
  </si>
  <si>
    <t>Dr. G. Birdi (CPSO# 70836)</t>
  </si>
  <si>
    <t>Ajax Pickering Lakeridge,580 Harwood Drive,Ajax ON  L1S 2J4,(905) 683-2320</t>
  </si>
  <si>
    <t>91426</t>
  </si>
  <si>
    <t xml:space="preserve">Active Member as of 27 Jul 2018 </t>
  </si>
  <si>
    <t xml:space="preserve">Academic Practice as of 27 Jul 2018 </t>
  </si>
  <si>
    <t>University of Milan, 1998</t>
  </si>
  <si>
    <t>St. Thomas Elgin General Hospital,189 Elm Street,St Thomas ON  N5R 5C4</t>
  </si>
  <si>
    <t>(519) 631-2020 Ext. 2792</t>
  </si>
  <si>
    <t>(519) 631-6497</t>
  </si>
  <si>
    <t>First certificate of registration issued: Restricted certificate||Effective:   01 Jul 2009
Terms and conditions imposed on certificate by Registration Committee||Effective:   01 Jul 2009
Expiry date attached to certificate of registration.||Expiry Date: 30 Jun 2012
Terms and conditions amended by Registration Committee||Effective:   03 Mar 2014
Expiry date removed from certificate of registration.||Effective:   07 Mar 2014
Expired: Terms and conditions imposed on certificate by Registration Committee||Effective:   27 Jul 2018
Subsequent certificate of registration Issued: Academic Practice Certificate||Effective:   27 Jul 2018</t>
  </si>
  <si>
    <t>Giuseppe Guaiana Medicine Professional Corporation</t>
  </si>
  <si>
    <t>Issued Date:  Aug 01 2013</t>
  </si>
  <si>
    <t>Dr. G. Guaiana (CPSO# 91426)</t>
  </si>
  <si>
    <t>Parkwood Insititue,Mental Health Care Building,F4-430 - 550 Wellington Road South,London ON  N6C 0A7,(519) 685-8500
St Thomas Elgin General Hospital,St Thomas Elgin General Hospital,189 Elm Street,St Thomas ON  N5R 5C4,(519) 631-2020</t>
  </si>
  <si>
    <t>81583</t>
  </si>
  <si>
    <t xml:space="preserve">Active Member as of 15 Jul 2011 </t>
  </si>
  <si>
    <t xml:space="preserve">Independent Practice as of 15 Jul 2011 </t>
  </si>
  <si>
    <t>Centre for Addiction&amp; Mental Health,1001 Queen Street West,Complex Mental Health,Toronto ON  M6J 1H4</t>
  </si>
  <si>
    <t>(416) 535-8501 Ext. 32679</t>
  </si>
  <si>
    <t>(416) 583-1262</t>
  </si>
  <si>
    <t>418 - 220 Duncan Mill Rd,Toronto ON  M3B 3J5,Canada,Phone:(647) 972-5011,County:City of Toronto,Electoral District:10</t>
  </si>
  <si>
    <t>Psychiatry||Effective: 02 May 2011||RCPSC Specialist</t>
  </si>
  <si>
    <t>First certificate of registration issued: Postgraduate Education Certificate||Effective:   01 Jul 2004
Expired: Terms and conditions of certificate of registration||Expiry:      30 Jun 2009
Subsequent certificate of registration issued: Restricted certificate||Effective:   18 Aug 2009
Expired: Terms and conditions imposed on certificate by Registration Committee||Effective:   15 Jul 2011
Subsequent certificate of registration Issued: Independent Practice Certificate||Effective:   15 Jul 2011</t>
  </si>
  <si>
    <t>Glenda A. Horowitz Medicine Professional Corporation</t>
  </si>
  <si>
    <t>Inactive: Apr 12 2016</t>
  </si>
  <si>
    <t>65175</t>
  </si>
  <si>
    <t xml:space="preserve">Independent Practice as of 02 Jul 1993 </t>
  </si>
  <si>
    <t>McMaster University, 1992</t>
  </si>
  <si>
    <t>#20, 70 Chapman Court,London ON  N4G 4Z4</t>
  </si>
  <si>
    <t>(403) 238-5362</t>
  </si>
  <si>
    <t>McMaster University, 01 Jul 1995  to 30 Jun 1996|Resident 3 - Psychiatry
McMaster University, 01 Jul 1996  to 30 Jun 1997|Resident 4 - Psychiatry</t>
  </si>
  <si>
    <t>First certificate of registration issued: Postgraduate Education Certificate||Effective:   01 Jul 1992
Transfer of class of registration to: Independent Practice Certificate||Effective:   02 Jul 1993</t>
  </si>
  <si>
    <t>Dr. G.M. MacQueen Medicine Professional Corporation</t>
  </si>
  <si>
    <t>Issued Date:  Mar 17 2006</t>
  </si>
  <si>
    <t>Dr. G. Macqueen (CPSO# 65175)</t>
  </si>
  <si>
    <t>20 - 70 Chapman Court,London ON  N6G 4Z4,(403) 238-5362
700-14 Street Southwest,700-14 Street Southwest,Calgary AB  T2P 1P6,(403) 605-8972</t>
  </si>
  <si>
    <t>80991</t>
  </si>
  <si>
    <t>University of Calgary, 2004</t>
  </si>
  <si>
    <t>Sinai Health System,Bridgepoint Active Healthcare,1 Bridgepoint Drive,Toronto ON  M4M 2B5</t>
  </si>
  <si>
    <t>(416) 4618252 Ext. 2754</t>
  </si>
  <si>
    <t>MD Program- University of Toronto,MSB 3157,1 King's College Circle,Toronto ON  M5S 1A8,Canada,County:City of Toronto,Electoral District:10</t>
  </si>
  <si>
    <t>Bridgepoint Hospital:Toronto
Mount Sinai Hospital:Toronto</t>
  </si>
  <si>
    <t>Dr. Glendon R. Tait Medicine Professional Corporation</t>
  </si>
  <si>
    <t>Dr. G. Tait (CPSO# 80991)</t>
  </si>
  <si>
    <t>Medical Sciences Building,1 King's College Circle,Suite MSB 3157,Toronto ON  M5S 1A8,(416) 978-4561
Sinai Health System,Sinai Health System,Bridgepoint Active Healthcare,1 Bridgepoint Drive,Toronto ON  M4M 2B5,(416) 461-8252</t>
  </si>
  <si>
    <t>18380</t>
  </si>
  <si>
    <t xml:space="preserve">Active Member as of 05 Jul 1962 </t>
  </si>
  <si>
    <t xml:space="preserve">Independent Practice as of 05 Jul 1962 </t>
  </si>
  <si>
    <t>The University of Western Ontario, 1960</t>
  </si>
  <si>
    <t>Suite 1018,790 Bay Street,Toronto ON  M5G 1N8</t>
  </si>
  <si>
    <t>(416) 960-3351</t>
  </si>
  <si>
    <t>(416) 944-2520</t>
  </si>
  <si>
    <t>First certificate of registration issued: Independent Practice Certificate||Effective:   05 Jul 1962</t>
  </si>
  <si>
    <t>58159</t>
  </si>
  <si>
    <t>Seniors Health Centre,2 Buchan Court,North York ON  M2J 5A3</t>
  </si>
  <si>
    <t>(416) 756-6050 Ext. 8057</t>
  </si>
  <si>
    <t>Psychiatry||Effective: 06 Jun 1991||RCPSC Specialist
Geriatric Psychiatry||Effective: 21 Sep 2015||RCPSC Specialist</t>
  </si>
  <si>
    <t>University of Toronto, 15 Jun 1987  to 13 Jun 1988|Other - Comprehensive Internship
University of Toronto, 01 Jul 1988  to 30 Jun 1989|Resident 1 - Psychiatry
University of Toronto, 01 Jul 1989  to 30 Jun 1990|Resident 2 - Psychiatry
University of Toronto, 01 Jul 1990  to 30 Jun 1991|Resident 4 - Psychiatry
University of Toronto, 01 Jul 1991  to 30 Jun 1992|Clinical Fellow - Psychiatry</t>
  </si>
  <si>
    <t>Dr. Goran Eryavec Medicine Professional Corporation</t>
  </si>
  <si>
    <t>Issued Date:  Jun 15 2009</t>
  </si>
  <si>
    <t>Dr. G. Eryavec (CPSO# 58159)</t>
  </si>
  <si>
    <t>Seniors Health Centre,2 Buchan Court,North York ON  M2J 5A3,(416) 756-6050</t>
  </si>
  <si>
    <t>79122</t>
  </si>
  <si>
    <t>University of Calgary, 2003</t>
  </si>
  <si>
    <t>Royal Ottawa Mental Health Centre,Geriatric Psychiatry Program,1145 Carling Avenue,Ottawa ON  K1Z 7K4</t>
  </si>
  <si>
    <t>(613) 722-6521 Ext. 6772</t>
  </si>
  <si>
    <t>Almonte General Hospital:Almonte
Arnprior and District Memorial Hospital:Arnprior
Brockville General Hospital:Brockville
Carleton Place &amp; District Memorial Hospital:Carleton Place
Cornwall Community Hospital:Cornwall
Deep River and District Hospital:Deep River
Kemptville District Hospital:Kemptville
Ottawa Hospital,Civic Site:Ottawa
Ottawa Hospital,General Site:Ottawa
Pembroke Regional Hospital:Pembroke
Perth and Smiths Falls District Hospital,Smiths Falls Community Site:Smiths Falls
Royal Ottawa Health Care Group:Ottawa</t>
  </si>
  <si>
    <t>Psychiatry||Effective: 30 Jun 2008||RCPSC Specialist
Geriatric Psychiatry||Effective: 23 Sep 2014||RCPSC Specialist</t>
  </si>
  <si>
    <t>University of Ottawa, 01 Jul 2003  to 30 Jun 2004|PostGrad Yr 1 - Psychiatry
University of Ottawa, 01 Jul 2004  to 30 Jun 2005|PostGrad Yr 2 - Psychiatry
University of Ottawa, 01 Jul 2005  to 30 Jun 2006|PostGrad Yr 3 - Psychiatry
University of Ottawa, 01 Jul 2006  to 30 Jun 2007|PostGrad Yr 4 - Psychiatry
University of Ottawa, 01 Jul 2007  to 30 Jun 2008|PostGrad Yr 5 - Psychiatry
University of Ottawa, 01 Jul 2008  to 15 Jan 2009|Clinical Fellow - Psychiatry</t>
  </si>
  <si>
    <t>Gordon Thomas Medicine Professional Corporation</t>
  </si>
  <si>
    <t>Dr. G. Thomas (CPSO# 79122)</t>
  </si>
  <si>
    <t>Royal Ottawa Mental Health Centre,Geriatric Psychiatry Program,1145 Carling Avenue,Ottawa ON  K1Z 7K4,(613) 722-6521</t>
  </si>
  <si>
    <t>32269</t>
  </si>
  <si>
    <t xml:space="preserve">Active Member as of 31 Mar 1981 </t>
  </si>
  <si>
    <t xml:space="preserve">Independent Practice as of 31 Mar 1981 </t>
  </si>
  <si>
    <t>The University of Manitoba, 1974</t>
  </si>
  <si>
    <t>180 Bloor Street West,Suite 1106,Toronto ON  M5S 2V6</t>
  </si>
  <si>
    <t>(416) 960-9129</t>
  </si>
  <si>
    <t>Psychiatry||Effective: 01 Jan 1980||RCPSC Specialist</t>
  </si>
  <si>
    <t>First certificate of registration issued: Independent Practice Certificate||Effective:   31 Mar 1981</t>
  </si>
  <si>
    <t>Dr. Gordon Yanchyshyn Medicine Professional Corporation</t>
  </si>
  <si>
    <t>Issued Date:  Mar 08 2011</t>
  </si>
  <si>
    <t>Dr. G. Yanchyshyn (CPSO# 32269)</t>
  </si>
  <si>
    <t>180 Bloor Street West,Suite 1106,Toronto ON  M5S 2V6,(416) 960-9129</t>
  </si>
  <si>
    <t>17369</t>
  </si>
  <si>
    <t xml:space="preserve">Active Member as of 06 Feb 1967 </t>
  </si>
  <si>
    <t xml:space="preserve">Independent Practice as of 06 Feb 1967 </t>
  </si>
  <si>
    <t>University of Toronto, 1957</t>
  </si>
  <si>
    <t>1910-57 Charles St. W.,Toronto ON M5S 2X1,Toronto ON  M5S 2X1</t>
  </si>
  <si>
    <t>(416) 515-0650</t>
  </si>
  <si>
    <t>4165150650</t>
  </si>
  <si>
    <t>Psychiatry||Effective: 01 Jan 1968||RCPSC Specialist</t>
  </si>
  <si>
    <t>First certificate of registration issued: Independent Practice Certificate||Effective:   04 Jan 1960
Expired: Resigned from membership.||Expiry:      31 Jul 1961
Subsequent certificate of registration Issued: Independent Practice Certificate||Effective:   06 Feb 1967</t>
  </si>
  <si>
    <t>19537</t>
  </si>
  <si>
    <t xml:space="preserve">Active Member as of 25 Jun 1965 </t>
  </si>
  <si>
    <t xml:space="preserve">Independent Practice as of 25 Jun 1965 </t>
  </si>
  <si>
    <t>Suite 1104,50 Prince Arthur Avenue,Toronto ON  M5R 1B5</t>
  </si>
  <si>
    <t>(416) 923-2979</t>
  </si>
  <si>
    <t>(416) 323-9568</t>
  </si>
  <si>
    <t>First certificate of registration issued: Independent Practice Certificate||Effective:   25 Jun 1965</t>
  </si>
  <si>
    <t>86154</t>
  </si>
  <si>
    <t xml:space="preserve">Active Member as of 26 Jun 2013 </t>
  </si>
  <si>
    <t xml:space="preserve">Independent Practice as of 26 Jun 2013 </t>
  </si>
  <si>
    <t>University of Buenos Aires, 1985</t>
  </si>
  <si>
    <t>(905) 430-4055 Ext. 6016</t>
  </si>
  <si>
    <t>(905) 430-4463</t>
  </si>
  <si>
    <t>Frontenac Youth Services,Oshawa ON  L1H 5L8,Canada,County:Regional Municipality of Durham,Electoral District:05</t>
  </si>
  <si>
    <t>Argentina
Israel</t>
  </si>
  <si>
    <t>University of Toronto, 01 Jun 2007  to 10 Aug 2007|PEAP - Clinical Fellow - Psychiatry
University of Toronto, 11 Aug 2007  to 30 Jun 2008|Clinical Fellow - Psychiatry
McMaster University, 01 Jul 2008  to 23 Sep 2008|Assessment Verification Period - Psychiatry
McMaster University, 24 Sep 2008  to 30 Jun 2009|PostGrad Yr 2 - Psychiatry
McMaster University, 01 Jul 2009  to 30 Jun 2010|PostGrad Yr 4 - Psychiatry
McMaster University, 01 Jul 2010  to 30 Jun 2011|PostGrad Yr 5 - Psychiatry</t>
  </si>
  <si>
    <t>First certificate of registration issued: Pre Entry Assessment Program Certificate||Effective:   01 Jun 2007
Transfer of class of registration to: Postgraduate Education Certificate||Effective:   11 Aug 2007
Transfer of class of registration to: Pre Entry Assessment Program Certificate||Effective:   01 Jul 2008
Transfer of class of registration to: Postgraduate Education Certificate||Effective:   24 Sep 2008
Expired: Terms and conditions of certificate of registration||Expiry:      30 Jun 2011
Subsequent certificate of registration issued: Restricted certificate||Effective:   25 Aug 2011
Expired: Terms and conditions imposed on certificate by Registration Committee||Effective:   26 Jun 2013
Subsequent certificate of registration Issued: Independent Practice Certificate||Effective:   26 Jun 2013</t>
  </si>
  <si>
    <t>G. Kriegel Perez Medicine Professional Corporation</t>
  </si>
  <si>
    <t>Issued Date:  Aug 25 2011</t>
  </si>
  <si>
    <t>Dr. G. Kriegel Perez (CPSO# 86154)</t>
  </si>
  <si>
    <t>Ontario Shores Centre for Mental,Health Sciences,700 Gordon Street,Whitby ON  L1N 5S9,(905) 430-4055
1160 Simcoe Street South,1160 Simcoe Street South,Oshawa ON  L1H 5L8</t>
  </si>
  <si>
    <t>50019</t>
  </si>
  <si>
    <t xml:space="preserve">Independent Practice as of 08 Jul 1989 </t>
  </si>
  <si>
    <t>University of Manchester, 1976</t>
  </si>
  <si>
    <t>Unit 3 - 4th Floor - Rm 471,1001 Queen St W,Toronto ON  M6J 1H4</t>
  </si>
  <si>
    <t>416 236 5602</t>
  </si>
  <si>
    <t>First certificate of registration issued: Postgraduate Education Certificate||Effective:   01 Sep 1981
Transfer of class of registration to: Academic Practice Certificate||Effective:   06 Jan 1983
Transfer of class of registration to: Independent Practice Certificate||Effective:   08 Jul 1989</t>
  </si>
  <si>
    <t>Dr. G. Glancy Medicine Professional Corporation</t>
  </si>
  <si>
    <t>Dr. G. Glancy (CPSO# 50019)</t>
  </si>
  <si>
    <t>Unit 3-4, Room 471,1001 Queen Street West,Toronto ON  M6J 1H4,(416) 236-5602</t>
  </si>
  <si>
    <t>60458</t>
  </si>
  <si>
    <t xml:space="preserve">Active Member as of 08 Jan 1990 </t>
  </si>
  <si>
    <t xml:space="preserve">Independent Practice as of 08 Jan 1990 </t>
  </si>
  <si>
    <t>University College of Dublin, 1978</t>
  </si>
  <si>
    <t>Suite 1,315 Avenue Road,Toronto ON  M4V 2H2</t>
  </si>
  <si>
    <t>(416) 921-1094</t>
  </si>
  <si>
    <t>First certificate of registration issued: Independent Practice Certificate||Effective:   19 Dec 1988
Expired: Failure to Renew Membership||Expiry:      04 Oct 1989
Subsequent certificate of registration Issued: Independent Practice Certificate||Effective:   08 Jan 1990</t>
  </si>
  <si>
    <t>Dr. G. Goodwin Medicine Professional Corporation</t>
  </si>
  <si>
    <t>Issued Date:  Sep 05 2013</t>
  </si>
  <si>
    <t>Dr. G. Goodwin (CPSO# 60458)</t>
  </si>
  <si>
    <t>Suite 1,315 Avenue Road,Toronto ON  M4V 2H2,(416) 921-1094</t>
  </si>
  <si>
    <t>20447</t>
  </si>
  <si>
    <t xml:space="preserve">Active Member as of 18 Jul 1966 </t>
  </si>
  <si>
    <t xml:space="preserve">Independent Practice as of 18 Jul 1966 </t>
  </si>
  <si>
    <t>The University of British Columbia, 1960</t>
  </si>
  <si>
    <t>567 Christie Street,Toronto ON  M6G 3E4</t>
  </si>
  <si>
    <t>(647) 343-1234</t>
  </si>
  <si>
    <t>(416) 651-9192</t>
  </si>
  <si>
    <t>First certificate of registration issued: Postgraduate Education Certificate||Effective:   01 Jul 1964
Transfer of class of registration to: Temporary Employment Practice Certificate||Effective:   06 Jul 1966
Transfer of class of registration to: Independent Practice Certificate||Effective:   18 Jul 1966</t>
  </si>
  <si>
    <t>50998</t>
  </si>
  <si>
    <t xml:space="preserve">Independent Practice as of 12 Jan 1989 </t>
  </si>
  <si>
    <t>Academy of Medicine, Warsaw, 1979</t>
  </si>
  <si>
    <t>Suite 230,1560 Yonge Street,Toronto ON  M4T 2S9</t>
  </si>
  <si>
    <t>(416) 944-9120</t>
  </si>
  <si>
    <t>(416) 961-5153</t>
  </si>
  <si>
    <t>Humber River Regional Hospital,1235 Wilson Ave,Toronto ON  M3M 0B2,Canada,Phone:(416) 242-1000,County:City of Toronto,Electoral District:10</t>
  </si>
  <si>
    <t>First certificate of registration issued: Postgraduate Education Certificate||Effective:   15 Jun 1981
Transfer of class of registration to: Hospital Practice Certificate||Effective:   02 Jul 1987
Transfer of class of registration to: Independent Practice Certificate||Effective:   12 Jan 1989</t>
  </si>
  <si>
    <t>55974</t>
  </si>
  <si>
    <t xml:space="preserve">Active Member as of 23 Jul 1990 </t>
  </si>
  <si>
    <t xml:space="preserve">Independent Practice as of 15 Aug 2000 </t>
  </si>
  <si>
    <t>Jakubaszek-Morton, Grazyna (used until: 08 Apr 1997 )</t>
  </si>
  <si>
    <t>Academy of Medicine, Lublin, 1979</t>
  </si>
  <si>
    <t>Mood Disorder Program,Royal Ottawa Hospital,1145 Carling Avenue,Ottawa ON  K1Z 7K4</t>
  </si>
  <si>
    <t>(613) 722-6521 Ext. 6512</t>
  </si>
  <si>
    <t>University of Ottawa, 01 Jul 1985  to 30 Jun 1986|Resident 1 - Psychiatry
University of Ottawa, 01 Jul 1986  to 30 Jun 1987|Resident 2 - Psychiatry
University of Ottawa, 01 Jul 1987  to 30 Jun 1988|Resident 3 - Psychiatry
University of Ottawa, 01 Jul 1988  to 30 Jun 1989|Resident 4 - Psychiatry</t>
  </si>
  <si>
    <t>First certificate of registration issued: Postgraduate Education Certificate||Effective:   01 Jul 1985
Expired: Terms and conditions of certificate of registration||Expiry:      30 Jun 1989
Subsequent certificate of registration Issued: Hospital Practice Certificate||Effective:   23 Jul 1990
Transfer of class of registration to: Independent Practice Certificate||Effective:   15 Aug 2000</t>
  </si>
  <si>
    <t>54381</t>
  </si>
  <si>
    <t xml:space="preserve">Active Member as of 15 Jun 1984 </t>
  </si>
  <si>
    <t xml:space="preserve">Independent Practice as of 15 Aug 1985 </t>
  </si>
  <si>
    <t>The University of Western Ontario, 1984</t>
  </si>
  <si>
    <t>Strathroy Middlesex General Hospita,395 Carrie Street,Strathroy ON  N7G 3J4</t>
  </si>
  <si>
    <t>519-601-1036</t>
  </si>
  <si>
    <t>Strathroy Middlesex General Hospital:Strathroy</t>
  </si>
  <si>
    <t>The University of Western Ontario, 15 Jun 1984  to 14 Jun 1985|Other - Rotating Internship
The University of Western Ontario, 01 Jul 1985  to 30 Jun 1986|Resident 1 - Psychiatry
The University of Western Ontario, 01 Jul 1986  to 30 Jun 1987|Resident 2 - Psychiatry
The University of Western Ontario, 01 Jul 1987  to 30 Jun 1988|Resident 3 - Psychiatry
The University of Western Ontario, 01 Jul 1988  to 30 Jun 1989|Resident 4 - Psychiatry</t>
  </si>
  <si>
    <t>First certificate of registration issued: Postgraduate Education Certificate||Effective:   15 Jun 1984
Transfer of class of registration to: Independent Practice Certificate||Effective:   15 Aug 1985</t>
  </si>
  <si>
    <t>Gregory A. Jaychuk Medicine Professional Corporation</t>
  </si>
  <si>
    <t>Issued Date:  Nov 27 2006</t>
  </si>
  <si>
    <t>Dr. G. Jaychuk (CPSO# 54381)</t>
  </si>
  <si>
    <t>89 Norman Street,Sarnia ON  N7T 6S3,(519) 464-4400</t>
  </si>
  <si>
    <t>52824</t>
  </si>
  <si>
    <t xml:space="preserve">Independent Practice as of 04 Jun 1985 </t>
  </si>
  <si>
    <t>207-967 Bedford Hwy,Bedford NS  B4A 1A9</t>
  </si>
  <si>
    <t>(902) 452-8357</t>
  </si>
  <si>
    <t>(902) 835-1512</t>
  </si>
  <si>
    <t>University of Toronto, 01 Jul 1989  to 30 Jun 1990|Resident 4 - Psychiatry</t>
  </si>
  <si>
    <t>First certificate of registration issued: Postgraduate Education Certificate||Effective:   01 Jul 1983
Transfer of class of registration to: Independent Practice Certificate||Effective:   04 Jun 1985</t>
  </si>
  <si>
    <t>51258</t>
  </si>
  <si>
    <t xml:space="preserve">Active Member as of 03 Feb 1987 </t>
  </si>
  <si>
    <t>Family Court And Sexual,Behaviours Clinic-Forensic Services,Royal Ottawa Hospital,1145 Carling Avenue,Ottawa ON  K1Z 7K4</t>
  </si>
  <si>
    <t>(613) 722-6521 Ext. 6400</t>
  </si>
  <si>
    <t>(613) 724-6554</t>
  </si>
  <si>
    <t>University of Ottawa, 07 Jan 1991  to 31 Dec 1991|Clinical Fellow - Psychiatry</t>
  </si>
  <si>
    <t>First certificate of registration issued: Postgraduate Education Certificate||Effective:   15 Feb 1982
Expired: Terms and conditions of certificate of registration||Expiry:      30 Jun 1985
Subsequent certificate of registration Issued: Postgraduate Education Certificate||Effective:   03 Feb 1987
Transfer of class of registration to: Independent Practice Certificate||Effective:   18 Dec 1990
Expiry date attached to certificate of registration.||Expiry Date: 30 Jun 1991</t>
  </si>
  <si>
    <t>72404</t>
  </si>
  <si>
    <t>University of Ottawa, 1998</t>
  </si>
  <si>
    <t>George Hull Centre for,Children and Families,81 The East Mall,3rd Floor,Toronto ON  M8Z 5W3</t>
  </si>
  <si>
    <t>(416) 622-8833 Ext. 227</t>
  </si>
  <si>
    <t>(416) 622-7068</t>
  </si>
  <si>
    <t>McMaster University, 01 Jul 1998  to 30 Jun 1999|PostGrad Yr 1 - Psychiatry
McMaster University, 01 Jul 1999  to 30 Jun 2000|PostGrad Yr 2 - Psychiatry
McMaster University, 01 Jul 2000  to 30 Jun 2001|PostGrad Yr 3 - Psychiatry
McMaster University, 01 Jul 2001  to 30 Jun 2002|PostGrad Yr 4 - Psychiatry
McMaster University, 01 Jul 2002  to 30 Jun 2003|PostGrad Yr 5 - Psychiatry
University of Ottawa, 09 Sep 2003  to 08 Sep 2004|Clinical Fellow - Psychiatry
University of Toronto, 01 Sep 2004  to 30 Jun 2005|Clinical Fellow - Psychiatry</t>
  </si>
  <si>
    <t>Dr. Gregory Lodenquai Medicine Professional Corporation</t>
  </si>
  <si>
    <t>Issued Date:  Nov 11 2010</t>
  </si>
  <si>
    <t>Dr. G. Lodenquai (CPSO# 72404)</t>
  </si>
  <si>
    <t>George Hull Centre for Children and Families,Third Floor,81 The East Mall,Toronto ON  M8Z 5W3,(416) 622-8833</t>
  </si>
  <si>
    <t>79331</t>
  </si>
  <si>
    <t xml:space="preserve">Active Member as of 30 Jun 2009 </t>
  </si>
  <si>
    <t>McGill University, 2003</t>
  </si>
  <si>
    <t>Mount Sinai Hospital,600 University Avenue,Room 916,Toronto ON  M5G 1X5</t>
  </si>
  <si>
    <t>First certificate of registration issued: Postgraduate Education Certificate||Effective:   01 Jul 2003
Expired: Terms and conditions of certificate of registration||Expiry:      30 Jun 2008
Subsequent certificate of registration Issued: Independent Practice Certificate||Effective:   30 Jun 2009</t>
  </si>
  <si>
    <t>Gregory M. Chandler Medicine Professional Corporation</t>
  </si>
  <si>
    <t>Issued Date:  Feb 17 2010</t>
  </si>
  <si>
    <t>Dr. G. Chandler (CPSO# 79331)</t>
  </si>
  <si>
    <t>Mount Sinai Hospital,Room 916, 9th Floor,600 University Avenue,Toronto ON  M5G 1X5,(416) 586-4800</t>
  </si>
  <si>
    <t>32858</t>
  </si>
  <si>
    <t xml:space="preserve">Active Member as of 16 Sep 1981 </t>
  </si>
  <si>
    <t xml:space="preserve">Independent Practice as of 16 Sep 1981 </t>
  </si>
  <si>
    <t>186 Albert Street,Suite 101,London ON  N6A 1M1</t>
  </si>
  <si>
    <t>(519) 645-7154</t>
  </si>
  <si>
    <t>(519) 645-7594</t>
  </si>
  <si>
    <t>First certificate of registration issued: Independent Practice Certificate||Effective:   16 Sep 1981</t>
  </si>
  <si>
    <t>G.S. Truant Medicine Professional Corporation</t>
  </si>
  <si>
    <t>Issued Date:  Mar 11 2014</t>
  </si>
  <si>
    <t>Dr. G. Truant (CPSO# 32858)</t>
  </si>
  <si>
    <t>101 - 186 Albert Street,London ON  N6A 1M1,(519) 645-7154</t>
  </si>
  <si>
    <t>75347</t>
  </si>
  <si>
    <t>Saurashtra University, 1983</t>
  </si>
  <si>
    <t>Sleep &amp; Alertness Clinic,Suite 800,790 Bay street,Toronto ON  M5G1N8</t>
  </si>
  <si>
    <t>647 479 2156</t>
  </si>
  <si>
    <t>West Parry Sound Health Centre,10 James Street,Parry Sound ON  P2A 1Z3,Canada,County:Territorial District of Parry Sound,Electoral District:08</t>
  </si>
  <si>
    <t>Psychiatry||Effective: 02 Jun 2004||RCPSC Specialist</t>
  </si>
  <si>
    <t>Queen's University, 01 Jul 2000  to 31 Mar 2001|PostGrad Yr 3 - Psychiatry
Queen's University, 01 Apr 2001  to 31 Mar 2002|PostGrad Yr 4 - Psychiatry
Queen's University, 01 Apr 2002  to 30 Jun 2002|PostGrad Yr 5 - Psychiatry
Queen's University, 01 Jul 2002  to 31 Mar 2003|PostGrad Yr 5 - Psychiatry
Queen's University, 01 Apr 2003  to 30 Jun 2003|Clinical Fellow - Psychiatry</t>
  </si>
  <si>
    <t>First certificate of registration issued: Postgraduate Education Certificate||Effective:   01 Jul 2000
Expired: Terms and conditions of certificate of registration||Expiry:      30 Jun 2003
Subsequent certificate of registration issued: Restricted certificate||Effective:   05 Sep 2003
Expired: Terms and conditions imposed on certificate by Registration Committee||Effective:   13 Jul 2004
Subsequent certificate of registration Issued: Independent Practice Certificate||Effective:   13 Jul 2004</t>
  </si>
  <si>
    <t>Dr. G. Panjwani Medicine Professional Corporation</t>
  </si>
  <si>
    <t>Issued Date:  May 23 2014</t>
  </si>
  <si>
    <t>Dr. G. Panjwani (CPSO# 75347)</t>
  </si>
  <si>
    <t>Sleep &amp; Alertness Clinic,Suite 800,790 Bay Street,Toronto ON  M5G 1N8,(647) 479-2156</t>
  </si>
  <si>
    <t>72223</t>
  </si>
  <si>
    <t xml:space="preserve">Active Member as of 01 Jun 2004 </t>
  </si>
  <si>
    <t xml:space="preserve">Independent Practice as of 01 Jun 2004 </t>
  </si>
  <si>
    <t>The University of Western Ontario, 1998</t>
  </si>
  <si>
    <t>Central North Correctional Centre,1501 Fuller Avenue,Penetanguishene ON  L9M 2H4</t>
  </si>
  <si>
    <t>(705) 549-9470</t>
  </si>
  <si>
    <t>(705) 549-5124</t>
  </si>
  <si>
    <t>Barrie Clinic,Suite 206,49 High Street,Barrie ON  L4N 2H4,Canada,Phone:(705) 730-0286,Fax:(705) 730-0287,County:County of Simcoe,Electoral District:05</t>
  </si>
  <si>
    <t>Psychiatry||Effective: 30 Jun 2003||RCPSC Specialist
Forensic Psychiatry||Effective: 21 Sep 2015||RCPSC Specialist</t>
  </si>
  <si>
    <t>Queen's University, 01 Jul 1998  to 30 Jun 1999|PostGrad Yr 1 - Psychiatry
Queen's University, 01 Jul 1999  to 30 Jun 2000|PostGrad Yr 2 - Psychiatry
Queen's University, 01 Jul 2000  to 30 Jun 2001|PostGrad Yr 3 - Psychiatry
Queen's University, 01 Jul 2001  to 30 Jun 2002|PostGrad Yr 4 - Psychiatry
Queen's University, 01 Jul 2002  to 30 Jun 2003|PostGrad Yr 5 - Psychiatry</t>
  </si>
  <si>
    <t>First certificate of registration issued: Postgraduate Education Certificate||Effective:   01 Jul 1998
Expired: Terms and conditions of certificate of registration||Expiry:      30 Jun 2003
Subsequent certificate of registration Issued: Independent Practice Certificate||Effective:   01 Jun 2004</t>
  </si>
  <si>
    <t>Lorberg Medicine Professional Corporation</t>
  </si>
  <si>
    <t>Issued Date:  Jul 19 2011</t>
  </si>
  <si>
    <t>Dr. G. Lorberg (CPSO# 72223)</t>
  </si>
  <si>
    <t>Central North Correctional Centre,1501 Fuller Avenue,Penetanguishene ON  L9M 2G2,(705) 549-9470
Suite 206,Suite 206,49 High Street,Barrie ON  L4N 2H4,(705) 730-0286</t>
  </si>
  <si>
    <t>57687</t>
  </si>
  <si>
    <t xml:space="preserve">Active Member as of 29 Nov 1990 </t>
  </si>
  <si>
    <t xml:space="preserve">Independent Practice as of 29 Nov 1990 </t>
  </si>
  <si>
    <t>Jammu University, 1979</t>
  </si>
  <si>
    <t>502 Oxford Street East,London ON  N5Y 3H7</t>
  </si>
  <si>
    <t>(519) 645-6000</t>
  </si>
  <si>
    <t>(519) 433-5404</t>
  </si>
  <si>
    <t>Timmins and District Hospital,700 Ross Ave E,Timmins, ON,Timmins ON  P4N 8P2,Canada,Phone:(705) 267-2131,Fax:(705) 264-6524,County:Territorial District of Cochrane,Electoral District:08</t>
  </si>
  <si>
    <t>First certificate of registration issued: Academic Practice Certificate||Effective:   25 Aug 1986
Transfer of class of registration to: Postgraduate Education Certificate||Effective:   09 Feb 1989
Expired: Terms and conditions of certificate of registration||Expiry:      31 Oct 1990
Subsequent certificate of registration Issued: Independent Practice Certificate||Effective:   29 Nov 1990</t>
  </si>
  <si>
    <t>Sidhu McDowall Medicine Professional Corporation</t>
  </si>
  <si>
    <t>Dr. M. McDowall (CPSO# 60739),Dr. G. Sidhu (CPSO# 57687)</t>
  </si>
  <si>
    <t>502 Oxford Street East,London ON  N5Y 3H7,(519) 645-6000
506 Oxford Street East,506 Oxford Street East,London ON  N5Y 3H7,(519) 672-5878</t>
  </si>
  <si>
    <t>55038</t>
  </si>
  <si>
    <t xml:space="preserve">Active Member as of 15 Dec 1984 </t>
  </si>
  <si>
    <t xml:space="preserve">Restricted as of 15 Dec 1988 </t>
  </si>
  <si>
    <t>English, Kannada</t>
  </si>
  <si>
    <t>Karnatak Institute of Medical Science, 1971</t>
  </si>
  <si>
    <t>309 Commissioners Road West,London ON  N6J 1Y4</t>
  </si>
  <si>
    <t>(519) 474-4191</t>
  </si>
  <si>
    <t>(519) 473-7284</t>
  </si>
  <si>
    <t>First certificate of registration issued: Academic Practice Certificate||Effective:   15 Dec 1984
Transfer of class of certificate to: Restricted certificate||Effective:   15 Dec 1988
Terms and conditions imposed on certificate by Registration Committee||Effective:   15 Dec 1988</t>
  </si>
  <si>
    <t>Dr. G. N. Swamy Medicine Professional Corporation</t>
  </si>
  <si>
    <t>Issued Date:  Dec 09 2005</t>
  </si>
  <si>
    <t>Dr. G. Swamy (CPSO# 55038)</t>
  </si>
  <si>
    <t>309 Commissioners Road West,Unit A - Level II,London ON  N6J 1Y4,(519) 474-4191</t>
  </si>
  <si>
    <t>110614</t>
  </si>
  <si>
    <t xml:space="preserve">Active Member as of 26 Jul 2016 </t>
  </si>
  <si>
    <t xml:space="preserve">Restricted as of 26 Jul 2016 </t>
  </si>
  <si>
    <t>University of Buenos Aires, 1991</t>
  </si>
  <si>
    <t>Queen's University,Department of Psychiatry,752 King Street West,Kingston ON  K7M 2G4</t>
  </si>
  <si>
    <t>(613) 548-5567</t>
  </si>
  <si>
    <t>Psychiatry||Effective: 26 Jul 2016||CPSO Recognized Specialist</t>
  </si>
  <si>
    <t>First certificate of registration issued: Restricted certificate||Effective:   26 Jul 2016
Terms and conditions imposed on certificate by Registration Committee||Effective:   26 Jul 2016
Expiry date attached to certificate of registration.||Expiry Date: 30 Jun 2019</t>
  </si>
  <si>
    <t>88883</t>
  </si>
  <si>
    <t>CAMH College Street Site,250 College Street,Toronto ON  M5T 1R8</t>
  </si>
  <si>
    <t>University of Toronto, 01 Jul 2008  to 30 Jun 2009|PostGrad Yr 1 - Psychiatry
University of Toronto, 01 Jul 2009  to 30 Jun 2010|PostGrad Yr 2 - Psychiatry
University of Toronto, 01 Jul 2010  to 30 Jun 2011|PostGrad Yr 3 - Psychiatry
University of Toronto, 01 Jul 2011  to 30 Jun 2012|PostGrad Yr 4 - Psychiatry
University of Toronto, 01 Jul 2012  to 30 Jun 2013|PostGrad Yr 5 - Psychiatry
University of Toronto, 01 Jul 2013  to 30 Jun 2014|PostGrad Yr 5 - Psychiatry
University of Toronto, 01 Jul 2014  to 30 Jun 2015|Clinical Fellow - Psychiatry
University of Toronto, 01 Jul 2015  to 30 Jun 2016|Clinical Fellow - Psychiatry</t>
  </si>
  <si>
    <t>Dr. Gwyneth Zai Medicine Professional Corporation</t>
  </si>
  <si>
    <t>Issued Date:  Apr 18 2017</t>
  </si>
  <si>
    <t>Dr. G. Zai (CPSO# 88883)</t>
  </si>
  <si>
    <t>CAMH College Street Site,250 College Street,Toronto ON  M5T 1R8,(416) 535-8501</t>
  </si>
  <si>
    <t>96241</t>
  </si>
  <si>
    <t>Windsor University, 2011</t>
  </si>
  <si>
    <t>Women's College Hospital,76 Grenville Street,Toronto, ON,Toronto ON  M5S 1B2</t>
  </si>
  <si>
    <t>416-323-6400</t>
  </si>
  <si>
    <t>The University of Western Ontario, 01 Jul 2011  to 24 Oct 2011|Assessment Verification Period - Psychiatry
The University of Western Ontario, 25 Oct 2011  to 30 Jun 2012|PostGrad Yr 1 - Psychiatry
The University of Western Ontario, 01 Jul 2012  to 30 Jun 2013|PostGrad Yr 2 - Psychiatry
The University of Western Ontario, 01 Jul 2013  to 30 Jun 2014|PostGrad Yr 3 - Psychiatry
The University of Western Ontario, 01 Jul 2014  to 30 Jun 2015|PostGrad Yr 4 - Psychiatry
The University of Western Ontario, 01 Jul 2015  to 30 Jun 2016|PostGrad Yr 5 - Psychiatry
University of Toronto, 01 Nov 2016  to 30 Jun 2017|Clinical Fellow - Psychiatry
University of Toronto, 01 Jul 2017  to 30 Jun 2018|Clinical Fellow - Psychiatry
University of Toronto, 01 Jul 2018  to 31 Oct 2018|Clinical Fellow - Psychiatry</t>
  </si>
  <si>
    <t>First certificate of registration issued: Pre Entry Assessment Program Certificate||Effective:   01 Jul 2011
Transfer of class of registration to: Postgraduate Education Certificate||Effective:   25 Oct 2011
Transfer of class of registration to: Independent Practice Certificate||Effective:   30 Jun 2016</t>
  </si>
  <si>
    <t>55264</t>
  </si>
  <si>
    <t xml:space="preserve">Independent Practice as of 10 Jul 1989 </t>
  </si>
  <si>
    <t>English, Korean</t>
  </si>
  <si>
    <t>Yonsei University, 1978</t>
  </si>
  <si>
    <t>84 Finch Avenue West,Toronto ON  M2N 2H4</t>
  </si>
  <si>
    <t>(416) 224-2685</t>
  </si>
  <si>
    <t>(416) 224-1736</t>
  </si>
  <si>
    <t>First certificate of registration issued: Postgraduate Education Certificate||Effective:   01 Jul 1985
Transfer of class of registration to: Independent Practice Certificate||Effective:   10 Jul 1989</t>
  </si>
  <si>
    <t>Dr. Hae Kim Medicine Professional Corporation</t>
  </si>
  <si>
    <t>Inactive: Feb  2 2016</t>
  </si>
  <si>
    <t>79844</t>
  </si>
  <si>
    <t>Hanyang University, 1986</t>
  </si>
  <si>
    <t>Parkwood Institute, Mental Health,Geriatric Psychiatry,PO Box 5777, Stn B,London ON  N6A 4V3</t>
  </si>
  <si>
    <t>The University of Western Ontario, 01 Jul 2003  to 30 Jun 2004|PostGrad Yr 1 - Psychiatry
The University of Western Ontario, 01 Jul 2004  to 30 Jun 2005|PostGrad Yr 2 - Psychiatry
The University of Western Ontario, 01 Jul 2005  to 30 Jun 2006|PostGrad Yr 3 - Psychiatry
The University of Western Ontario, 01 Jul 2006  to 30 Jun 2007|PostGrad Yr 4 - Psychiatry
The University of Western Ontario, 01 Jul 2007  to 30 Jun 2008|PostGrad Yr 5 - Psychiatry</t>
  </si>
  <si>
    <t>Dr. Hae-Ryun Park Medicine Professional Corporation</t>
  </si>
  <si>
    <t>Issued Date:  Jul 02 2013</t>
  </si>
  <si>
    <t>Dr. H. Park (CPSO# 79844)</t>
  </si>
  <si>
    <t>Parkwood Institute, Mental Health,Geriatric Psychiatry,550 Wellington Road,London ON  N6C 0A7,(519) 455-5110</t>
  </si>
  <si>
    <t>51582</t>
  </si>
  <si>
    <t xml:space="preserve">Active Member as of 15 Jun 1972 </t>
  </si>
  <si>
    <t xml:space="preserve">Independent Practice as of 10 Mar 1983 </t>
  </si>
  <si>
    <t>Academy of Medicine, Warsaw, 1959</t>
  </si>
  <si>
    <t>Schizophrenia Outpatient Clinic,St. Joseph's Healthcare Hamilton,100 West 5th, Street,Hamilton ON  L8N 3K7</t>
  </si>
  <si>
    <t>(905) 522-1155 Ext. 39032</t>
  </si>
  <si>
    <t>Psychiatry||Effective: 23 Nov 1982||RCPSC Specialist</t>
  </si>
  <si>
    <t>First certificate of registration issued: Postgraduate Education Certificate||Effective:   15 Jun 1972
Transfer of class of registration to: Independent Practice Certificate||Effective:   10 Mar 1983</t>
  </si>
  <si>
    <t>51655</t>
  </si>
  <si>
    <t xml:space="preserve">Active Member as of 05 Jan 1982 </t>
  </si>
  <si>
    <t xml:space="preserve">Independent Practice as of 05 Jul 1986 </t>
  </si>
  <si>
    <t>Arabic, English, French, Italian</t>
  </si>
  <si>
    <t>3850 Finch Ave.,E,Suite 208,Scarborough ON  M1T 3T6</t>
  </si>
  <si>
    <t>(416) 298-8033</t>
  </si>
  <si>
    <t>(416) 298-8572</t>
  </si>
  <si>
    <t>First certificate of registration issued: Postgraduate Education Certificate||Effective:   05 Jan 1982
Transfer of class of registration to: Hospital Practice Certificate||Effective:   01 Jul 1986
Transfer of class of registration to: Independent Practice Certificate||Effective:   05 Jul 1986</t>
  </si>
  <si>
    <t>55276</t>
  </si>
  <si>
    <t xml:space="preserve">Active Member as of 11 Jul 1991 </t>
  </si>
  <si>
    <t xml:space="preserve">Independent Practice as of 11 Jul 1991 </t>
  </si>
  <si>
    <t>Academy of Medicine, Wroclaw, 1980</t>
  </si>
  <si>
    <t>278 O'Connor Street,Ottawa ON  K2P 1V4</t>
  </si>
  <si>
    <t>(613) 233-1565</t>
  </si>
  <si>
    <t>(613) 233-1851</t>
  </si>
  <si>
    <t>First certificate of registration issued: Postgraduate Education Certificate||Effective:   01 Jul 1985
Expired: Terms and conditions of certificate of registration||Expiry:      30 Jun 1991
Subsequent certificate of registration Issued: Independent Practice Certificate||Effective:   11 Jul 1991</t>
  </si>
  <si>
    <t>Hanna Brzezinska-Pytlak Medicine Professional Corporation</t>
  </si>
  <si>
    <t>Issued Date:  Aug 05 2010</t>
  </si>
  <si>
    <t>Dr. H. Brzezinska-Pytlak (CPSO# 55276)</t>
  </si>
  <si>
    <t>278 O'Connor Street,Ottawa ON  K2P 1V4,(613) 233-1565</t>
  </si>
  <si>
    <t>101276</t>
  </si>
  <si>
    <t>Ctr for Addiction &amp; Mental Health,Unit 3-4,1001 Queen Street West,Toronto ON  M6J 1H4</t>
  </si>
  <si>
    <t>University of Toronto, 01 Jul 2013  to 30 Jun 2014|PostGrad Yr 1 - Psychiatry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
University of Toronto, 01 Jul 2018  to 30 Jun 2019|PostGrad Yr 6 - Forensic Psychiatry</t>
  </si>
  <si>
    <t>95977</t>
  </si>
  <si>
    <t xml:space="preserve">Independent Practice as of 11 Jan 2017 </t>
  </si>
  <si>
    <t>University of Toronto, 01 Jul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Child and Adolescent Psychiatry
University of Toronto, 01 Jul 2016  to 30 Jun 2017|PostGrad Yr 6 - Child and Adolescent Psychiatry</t>
  </si>
  <si>
    <t>First certificate of registration issued: Postgraduate Education Certificate||Effective:   01 Jul 2011
Transfer of class of registration to: Independent Practice Certificate||Effective:   11 Jan 2017</t>
  </si>
  <si>
    <t>58662</t>
  </si>
  <si>
    <t xml:space="preserve">Independent Practice as of 23 Oct 1987 </t>
  </si>
  <si>
    <t>Memorial University of Newfoundland, 1986</t>
  </si>
  <si>
    <t>Suite 742,118 Eglinton Avenue West,Toronto ON  M4R 2G4</t>
  </si>
  <si>
    <t>(416) 929-6931</t>
  </si>
  <si>
    <t>First certificate of registration issued: Postgraduate Education Certificate||Effective:   01 Jul 1987
Transfer of class of registration to: Independent Practice Certificate||Effective:   23 Oct 1987</t>
  </si>
  <si>
    <t>Hannah Wilansky Medicine Professional Corporation</t>
  </si>
  <si>
    <t>Inactive: Aug 16 2018</t>
  </si>
  <si>
    <t>57715</t>
  </si>
  <si>
    <t xml:space="preserve">Active Member as of 15 Sep 1986 </t>
  </si>
  <si>
    <t>Koka, Koka Hanumantha (used until: 18 Sep 1989 )</t>
  </si>
  <si>
    <t>English, Telugu</t>
  </si>
  <si>
    <t>Karnatak University Dharwar, 1974</t>
  </si>
  <si>
    <t>Health Sciences North:Sudbury
North Shore Health Network:Blind River
St Joseph's General Hospital,Elliot Lake:Elliot Lake</t>
  </si>
  <si>
    <t>First certificate of registration issued: Academic Practice Certificate||Effective:   15 Sep 1986
Transfer of class of registration to: Independent Practice Certificate||Effective:   12 Jul 1990</t>
  </si>
  <si>
    <t>Dr. H. Rayudu Koka Medicine Professional Corporation</t>
  </si>
  <si>
    <t>Issued Date:  Dec 18 2007</t>
  </si>
  <si>
    <t>Dr. H. Koka (CPSO# 57715)</t>
  </si>
  <si>
    <t>680 Kirkwood Drive,Sudbury ON  P3E 1X3,(705) 675-5900</t>
  </si>
  <si>
    <t>50161</t>
  </si>
  <si>
    <t xml:space="preserve">Active Member as of 31 Dec 1979 </t>
  </si>
  <si>
    <t xml:space="preserve">Independent Practice as of 30 Aug 1983 </t>
  </si>
  <si>
    <t>University of Cairo, 1975</t>
  </si>
  <si>
    <t>Ottawa Hospital General Campus,4th Floor,501 Smyth Road,Ottawa ON  K1H 8L6</t>
  </si>
  <si>
    <t>(613) 737-8042</t>
  </si>
  <si>
    <t>(613) 737-8085</t>
  </si>
  <si>
    <t>1929 Russell road, unit 310,Ottawa, Ontario,K1G 4G3,Ottawa ON  K1G 4G3,Canada,Phone:(613) 737-6649,Fax:(613) 737-6569,County:Regional Municipality of Ottawa-Carleton,Electoral District:07</t>
  </si>
  <si>
    <t>Ottawa Hospital,General Site:Ottawa
Royal Ottawa Health Care Group,Brockville Mental Health Centre:Brockville</t>
  </si>
  <si>
    <t>University of Toronto, 08 Jan 1996  to 30 Jun 1996|Clinical Fellow - Psychiatry</t>
  </si>
  <si>
    <t>First certificate of registration issued: Postgraduate Education Certificate||Effective:   31 Dec 1979
Transfer of class of registration to: Academic Practice Certificate||Effective:   01 Jul 1983
Transfer of class of registration to: Independent Practice Certificate||Effective:   30 Aug 1983</t>
  </si>
  <si>
    <t>Dr. Hany Bissada Medicine Professional Corporation</t>
  </si>
  <si>
    <t>Issued Date:  Mar 04 2009</t>
  </si>
  <si>
    <t>Dr. H. Bissada (CPSO# 50161)</t>
  </si>
  <si>
    <t>Ottawa Hospital General Campus,4th Floor,501 Smyth Road,Ottawa ON  K1H 8L6,(613) 737-8042
1929 Russel Road,1929 Russel Road,Suite 310,Ottawa ON  K1G 4G3,(613) 614-4878</t>
  </si>
  <si>
    <t>51620</t>
  </si>
  <si>
    <t xml:space="preserve">Active Member as of 03 Sep 1981 </t>
  </si>
  <si>
    <t xml:space="preserve">Independent Practice as of 23 Jul 1985 </t>
  </si>
  <si>
    <t>University of Alexandria, 1974</t>
  </si>
  <si>
    <t>5035 Hurontario Street,Mississauga ON  L4Z3X7</t>
  </si>
  <si>
    <t>9052752131</t>
  </si>
  <si>
    <t>640 Eglinton Avenue West,Mississauga ON  L5R3V2,Canada,Phone:9052680520,County:Regional Municipality of Peel,Electoral District:05</t>
  </si>
  <si>
    <t>USA - Virginia</t>
  </si>
  <si>
    <t>First certificate of registration issued: Postgraduate Education Certificate||Effective:   03 Sep 1981
Transfer of class of registration to: Independent Practice Certificate||Effective:   23 Jul 1985</t>
  </si>
  <si>
    <t>93525</t>
  </si>
  <si>
    <t>Christian Medical College, 2003</t>
  </si>
  <si>
    <t>Grand River Hospital,Department Of Psychiatry,850 King Street West,Kitchener ON  N2G 1G3</t>
  </si>
  <si>
    <t>(519) 749-4300 Ext. 3968</t>
  </si>
  <si>
    <t>(519) 749-4456</t>
  </si>
  <si>
    <t>16 Andrew Street,Kitchener ON  N2H5R2,Canada,Phone:519-804-9234,County:Regional Municipality of Waterloo,Electoral District:03
Univ. of Waterloo Health Services,200 University Ave. West,Waterloo ON  N2L 3G1,Canada,Phone:519-888-4990,Fax:519-888-4306,County:Regional Municipality of Waterloo,Electoral District:03
Student Wellness Centre,Wilfred Laurier University,75 University Ave. West,Waterloo ON  N2L 3C5,Canada,Phone:519-884-0710 Ext. 3146,County:Regional Municipality of Waterloo,Electoral District:03</t>
  </si>
  <si>
    <t>McMaster University, 01 Jul 2010  to 31 Dec 2010|Elective Trainee - Psychiatry</t>
  </si>
  <si>
    <t>First certificate of registration issued: Postgraduate Education Certificate||Effective:   01 Jul 2010
Expired: Terms and conditions of certificate of registration||Expiry:      31 Dec 2010
Subsequent certificate of registration Issued: Independent Practice Certificate||Effective:   30 Jun 2012</t>
  </si>
  <si>
    <t>Dr. Rahil Medicine Professional Corporation</t>
  </si>
  <si>
    <t>Issued Date:  Sep 27 2012</t>
  </si>
  <si>
    <t>Dr. H. Ghuman (CPSO# 93525),Dr. P. Rahil (CPSO# 84812)</t>
  </si>
  <si>
    <t>Grand River Hospital,Department of Psychiatry,850 King Street West,Kitchener ON  N2G 1G3,(519) 749-4300
Conestoga College Health Services,Conestoga College Health Services,299 Doon Valley Drive,Kitchener ON  N2G 4M4,(519) 748-5220
211 - 83 Dawson Road,211 - 83 Dawson Road,Guelph ON  N1H 1B1,(519) 780-0375
University of Waterloo Health Services,University of Waterloo Health Services,200 University Avenue West,Waterloo ON  N2L 3G1,(519) 888-4990
Student Wellness Centre,Student Wellness Centre,Wilfred Wellness Centre,75 University Avenue West,Waterloo ON  N2L 3C5,(519) 884-0710
16 Andrew street,16 Andrew street,Kitchener ON  N2H 5R2,(519) 804-9234</t>
  </si>
  <si>
    <t>67404</t>
  </si>
  <si>
    <t xml:space="preserve">Independent Practice as of 12 Aug 1997 </t>
  </si>
  <si>
    <t>University of Delhi, 1987</t>
  </si>
  <si>
    <t>Brampton Civic Hospital,Suite 1423,2100 Bovaird Drive,Brampton ON  L6R 3J7</t>
  </si>
  <si>
    <t>(905) 494-6695</t>
  </si>
  <si>
    <t>Peel memorial Centre,20 Lynch Street,Brampton ON  L6W 2Z8,Canada,Phone:416 494 2120,Fax:905 494 6710,County:Regional Municipality of Peel,Electoral District:05</t>
  </si>
  <si>
    <t>Psychiatry||Effective: 12 Aug 1997||RCPSC Specialist</t>
  </si>
  <si>
    <t>The University of Western Ontario, 01 Jul 1993  to 30 Jun 1994|Resident 1 - Psychiatry
The University of Western Ontario, 01 Jul 1994  to 30 Jun 1995|Resident 2 - Psychiatry
The University of Western Ontario, 01 Jul 1995  to 30 Jun 1996|Resident 3 - Psychiatry
The University of Western Ontario, 01 Jul 1996  to 30 Jun 1997|Resident 4 - Psychiatry
The University of Western Ontario, 01 Jul 1997  to 12 Aug 1997|Resident 4 - Psychiatry</t>
  </si>
  <si>
    <t>First certificate of registration issued: Postgraduate Education Certificate||Effective:   13 Aug 1993
Transfer of class of registration to: Independent Practice Certificate||Effective:   12 Aug 1997</t>
  </si>
  <si>
    <t>Bami Medicine Professional Corporation</t>
  </si>
  <si>
    <t>Issued Date:  Sep 29 2005</t>
  </si>
  <si>
    <t>Dr. H. Bami (CPSO# 67404)</t>
  </si>
  <si>
    <t>20 Lynch Street,Brampton ON  L6W 2Z8,(905) 494-2120
1423 - 2100 Bovaird Drive,1423 - 2100 Bovaird Drive,Brampton ON  L6R 3J7,(905) 494-6695</t>
  </si>
  <si>
    <t>24760</t>
  </si>
  <si>
    <t xml:space="preserve">Active Member as of 04 Jul 1972 </t>
  </si>
  <si>
    <t xml:space="preserve">Independent Practice as of 04 Jul 1972 </t>
  </si>
  <si>
    <t>First certificate of registration issued: Independent Practice Certificate||Effective:   04 Jul 1972</t>
  </si>
  <si>
    <t>60023</t>
  </si>
  <si>
    <t xml:space="preserve">Independent Practice as of 01 Aug 1989 </t>
  </si>
  <si>
    <t>The University of Manitoba, 1986</t>
  </si>
  <si>
    <t>St. Michael's Hospital,Department of Psychiatry,30 Bond Street,Toronto ON  M5B 1W8</t>
  </si>
  <si>
    <t>(416) 864-3085</t>
  </si>
  <si>
    <t>University of Toronto, 01 Jul 1994  to 31 Aug 1994|Clinical Fellow - Psychiatry</t>
  </si>
  <si>
    <t>First certificate of registration issued: Postgraduate Education Certificate||Effective:   01 Jul 1988
Transfer of class of registration to: Independent Practice Certificate||Effective:   01 Aug 1989</t>
  </si>
  <si>
    <t>Dr. Harold Spivak Medicine Professional Corporation</t>
  </si>
  <si>
    <t>Issued Date:  Apr 19 2012</t>
  </si>
  <si>
    <t>Dr. H. Spivak (CPSO# 60023)</t>
  </si>
  <si>
    <t>St. Michael's Hospital,Department of Psychiatry,Suite 17-002 - Cardinal Carter Wing,30 Bond Street,Toronto ON  M5B 1W8,(416) 864-3085</t>
  </si>
  <si>
    <t>51077</t>
  </si>
  <si>
    <t>Offord Centre for Child Studies,McMaster Innovation Park Suite 201A,McMaster University,1280 Main St. West,Hamilton ON  L8S 4K1</t>
  </si>
  <si>
    <t>(905) 525-9140 Ext. 21485</t>
  </si>
  <si>
    <t>(905) 574-6665</t>
  </si>
  <si>
    <t>Pediatrics||Effective: 20 Jun 1986||RCPSC Specialist
Psychiatry||Effective: 29 May 1989||RCPSC Specialist</t>
  </si>
  <si>
    <t>First certificate of registration issued: Postgraduate Education Certificate||Effective:   01 Jul 1982
Transfer of class of registration to: Independent Practice Certificate||Effective:   30 Dec 1985</t>
  </si>
  <si>
    <t>53197</t>
  </si>
  <si>
    <t xml:space="preserve">Active Member as of 26 Jun 1997 </t>
  </si>
  <si>
    <t xml:space="preserve">Independent Practice as of 26 Jun 1997 </t>
  </si>
  <si>
    <t>Main National University of San Marcos, 1980</t>
  </si>
  <si>
    <t>South Lake Regional Health Centre,596 Davis Drive,Newmarket ON  L3Y 2P9</t>
  </si>
  <si>
    <t>(905) 895-4521 Ext. 2166</t>
  </si>
  <si>
    <t>(905) 830-5987</t>
  </si>
  <si>
    <t>University of Ottawa, 01 Jul 1983  to 30 Jun 1984|Resident 1 - Pediatrics
University of Ottawa, 01 Jul 1984  to 30 Jun 1985|Resident 2 - Pediatrics
University of Ottawa, 01 Jul 1985  to 30 Jun 1986|Resident 2 - Pediatrics
University of Toronto, 01 Jul 1990  to 30 Jun 1991|Resident 1 - Psychiatry
University of Toronto, 01 Jul 1991  to 30 Jun 1992|Resident 2 - Psychiatry
University of Toronto, 01 Jul 1992  to 30 Jun 1993|Resident 3 - Psychiatry
University of Toronto, 01 Jul 1993  to 17 Aug 1993|Resident 3 - Psychiatry
University of Toronto, 18 Aug 1993  to 30 Jun 1994|Resident 4 - Psychiatry
University of Toronto, 01 Jul 1994  to 30 Jun 1995|Resident 4 - Psychiatry</t>
  </si>
  <si>
    <t>First certificate of registration issued: Postgraduate Education Certificate||Effective:   01 Jul 1983
Expired: Terms and conditions of certificate of registration||Expiry:      30 Jun 1986
Subsequent certificate of registration Issued: Postgraduate Education Certificate||Effective:   29 Aug 1990
Expired: Terms and conditions of certificate of registration||Expiry:      30 Jun 1995
Subsequent certificate of registration issued: Restricted certificate||Effective:   27 Jul 1995
Expired: Terms and conditions imposed on certificate by Registration Committee||Effective:   30 Jun 1996
Subsequent certificate of registration issued: Restricted certificate||Effective:   16 Sep 1996
Expired: Terms and conditions imposed on certificate by Registration Committee||Effective:   26 Jun 1997
Subsequent certificate of registration Issued: Independent Practice Certificate||Effective:   26 Jun 1997</t>
  </si>
  <si>
    <t>17961</t>
  </si>
  <si>
    <t xml:space="preserve">Active Member as of 30 Jun 1961 </t>
  </si>
  <si>
    <t xml:space="preserve">Independent Practice as of 30 Jun 1961 </t>
  </si>
  <si>
    <t>West Parry Sound Health Centre,Ambulatory Care,6 Albert Street,Parry Sound ON  P2A 3A4</t>
  </si>
  <si>
    <t>(705) 746-4540</t>
  </si>
  <si>
    <t>Hospital For Sick Children:Toronto
West Parry Sound Health Centre:Parry Sound</t>
  </si>
  <si>
    <t>Psychiatry||Effective: 16 Nov 1965||RCPSC Specialist</t>
  </si>
  <si>
    <t>First certificate of registration issued: Postgraduate Education Certificate||Effective:   24 Jun 1960
Transfer of class of registration to: Independent Practice Certificate||Effective:   30 Jun 1961</t>
  </si>
  <si>
    <t>18034</t>
  </si>
  <si>
    <t xml:space="preserve">Active Member as of 19 Jul 1961 </t>
  </si>
  <si>
    <t xml:space="preserve">Independent Practice as of 19 Jul 1961 </t>
  </si>
  <si>
    <t>Unit 15,951 Wilson Avenue,Toronto ON  M3K 2A7</t>
  </si>
  <si>
    <t>(416) 746-3012</t>
  </si>
  <si>
    <t>(416)746-7016</t>
  </si>
  <si>
    <t>First certificate of registration issued: Independent Practice Certificate||Effective:   19 Jul 1961</t>
  </si>
  <si>
    <t>H. Moldofsky Medicine Professional Corporation</t>
  </si>
  <si>
    <t>Inactive: Dec 20 2016</t>
  </si>
  <si>
    <t>68573</t>
  </si>
  <si>
    <t xml:space="preserve">Active Member as of 30 Sep 1994 </t>
  </si>
  <si>
    <t xml:space="preserve">Independent Practice as of 30 Sep 1994 </t>
  </si>
  <si>
    <t>Bengali, English</t>
  </si>
  <si>
    <t>Dacca Medical College, 1976</t>
  </si>
  <si>
    <t>Department Of Psychiatry,The Royal Victoria Hospital,201 Georgian Drive,Barrie ON  L4M 6M2</t>
  </si>
  <si>
    <t>First certificate of registration issued: Independent Practice Certificate||Effective:   30 Sep 1994</t>
  </si>
  <si>
    <t>Hassan Hakim Medicine Professional Corporation</t>
  </si>
  <si>
    <t>Issued Date:  Nov 01 2005</t>
  </si>
  <si>
    <t>Dr. H. Hakim (CPSO# 68573)</t>
  </si>
  <si>
    <t>The Royal Victoria Hospital,201 Georgian Drive,Barrie ON  L4M 6M2,(705) 728-9090</t>
  </si>
  <si>
    <t>77895</t>
  </si>
  <si>
    <t>Unit 515,600 Sherbourne Street,Toronto ON  M4X 1W4</t>
  </si>
  <si>
    <t>(647) 722-4147</t>
  </si>
  <si>
    <t>(866) 711-8504</t>
  </si>
  <si>
    <t>Hau Truong Medicine Professional Corporation</t>
  </si>
  <si>
    <t>Issued Date:  Sep 26 2007</t>
  </si>
  <si>
    <t>Dr. H. Truong (CPSO# 77895)</t>
  </si>
  <si>
    <t>515 - 600 Sherbourne Street,Toronto ON  M4X 1W4,(647) 722-4147</t>
  </si>
  <si>
    <t>79019</t>
  </si>
  <si>
    <t xml:space="preserve">Active Member as of 06 Aug 2017 </t>
  </si>
  <si>
    <t xml:space="preserve">Restricted as of 06 Mar 2017 </t>
  </si>
  <si>
    <t>Arabic, English, German</t>
  </si>
  <si>
    <t>Unit 211,101 Spadina Avenue,Toronto ON  M5V 2K2</t>
  </si>
  <si>
    <t>(647) 347-8186</t>
  </si>
  <si>
    <t>(647) 347-8187</t>
  </si>
  <si>
    <t>First certificate of registration issued: Postgraduate Education Certificate||Effective:   01 Jul 2003
Expired: Terms and conditions of certificate of registration||Expiry:      30 Jun 2008
Subsequent certificate of registration Issued: Independent Practice Certificate||Effective:   15 Jan 2009
Transfer of class of certificate to: Restricted certificate||Effective:   06 Mar 2017
Terms and conditions imposed on certificate by member||Effective:   06 Mar 2017
Suspension of registration imposed: Discipline Committee||Effective:   06 Apr 2017
Suspension of registration removed||Effective:   06 Aug 2017</t>
  </si>
  <si>
    <t>Dr. Haya Maal-Bared Medicine Professional Corporation</t>
  </si>
  <si>
    <t>Issued Date:  Mar 22 2010</t>
  </si>
  <si>
    <t>Dr. H. Maal-Bared (CPSO# 79019)</t>
  </si>
  <si>
    <t>Suite 211,101 Spadina Avenue,Toronto ON  M5V 2K2,(647) 347-8186</t>
  </si>
  <si>
    <t>42396</t>
  </si>
  <si>
    <t xml:space="preserve">Active Member as of 30 Nov 2000 </t>
  </si>
  <si>
    <t xml:space="preserve">Independent Practice as of 30 Nov 2000 </t>
  </si>
  <si>
    <t>University of London, 1967</t>
  </si>
  <si>
    <t>32 Candian Forces Base HSC,701 Oxford Street East N5Y 4T7,Medical Clinic,London ON  N5Y 4T7</t>
  </si>
  <si>
    <t>519-660-5275</t>
  </si>
  <si>
    <t>519-660-5274</t>
  </si>
  <si>
    <t>Radiation Oncology||Effective: 20 Mar 1987||RCPSC Specialist
Psychiatry||Effective: 14 Nov 1990||RCPSC Specialist</t>
  </si>
  <si>
    <t>First certificate of registration issued: Academic Practice Certificate||Effective:   01 Jul 1980
Transfer of class of registration to: Independent Practice Certificate||Effective:   29 Jul 1986
Expired: Resigned from membership.||Expiry:      01 Jun 1993
Subsequent certificate of registration Issued: Independent Practice Certificate||Effective:   30 Nov 2000</t>
  </si>
  <si>
    <t>58851</t>
  </si>
  <si>
    <t xml:space="preserve">Active Member as of 08 Jul 1987 </t>
  </si>
  <si>
    <t xml:space="preserve">Independent Practice as of 08 Jul 1987 </t>
  </si>
  <si>
    <t>(613) 737-7600 Ext. 3740</t>
  </si>
  <si>
    <t>Psychiatry||Effective: 17 Nov 1994||RCPSC Specialist</t>
  </si>
  <si>
    <t>First certificate of registration issued: Independent Practice Certificate||Effective:   08 Jul 1987</t>
  </si>
  <si>
    <t>H. Gandy Medicine Professional Corporation</t>
  </si>
  <si>
    <t>Dr. H. Gandy (CPSO# 58851)</t>
  </si>
  <si>
    <t>51368</t>
  </si>
  <si>
    <t>24 Yonge Street,Kingston ON  K7M 1E3</t>
  </si>
  <si>
    <t>613-545-2227</t>
  </si>
  <si>
    <t>79248</t>
  </si>
  <si>
    <t>Sunnybrook Health Sciences Centre,2075 Bayview Avenue,Toronto, ONtario,Toronto ON  M4N 3M5</t>
  </si>
  <si>
    <t>416-480-4089</t>
  </si>
  <si>
    <t>416-480-5119</t>
  </si>
  <si>
    <t>University of Toronto, 01 Jul 2003  to 30 Jun 2004|PostGrad Yr 1 - Anesthesiology
University of Toronto, 01 Jul 2004  to 30 Jun 2005|PostGrad Yr 2 - Psychiatry
University of Toronto, 01 Jul 2005  to 30 Jun 2006|PostGrad Yr 3 - Psychiatry
University of Toronto, 01 Jul 2006  to 30 Jun 2007|PostGrad Yr 4 - Psychiatry
University of Toronto, 01 Jul 2007  to 30 Jun 2008|PostGrad Yr 5 - Psychiatry
University of Toronto, 01 Jul 2008  to 30 Jun 2009|PostGrad Yr 5 - Psychiatry</t>
  </si>
  <si>
    <t>First certificate of registration issued: Postgraduate Education Certificate||Effective:   01 Jul 2003
Transfer of class of registration to: Independent Practice Certificate||Effective:   30 Jun 2009</t>
  </si>
  <si>
    <t>Dr. H. Flett Medicine Professional Corporation</t>
  </si>
  <si>
    <t>Dr. H. Flett (CPSO# 79248)</t>
  </si>
  <si>
    <t>Sunnybrook Health Sciences Centre,2075 Bayview Avenue,Toronto ON  M4N 3M5,(416) 480-6100</t>
  </si>
  <si>
    <t>33639</t>
  </si>
  <si>
    <t xml:space="preserve">Active Member as of 09 Aug 1982 </t>
  </si>
  <si>
    <t xml:space="preserve">Independent Practice as of 09 Aug 1982 </t>
  </si>
  <si>
    <t>Suite 301,845 St Clair Avenue West,Toronto ON  M6C 1C3</t>
  </si>
  <si>
    <t>(416) 656-8359</t>
  </si>
  <si>
    <t>(416) 656-8760</t>
  </si>
  <si>
    <t>Hospital For Sick Children:Toronto
University Health Network,Toronto General Hospital Site:Toronto</t>
  </si>
  <si>
    <t>First certificate of registration issued: Postgraduate Education Certificate||Effective:   01 Jul 1979
Transfer of class of registration to: Independent Practice Certificate||Effective:   09 Aug 1982</t>
  </si>
  <si>
    <t>91266</t>
  </si>
  <si>
    <t>Memorial University of Newfoundland, 2009</t>
  </si>
  <si>
    <t>The Ottawa Hospital Civic Campus,Outpatient Psychiatry Program,1053 Carling Avenue,Ottawa ON  K1Y 4E9</t>
  </si>
  <si>
    <t>(613) 798-5555 Ext. 14581</t>
  </si>
  <si>
    <t>University of Ottawa, 01 Jul 2009  to 30 Jun 2010|PostGrad Yr 1 - Psychiatry
University of Ottawa, 01 Jul 2010  to 30 Jun 2011|PostGrad Yr 2 - Psychiatry
University of Ottawa, 01 Jul 2011  to 30 Jun 2012|PostGrad Yr 3 - Psychiatry
University of Ottawa, 01 Jul 2012  to 30 Jun 2013|PostGrad Yr 4 - Psychiatry
University of Ottawa, 01 Jul 2013  to 30 Jun 2014|PostGrad Yr 5 - Psychiatry</t>
  </si>
  <si>
    <t>H. E. King Medicine Professional Corporation</t>
  </si>
  <si>
    <t>Issued Date:  Sep 29 2016</t>
  </si>
  <si>
    <t>Dr. H. King (CPSO# 91266)</t>
  </si>
  <si>
    <t>The Ottawa Hospital-Civic Campus,Outpatient Psychiatry Program,1053 Carling Avenue,Ottawa ON  K1Y 4E9,(613) 798-5555</t>
  </si>
  <si>
    <t>90732</t>
  </si>
  <si>
    <t>Heidi Chau Medicine Professional Corporation</t>
  </si>
  <si>
    <t>Inactive: Dec 19 2016</t>
  </si>
  <si>
    <t>79312</t>
  </si>
  <si>
    <t>Memorial University of Newfoundland, 2003</t>
  </si>
  <si>
    <t>Zone B 8th Floor Room B8-158,800 Commisioners Rd E,London ON  N6A 5W9</t>
  </si>
  <si>
    <t>(519) 685-8500 Ext. 76673</t>
  </si>
  <si>
    <t>(519) 667-6514</t>
  </si>
  <si>
    <t>London Health Sciences Centre,Children's Hospital of Western Ontario:London</t>
  </si>
  <si>
    <t>The University of Western Ontario, 01 Jul 2003  to 30 Jun 2004|PostGrad Yr 1 - Psychiatry
The University of Western Ontario, 01 Jul 2004  to 30 Jun 2005|PostGrad Yr 2 - Psychiatry
The University of Western Ontario, 01 Jul 2005  to 31 Dec 2005|PostGrad Yr 2 - Psychiatry
The University of Western Ontario, 01 Jan 2006  to 30 Jun 2006|PostGrad Yr 3 - Psychiatry
The University of Western Ontario, 01 Jul 2006  to 30 Jun 2007|PostGrad Yr 3 - Psychiatry
The University of Western Ontario, 01 Jul 2007  to 30 Jun 2008|PostGrad Yr 4 - Psychiatry
The University of Western Ontario, 01 Jul 2008  to 30 Jun 2009|PostGrad Yr 5 - Psychiatry</t>
  </si>
  <si>
    <t>H.M. Haensel Medicine Professional Corporation</t>
  </si>
  <si>
    <t>Issued Date:  Jul 27 2010</t>
  </si>
  <si>
    <t>Dr. H. Haensel (CPSO# 79312)</t>
  </si>
  <si>
    <t>CAMHCP-Outpatients,800 Commissioners Road East,Room B8-158,London ON  N6A 5W9,(519) 685-8500</t>
  </si>
  <si>
    <t>16833</t>
  </si>
  <si>
    <t xml:space="preserve">Active Member as of 26 Aug 1958 </t>
  </si>
  <si>
    <t xml:space="preserve">Independent Practice as of 26 Aug 1958 </t>
  </si>
  <si>
    <t>University of Toronto, 1956</t>
  </si>
  <si>
    <t>115-90 Warren Rd,Toronto ON  M4V 2S2</t>
  </si>
  <si>
    <t>(416) 961-9740</t>
  </si>
  <si>
    <t>(416) 922-9981</t>
  </si>
  <si>
    <t>First certificate of registration issued: Postgraduate Education Certificate||Effective:   01 Jul 1956
Transfer of class of registration to: Independent Practice Certificate||Effective:   26 Aug 1958</t>
  </si>
  <si>
    <t>69933</t>
  </si>
  <si>
    <t>University of Calgary, 1996</t>
  </si>
  <si>
    <t>Department of Psychiatry,Royal Ottawa Hospital,1145 Carling Avenue,Ottawa ON  K1Z 7K4</t>
  </si>
  <si>
    <t>(613) 722-6521 Ext. 6365</t>
  </si>
  <si>
    <t>613 798-2992</t>
  </si>
  <si>
    <t>Suite 201,100 Argyle Ave,Ottawa, ON,Ottawa ON  K2P 1B6,Canada,Phone:613 680-6828,Fax:613 680-6829,County:Regional Municipality of Ottawa-Carleton,Electoral District:07
221 Nelson St,Ottawa ON  K1N 1C7,Canada,Phone:613 569-3488,County:Regional Municipality of Ottawa-Carleton,Electoral District:07
55 Eccles Street,Ottawa ON  K1R 6S3,Canada,Phone:(613) 238-8210,County:Regional Municipality of Ottawa-Carleton,Electoral District:07</t>
  </si>
  <si>
    <t>University of Ottawa, 01 Jul 1996  to 30 Jun 1997|PostGrad Yr 1 - Psychiatry
University of Ottawa, 01 Jul 1997  to 30 Jun 1998|PostGrad Yr 2 - Psychiatry
University of Ottawa, 01 Jul 1998  to 30 Jun 1999|PostGrad Yr 3 - Psychiatry
University of Ottawa, 01 Jul 1999  to 30 Jun 2000|PostGrad Yr 4 - Psychiatry
University of Ottawa, 01 Jul 2000  to 30 Jun 2001|PostGrad Yr 5 - Psychiatry
University of Ottawa, 01 Aug 2001  to 31 Jul 2002|Clinical Fellow - Psychiatry</t>
  </si>
  <si>
    <t>HC Ward Medicine Professional Corporation</t>
  </si>
  <si>
    <t>Dr. H. Ward (CPSO# 69933)</t>
  </si>
  <si>
    <t>201 - 100 Argyle Avenue,Ottawa ON  K2B 1B6,(613) 680-6828</t>
  </si>
  <si>
    <t>27921</t>
  </si>
  <si>
    <t xml:space="preserve">Active Member as of 21 Oct 1975 </t>
  </si>
  <si>
    <t xml:space="preserve">Independent Practice as of 21 Oct 1975 </t>
  </si>
  <si>
    <t>University of Aberdeen, 1967</t>
  </si>
  <si>
    <t>201-602 Melita Crescent,Toronto ON  M6G 3Z5</t>
  </si>
  <si>
    <t>(416) 433-3746</t>
  </si>
  <si>
    <t>(416) 530-1686</t>
  </si>
  <si>
    <t>Psychiatry||Effective: 10 Nov 1980||RCPSC Specialist</t>
  </si>
  <si>
    <t>First certificate of registration issued: Postgraduate Education Certificate||Effective:   01 Mar 1968
Expired: Terms and conditions of certificate of registration||Expiry:      30 Jun 1968
Subsequent certificate of registration Issued: Independent Practice Certificate||Effective:   21 Oct 1975</t>
  </si>
  <si>
    <t>59886</t>
  </si>
  <si>
    <t>401 Smyth Rd,Ottawa ON  K1H 8L1</t>
  </si>
  <si>
    <t>(613) 731-9925</t>
  </si>
  <si>
    <t>1939 Fairmeadow Crescent,Ottawa ON  K1H7B8,Canada,Phone:6137319925,County:Regional Municipality of Ottawa-Carleton,Electoral District:07</t>
  </si>
  <si>
    <t>Family Medicine||Effective: 20 Jun 1991||CFPC Specialist
Psychiatry||Effective: 30 Jun 2000||RCPSC Specialist</t>
  </si>
  <si>
    <t>University of Toronto, 01 Jul 1996  to 30 Jun 1997|PostGrad Yr 2 - Psychiatry
University of Toronto, 01 Jul 1997  to 30 Jun 1998|PostGrad Yr 3 - Psychiatry
University of Toronto, 01 Jul 1998  to 30 Jun 1999|PostGrad Yr 4 - Psychiatry
University of Toronto, 01 Jul 1999  to 30 Jun 2000|PostGrad Yr 5 - Psychiatry</t>
  </si>
  <si>
    <t>First certificate of registration issued: Postgraduate Education Certificate||Effective:   13 Jun 1988
Transfer of class of registration to: Independent Practice Certificate||Effective:   12 Jul 1990</t>
  </si>
  <si>
    <t>Helen R Spenser Medicine Professional Corporation</t>
  </si>
  <si>
    <t>Issued Date:  Feb 18 2013</t>
  </si>
  <si>
    <t>Dr. H. Spenser (CPSO# 59886)</t>
  </si>
  <si>
    <t>78932</t>
  </si>
  <si>
    <t xml:space="preserve">Active Member as of 11 Apr 2003 </t>
  </si>
  <si>
    <t xml:space="preserve">Independent Practice as of 11 Apr 2003 </t>
  </si>
  <si>
    <t>Department of Psychiatry,Children's Hospital of Eastern Ont,401 Smyth Road,Ottawa ON  K1H 8L1</t>
  </si>
  <si>
    <t>(613) 738-6990 Ext. 226</t>
  </si>
  <si>
    <t>Psychiatry||Effective: 27 May 1991||RCPSC Specialist
Child and Adolescent Psychiatry||Effective: 23 Sep 2014||RCPSC Specialist</t>
  </si>
  <si>
    <t>First certificate of registration issued: Independent Practice Certificate||Effective:   11 Apr 2003</t>
  </si>
  <si>
    <t>H. Cadotte Medicine Professional Corporation</t>
  </si>
  <si>
    <t>Dr. H. Cadotte (CPSO# 78932)</t>
  </si>
  <si>
    <t>Children's Hospital of Eastern Ontario,Department of Psychiatry,401 Smyth Road,Ottawa ON  K1H 8L1,(613) 737-7600
311 McArthur Avenue,311 McArthur Avenue,Ottawa ON  K1L 8M3,(613) 738-6990</t>
  </si>
  <si>
    <t>29480</t>
  </si>
  <si>
    <t xml:space="preserve">Active Member as of 22 Jul 1977 </t>
  </si>
  <si>
    <t xml:space="preserve">Independent Practice as of 22 Jul 1977 </t>
  </si>
  <si>
    <t>University of Melbourne, 1971</t>
  </si>
  <si>
    <t>701 Sheppard Avenue West.,,Suite #513,North York ON  M3H 0B2</t>
  </si>
  <si>
    <t>(416) 487-5089</t>
  </si>
  <si>
    <t>(647) 723-0501</t>
  </si>
  <si>
    <t>First certificate of registration issued: Independent Practice Certificate||Effective:   22 Jul 1977</t>
  </si>
  <si>
    <t>Dr. Helene E. Brodziak Medicine Professional Corporation</t>
  </si>
  <si>
    <t>Inactive: Aug  9 2007</t>
  </si>
  <si>
    <t>88700</t>
  </si>
  <si>
    <t xml:space="preserve">Active Member as of 18 Jul 2013 </t>
  </si>
  <si>
    <t xml:space="preserve">Independent Practice as of 18 Jul 2013 </t>
  </si>
  <si>
    <t>Dalhousie University, 2008</t>
  </si>
  <si>
    <t>Humber River Hospital,1235 Wilson Ave,Toronto, ON,M3M 0B2,Toronto ON  M3M 0B2</t>
  </si>
  <si>
    <t>(416) 242-1000 Ext. 43000</t>
  </si>
  <si>
    <t>102-60 West Drive,Brampton ON  L6T 3T6,Canada,Phone:9054592282,Fax:9054592290,County:Regional Municipality of Peel,Electoral District:05</t>
  </si>
  <si>
    <t>First certificate of registration issued: Postgraduate Education Certificate||Effective:   01 Jul 2008
Expired: Terms and conditions of certificate of registration||Expiry:      30 Jun 2013
Subsequent certificate of registration Issued: Independent Practice Certificate||Effective:   18 Jul 2013</t>
  </si>
  <si>
    <t>29563</t>
  </si>
  <si>
    <t xml:space="preserve">Active Member as of 24 Aug 1977 </t>
  </si>
  <si>
    <t xml:space="preserve">Independent Practice as of 24 Aug 1977 </t>
  </si>
  <si>
    <t>Ludwig Maximilian University at Munich, 1966</t>
  </si>
  <si>
    <t>Suite 1005,66 Isabella Street,Toronto ON  M4Y 1N3</t>
  </si>
  <si>
    <t>(416) 504-8839</t>
  </si>
  <si>
    <t>First certificate of registration issued: Independent Practice Certificate||Effective:   24 Aug 1977</t>
  </si>
  <si>
    <t>84340</t>
  </si>
  <si>
    <t>The University of Western Ontario,Student Health Services,University Community Centre,Room 11,London ON  N6A 3K7</t>
  </si>
  <si>
    <t>Fanshawe College Health Services,Fowler Kennedy Sports Med. Clinic,Rm J1004,1001 Fanshawe College Blvd,London ON  N5Y5R6,Canada,Phone:519-452-4230,Fax:519-452-4415,County:County of Middlesex,Electoral District:02</t>
  </si>
  <si>
    <t>The University of Western Ontario, 01 Jul 2006  to 30 Jun 2007|PostGrad Yr 1 - Psychiatry
The University of Western Ontario, 01 Jul 2007  to 30 Jun 2008|PostGrad Yr 2 - Psychiatry
The University of Western Ontario, 01 Jul 2008  to 30 Jun 2009|PostGrad Yr 3 - Psychiatry
The University of Western Ontario, 01 Jul 2009  to 30 Jun 2010|PostGrad Yr 4 - Psychiatry
The University of Western Ontario, 01 Jul 2010  to 06 Jul 2010|PostGrad Yr 4 - Psychiatry
The University of Western Ontario, 07 Jul 2010  to 30 Jun 2011|PostGrad Yr 5 - Psychiatry</t>
  </si>
  <si>
    <t>21078</t>
  </si>
  <si>
    <t xml:space="preserve">Active Member as of 12 Oct 1967 </t>
  </si>
  <si>
    <t xml:space="preserve">Independent Practice as of 12 Oct 1967 </t>
  </si>
  <si>
    <t>Queen's University, 1966</t>
  </si>
  <si>
    <t>184 Charlotte Street, Suite 203,P.O.Box 986, Station Main,Peterborough ON  K9J 2T8</t>
  </si>
  <si>
    <t>(705) 743-9654</t>
  </si>
  <si>
    <t>(705) 743-7669</t>
  </si>
  <si>
    <t>Peterborough Regional Health Centre,Family &amp; Youth Clinic,1 Hospital Drive,Peterborough ON  K9J 7C6,Canada,Phone:(705) 743-2121,County:County of Peterborough,Electoral District:06</t>
  </si>
  <si>
    <t>Psychiatry||Effective: 20 Nov 1973||RCPSC Specialist</t>
  </si>
  <si>
    <t>First certificate of registration issued: Postgraduate Education Certificate||Effective:   01 Jul 1966
Transfer of class of registration to: Independent Practice Certificate||Effective:   12 Oct 1967</t>
  </si>
  <si>
    <t>Henriette D. Wynd Medicine Professional Corporation</t>
  </si>
  <si>
    <t>Issued Date:  Oct 16 2012</t>
  </si>
  <si>
    <t>Dr. H. Wynd (CPSO# 21078)</t>
  </si>
  <si>
    <t>Suite 203,184 Charlotte Street,PO Box 986,Peterborough ON  K9J 2T8,(705) 743-9654</t>
  </si>
  <si>
    <t>61918</t>
  </si>
  <si>
    <t xml:space="preserve">Independent Practice as of 23 Dec 1994 </t>
  </si>
  <si>
    <t>Czech, English</t>
  </si>
  <si>
    <t>Charles Univ Prague Fac General Medicine, 1980</t>
  </si>
  <si>
    <t>St Joseph's Hospital,50 Charlton Street East,Hamilton ON  L8N 4A6</t>
  </si>
  <si>
    <t>(905) 521-6040</t>
  </si>
  <si>
    <t>Joseph Brant Hospital:Burlington
McMaster Children's Hospital,Division of Pediatric Critical Care:Hamilton
St Joseph's Healthcare System,Hamilton:Hamilton</t>
  </si>
  <si>
    <t>First certificate of registration issued: Postgraduate Education Certificate||Effective:   19 Feb 1990
Expired: Terms and conditions of certificate of registration||Expiry:      30 Jun 1994
Subsequent certificate of registration issued: Restricted certificate||Effective:   01 Jul 1994
Transfer of class of registration to: Independent Practice Certificate||Effective:   23 Dec 1994</t>
  </si>
  <si>
    <t>70658</t>
  </si>
  <si>
    <t xml:space="preserve">Active Member as of 05 Jul 1996 </t>
  </si>
  <si>
    <t>English, French, German</t>
  </si>
  <si>
    <t>785 Carlaw Ave, Suite 101,Toronto ON  M4K 3L1</t>
  </si>
  <si>
    <t>(416) 466-0009</t>
  </si>
  <si>
    <t>(416) 466-4441</t>
  </si>
  <si>
    <t>120 Bloor Street East, Suite 105,Toronto ON  M4W 3T5,Canada,Phone:(416) 975-0499,Fax:(416) 975-0479,County:City of Toronto,Electoral District:10</t>
  </si>
  <si>
    <t>McMaster University, 01 Jul 1996  to 30 Jun 1997|PostGrad Yr 1 - Psychiatry
McMaster University, 01 Jul 1997  to 30 Jun 1998|PostGrad Yr 2 - Psychiatry
McMaster University, 01 Jul 1998  to 30 Jun 1999|PostGrad Yr 3 - Psychiatry
McMaster University, 01 Jul 1999  to 30 Jun 2000|PostGrad Yr 4 - Psychiatry
McMaster University, 01 Jul 2000  to 30 Jun 2001|PostGrad Yr 5 - Psychiatry
University of Toronto, 01 Jul 2001  to 30 Jun 2002|Clinical Fellow - Psychiatry
University of Toronto, 01 Jul 2002  to 30 Jun 2003|Clinical Fellow - Psychiatry</t>
  </si>
  <si>
    <t>First certificate of registration issued: Postgraduate Education Certificate||Effective:   05 Jul 1996
Transfer of class of registration to: Independent Practice Certificate||Effective:   30 Jun 2001</t>
  </si>
  <si>
    <t>59969</t>
  </si>
  <si>
    <t xml:space="preserve">Active Member as of 20 Jun 1988 </t>
  </si>
  <si>
    <t xml:space="preserve">Independent Practice as of 20 Jun 1988 </t>
  </si>
  <si>
    <t>Chinese, English</t>
  </si>
  <si>
    <t>University of Alberta, 1986</t>
  </si>
  <si>
    <t>Sault Area Hospital,750 Great Northern Road,Sault Ste Marie ON  P6A 5K7</t>
  </si>
  <si>
    <t>4733-49 Street,Red Deer AB  T4N 1T6,Canada,Phone:(403) 340-7046,Fax:(403) 340-7622,County:Electoral District</t>
  </si>
  <si>
    <t>The University of Western Ontario, 01 Jul 1991  to 30 Jun 1992|Resident 4 - Psychiatry</t>
  </si>
  <si>
    <t>First certificate of registration issued: Independent Practice Certificate||Effective:   20 Jun 1988</t>
  </si>
  <si>
    <t>51514</t>
  </si>
  <si>
    <t xml:space="preserve">Independent Practice as of 05 Jul 1984 </t>
  </si>
  <si>
    <t>Suite 6,315 Avenue Road,Toronto ON  M4V 2H2</t>
  </si>
  <si>
    <t>(416) 972-9273</t>
  </si>
  <si>
    <t>(416) 972-0842</t>
  </si>
  <si>
    <t>First certificate of registration issued: Postgraduate Education Certificate||Effective:   16 Jun 1980
Transfer of class of registration to: Independent Practice Certificate||Effective:   05 Jul 1984</t>
  </si>
  <si>
    <t>Henry Rosenblat Medicine Professional Corporation</t>
  </si>
  <si>
    <t>Issued Date:  Oct 04 2006</t>
  </si>
  <si>
    <t>Dr. H. Rosenblat (CPSO# 51514)</t>
  </si>
  <si>
    <t>6 - 315 Avenue Road,Toronto ON  M4V 2H2,(416) 972-9273</t>
  </si>
  <si>
    <t>99844</t>
  </si>
  <si>
    <t xml:space="preserve">Active Member as of 29 Jan 2013 </t>
  </si>
  <si>
    <t xml:space="preserve">Restricted as of 29 Jan 2013 </t>
  </si>
  <si>
    <t>Mansoura University, 1988</t>
  </si>
  <si>
    <t>Psychiatry||Effective: 29 Jan 2013||CPSO Recognized Specialist</t>
  </si>
  <si>
    <t>First certificate of registration issued: Restricted certificate||Effective:   29 Jan 2013
Terms and conditions imposed on certificate by Registration Committee||Effective:   29 Jan 2013
Expiry date attached to certificate of registration.||Expiry Date: 28 Jan 2020</t>
  </si>
  <si>
    <t>Desouky El-Bohy Medicine Professional Corporation</t>
  </si>
  <si>
    <t>Issued Date:  Sep 10 2013</t>
  </si>
  <si>
    <t>Dr. H. Desouky (CPSO# 99844),Dr. M. ElBohy (CPSO# 91245)</t>
  </si>
  <si>
    <t>26267</t>
  </si>
  <si>
    <t xml:space="preserve">Active Member as of 06 Dec 1973 </t>
  </si>
  <si>
    <t xml:space="preserve">Independent Practice as of 06 Dec 1973 </t>
  </si>
  <si>
    <t>Bosnian, Croatian, English, Serbian, Yugoslav</t>
  </si>
  <si>
    <t>University of Sarajevo, 1964</t>
  </si>
  <si>
    <t>Suite 310,1929 Russell Road,Ottawa ON  K1G 4G3</t>
  </si>
  <si>
    <t>613 737 6648</t>
  </si>
  <si>
    <t>613 233 2540</t>
  </si>
  <si>
    <t>24 Clemow Ave,Ottawa ON  K1S2B2,Canada,Phone:613 236 7752,Fax:613 233 2540,County:Regional Municipality of Ottawa-Carleton,Electoral District:07</t>
  </si>
  <si>
    <t>First certificate of registration issued: Independent Practice Certificate||Effective:   06 Dec 1973</t>
  </si>
  <si>
    <t>H. Bajramovic Medicine Professional Corporation</t>
  </si>
  <si>
    <t>Issued Date:  Mar 26 2008</t>
  </si>
  <si>
    <t>Dr. H. Bajramovic (CPSO# 26267)</t>
  </si>
  <si>
    <t>Suite 310,1929 Russell Road,Ottawa ON  K1G 4G3,(613) 236-7752</t>
  </si>
  <si>
    <t>65524</t>
  </si>
  <si>
    <t xml:space="preserve">Independent Practice as of 09 Jul 1993 </t>
  </si>
  <si>
    <t>121 Balmoral Avenue,Toronto ON  M4V 1J5</t>
  </si>
  <si>
    <t>(416) 925-8330</t>
  </si>
  <si>
    <t>(416) 925-2752</t>
  </si>
  <si>
    <t>St Michael's Hospital:Toronto
University Health Network,Toronto General Hospital Site:Toronto</t>
  </si>
  <si>
    <t>University of Toronto, 15 Jun 1992  to 14 Jun 1993|PostGrad Yr 1 - Family Medicine
University of Toronto, 01 Jul 1993  to 30 Jun 1994|Resident 1 - Psychiatry
University of Toronto, 01 Jul 1994  to 30 Jun 1995|Resident 2 - Psychiatry
University of Toronto, 01 Jul 1995  to 30 Jun 1996|Resident 3 - Psychiatry</t>
  </si>
  <si>
    <t>First certificate of registration issued: Postgraduate Education Certificate||Effective:   15 Jun 1992
Transfer of class of registration to: Independent Practice Certificate||Effective:   09 Jul 1993</t>
  </si>
  <si>
    <t>Dr. Brian Chisamore Medicine Professional Corporation</t>
  </si>
  <si>
    <t>Issued Date:  Aug 29 2014</t>
  </si>
  <si>
    <t>Dr. B. Chisamore (CPSO# 65361),Dr. H. Offman (CPSO# 65524)</t>
  </si>
  <si>
    <t>Suite 405,27 Roncesvalles Avenue,Toronto ON  M6R 3B2,(416) 516-4111
St. Joseph's Health Centre,St. Joseph's Health Centre,30 The Queensway,NICU, 1st Floor, OLM Wing,Toronto ON  M6R 1B5,(416) 530-6067</t>
  </si>
  <si>
    <t>69900</t>
  </si>
  <si>
    <t xml:space="preserve">Independent Practice as of 08 Jul 2004 </t>
  </si>
  <si>
    <t>University of Ottawa, 1996</t>
  </si>
  <si>
    <t>(905) 430-4055</t>
  </si>
  <si>
    <t>Psychiatry||Effective: 03 Jun 2004||RCPSC Specialist</t>
  </si>
  <si>
    <t>University of Toronto, 01 Jul 1996  to 30 Jun 1997|PostGrad Yr 1 - Psychiatry
University of Toronto, 01 Jul 1997  to 30 Jun 1998|PostGrad Yr 2 - Psychiatry
University of Toronto, 01 Jul 1998  to 30 Jun 1999|PostGrad Yr 3 - Psychiatry
University of Toronto, 01 Jul 1999  to 30 Jun 2000|PostGrad Yr 4 - Psychiatry
University of Toronto, 01 Jul 2000  to 30 Jun 2001|PostGrad Yr 5 - Psychiatry
University of Toronto, 01 Jul 2001  to 30 Jun 2002|Clinical Fellow - Psychiatry
University of Toronto, 01 Jul 2002  to 30 Jun 2003|Clinical Fellow - Psychiatry
University of Toronto, 01 Jul 2003  to 30 Jun 2004|Clinical Fellow - Psychiatry
University of Toronto, 01 Jul 2004  to 30 Jun 2005|Clinical Fellow - Psychiatry</t>
  </si>
  <si>
    <t>First certificate of registration issued: Postgraduate Education Certificate||Effective:   01 Jul 1996
Transfer of class of registration to: Independent Practice Certificate||Effective:   08 Jul 2004</t>
  </si>
  <si>
    <t>Sophia S.F. Wong Medicine Professional Corporation</t>
  </si>
  <si>
    <t>Issued Date:  Jul 30 2010</t>
  </si>
  <si>
    <t>Dr. H. Pham (CPSO# 69900),Dr. S. Wong (CPSO# 69906)</t>
  </si>
  <si>
    <t>Sunnybrook Health Sciences Centre,Department of Anaesthesia,2075 Bayview Avenue,Suite M3-200,Toronto ON  M4N 3M5,(416) 480-6100</t>
  </si>
  <si>
    <t>88912</t>
  </si>
  <si>
    <t>English, French, Vietnamese</t>
  </si>
  <si>
    <t>Unit J,1225 Kennedy Road,Scarborough ON  M1P 4Y1</t>
  </si>
  <si>
    <t>(416) 431-8233</t>
  </si>
  <si>
    <t>90561</t>
  </si>
  <si>
    <t xml:space="preserve">Active Member as of 01 Aug 2014 </t>
  </si>
  <si>
    <t xml:space="preserve">Independent Practice as of 01 Aug 2014 </t>
  </si>
  <si>
    <t>The University of Western Ontario, 2009</t>
  </si>
  <si>
    <t>The University of Western Ontario, 01 Jul 2009  to 30 Jun 2010|PostGrad Yr 1 - Psychiatry
The University of Western Ontario, 01 Jul 2010  to 30 Jun 2011|PostGrad Yr 2 - Psychiatry
The University of Western Ontario, 01 Jul 2011  to 30 Jun 2012|PostGrad Yr 3 - Psychiatry
The University of Western Ontario, 01 Jul 2012  to 30 Jun 2013|PostGrad Yr 4 - Psychiatry
The University of Western Ontario, 01 Jul 2013  to 30 Jun 2014|PostGrad Yr 5 - Psychiatry</t>
  </si>
  <si>
    <t>First certificate of registration issued: Postgraduate Education Certificate||Effective:   01 Jul 2009
Expired: Terms and conditions of certificate of registration||Expiry:      30 Jun 2014
Subsequent certificate of registration Issued: Independent Practice Certificate||Effective:   01 Aug 2014</t>
  </si>
  <si>
    <t>86332</t>
  </si>
  <si>
    <t xml:space="preserve">Active Member as of 03 Aug 2016 </t>
  </si>
  <si>
    <t xml:space="preserve">Independent Practice as of 03 Aug 2016 </t>
  </si>
  <si>
    <t>University of Toronto Scarborough,Health &amp; Wellness Centre (SL-270),1265 Military Trail,Scarborough ON  M1C 1A4</t>
  </si>
  <si>
    <t>(416) 287-7065</t>
  </si>
  <si>
    <t>416-287-7069</t>
  </si>
  <si>
    <t>University of Toronto, 01 Jul 2007  to 30 Jun 2008|PostGrad Yr 1 - Psychiatry
University of Toronto, 01 Jul 2008  to 30 Jun 2009|PostGrad Yr 2 - Psychiatry
University of Toronto, 01 Jul 2009  to 30 Jun 2010|PostGrad Yr 3 - Psychiatry
University of Toronto, 01 Jul 2010  to 30 Jun 2011|PostGrad Yr 3 - Psychiatry
University of Toronto, 01 Jul 2011  to 20 Aug 2011|PostGrad Yr 3 - Psychiatry
University of Toronto, 21 Aug 2011  to 20 Aug 2012|PostGrad Yr 4 - Psychiatry
University of Toronto, 21 Aug 2012  to 10 Apr 2013|PostGrad Yr 4 - Psychiatry
University of Toronto, 11 Apr 2013  to 30 Jun 2013|PostGrad Yr 5 - Psychiatry
University of Toronto, 01 Jul 2013  to 30 Jun 2014|PostGrad Yr 5 - Psychiatry
University of Toronto, 01 Jul 2014  to 30 Jun 2015|PostGrad Yr 5 - Psychiatry
University of Toronto, 01 Jul 2015  to 10 May 2016|PostGrad Yr 5 - Psychiatry</t>
  </si>
  <si>
    <t>First certificate of registration issued: Postgraduate Education Certificate||Effective:   01 Jul 2007
Expired: Terms and conditions of certificate of registration||Expiry:      10 May 2016
Subsequent certificate of registration Issued: Independent Practice Certificate||Effective:   03 Aug 2016</t>
  </si>
  <si>
    <t>Christopher J Coutinho Medicine Professional Corporation</t>
  </si>
  <si>
    <t>Issued Date:  Aug 19 2010</t>
  </si>
  <si>
    <t>Dr. H. Citynski (CPSO# 86332),Dr. C. Coutinho (CPSO# 80766)</t>
  </si>
  <si>
    <t>Southlake Regional Health Centre,596 Davis Drive,Newmarket ON  L3Y 2P9,(905) 895-4521
201 - 235 Eagle Street,201 - 235 Eagle Street,Newmarket ON  L3Y 1J8,(905) 853-3727
381 Church Street,381 Church Street,PO Box 1800,Markham ON  L3P 7P3,(905) 472-7000
4 - 490 Harry Walker Parkway South,4 - 490 Harry Walker Parkway South,Newmarket ON  L3Y 0B3,(905) 898-2519
200 - 222 Wellington Street East,200 - 222 Wellington Street East,Aurora ON  L4G 1J5</t>
  </si>
  <si>
    <t>88394</t>
  </si>
  <si>
    <t xml:space="preserve">Independent Practice as of 04 Jun 2014 </t>
  </si>
  <si>
    <t>University of Ottawa, 2008</t>
  </si>
  <si>
    <t>Royal Ottawa Mental Health Centre,Department of Geriatric Psychiatry,Room 2326,1145 Carling Avenue,Ottawa ON  K1Z 7K4</t>
  </si>
  <si>
    <t>Arnprior and District Memorial Hospital:Arnprior
Ottawa Hospital,Civic Site:Ottawa
Royal Ottawa Health Care Group:Ottawa</t>
  </si>
  <si>
    <t>Psychiatry||Effective: 30 Jun 2013||RCPSC Specialist
Geriatric Psychiatry||Effective: 23 Sep 2014||RCPSC Specialist</t>
  </si>
  <si>
    <t>University of Ottawa, 01 Jul 2008  to 30 Jun 2009|PostGrad Yr 1 - Psychiatry
University of Ottawa, 01 Jul 2009  to 30 Jun 2010|PostGrad Yr 2 - Psychiatry
University of Ottawa, 01 Jul 2010  to 30 Jun 2011|PostGrad Yr 3 - Psychiatry
University of Ottawa, 01 Jul 2011  to 30 Jun 2012|PostGrad Yr 4 - Psychiatry
University of Ottawa, 01 Jul 2012  to 30 Jun 2013|PostGrad Yr 5 - Psychiatry
University of Ottawa, 01 Jul 2013  to 30 Jun 2014|PostGrad Yr 6 - Geriatric Psychiatry
University of Ottawa, 01 Jul 2014  to 31 Jul 2014|PostGrad Yr 6 - Geriatric Psychiatry</t>
  </si>
  <si>
    <t>First certificate of registration issued: Postgraduate Education Certificate||Effective:   01 Jul 2008
Transfer of class of registration to: Independent Practice Certificate||Effective:   04 Jun 2014</t>
  </si>
  <si>
    <t>Holly Dornan Medicine Professional Corporation</t>
  </si>
  <si>
    <t>Issued Date:  Aug 25 2014</t>
  </si>
  <si>
    <t>Dr. H. Dornan (CPSO# 88394)</t>
  </si>
  <si>
    <t>Royal Ottawa Mental Health Centre,Department of Geriatric Psychiatry,1145 Carling Avenue,Room 2326,Ottawa ON  K1Z 7K4,(613) 722-6521</t>
  </si>
  <si>
    <t>96671</t>
  </si>
  <si>
    <t xml:space="preserve">Active Member as of 04 Aug 2011 </t>
  </si>
  <si>
    <t xml:space="preserve">Independent Practice as of 04 Aug 2011 </t>
  </si>
  <si>
    <t>LHSC Victoria Hospital,Department of Psychiatry,Zone A Room A2-636,800 Commissioners Road East,London ON  N6A 5W9</t>
  </si>
  <si>
    <t>(519) 685-8500 Ext. 58054</t>
  </si>
  <si>
    <t>519 685 8074</t>
  </si>
  <si>
    <t>London Health Sciences Centre Victoria Hospital:London
St Joseph's Health Care-St Joseph's Site,London:London</t>
  </si>
  <si>
    <t>First certificate of registration issued: Independent Practice Certificate||Effective:   04 Aug 2011</t>
  </si>
  <si>
    <t>Ganjavi-MacDonald Medicine Professional Corporation</t>
  </si>
  <si>
    <t>Dr. H. Ganjavi (CPSO# 96671),Dr. P. MacDonald (CPSO# 89913)</t>
  </si>
  <si>
    <t>41 Ramsey Lake Road,Sudbury ON  P3E 5J1,(705) 523-7100
LHSC Victoria Hospital,LHSC Victoria Hospital,Department of Psychiatry,Room B8 114,800 Commissioners Road East,London ON  N6A 5W9,(519) 685-8500
University Hospital,University Hospital,Department of Clinical Neurological Sciences,Room C7 002,339 Windermere Road,London ON  N6A 5A5,(519) 663-3631</t>
  </si>
  <si>
    <t>32458</t>
  </si>
  <si>
    <t xml:space="preserve">Active Member as of 31 Jul 2008 </t>
  </si>
  <si>
    <t xml:space="preserve">Restricted as of 24 Jun 2008 </t>
  </si>
  <si>
    <t>Queen's University, 1973</t>
  </si>
  <si>
    <t>514 Wilson Street East,Ancaster ON  L9G 2C5</t>
  </si>
  <si>
    <t>(905) 648-7227</t>
  </si>
  <si>
    <t>905-648-6930</t>
  </si>
  <si>
    <t>First certificate of registration issued: Postgraduate Education Certificate||Effective:   15 Jun 1973
Expired: Terms and conditions of certificate of registration||Expiry:      15 Jun 1974
Subsequent certificate of registration Issued: Postgraduate Education Certificate||Effective:   01 Jul 1977
Transfer of class of registration to: Independent Practice Certificate||Effective:   18 Jun 1981
Transfer of class of certificate to: Restricted certificate||Effective:   24 Jun 2008
Terms and conditions imposed on certificate by Discipline Committee||Effective:   24 Jun 2008
Suspension of registration imposed: Discipline Committee||Effective:   01 Jul 2008
Suspension of registration removed||Effective:   31 Jul 2008</t>
  </si>
  <si>
    <t>Taynen Medicine Professional Corporation</t>
  </si>
  <si>
    <t>Issued Date:  Jul 24 2014</t>
  </si>
  <si>
    <t>Dr. H. Taynen (CPSO# 32458)</t>
  </si>
  <si>
    <t>514 Wilson Street East,Ancaster ON  L9G 2C5,(905) 648-7227</t>
  </si>
  <si>
    <t>22539</t>
  </si>
  <si>
    <t xml:space="preserve">Active Member as of 30 Jan 1970 </t>
  </si>
  <si>
    <t xml:space="preserve">Independent Practice as of 30 Jan 1970 </t>
  </si>
  <si>
    <t>2900 Yonge St,Suite 101,Toronto ON  M4N 3N8</t>
  </si>
  <si>
    <t>(416) 486-6541</t>
  </si>
  <si>
    <t>(416) 483-5306</t>
  </si>
  <si>
    <t>First certificate of registration issued: Postgraduate Education Certificate||Effective:   21 Sep 1967
Transfer of class of registration to: Independent Practice Certificate||Effective:   30 Jan 1970</t>
  </si>
  <si>
    <t>Howard E. Book Medicine Professional Corporation</t>
  </si>
  <si>
    <t>Issued Date:  Dec 10 2014</t>
  </si>
  <si>
    <t>Dr. H. Book (CPSO# 22539)</t>
  </si>
  <si>
    <t>101 - 2900 Yonge Street,Toronto ON  M4N 3N8,(416) 486-6541</t>
  </si>
  <si>
    <t>30500</t>
  </si>
  <si>
    <t xml:space="preserve">Active Member as of 30 Nov 1978 </t>
  </si>
  <si>
    <t xml:space="preserve">Independent Practice as of 30 Nov 1978 </t>
  </si>
  <si>
    <t>University of Toronto, 1975</t>
  </si>
  <si>
    <t>315 Avenue Road,Suite 9,Toronto ON  M4V 2H2</t>
  </si>
  <si>
    <t>(416) 651-1414</t>
  </si>
  <si>
    <t>First certificate of registration issued: Postgraduate Education Certificate||Effective:   16 Jun 1975
Transfer of class of registration to: Hospital Practice Certificate||Effective:   01 Jul 1978
Transfer of class of registration to: Independent Practice Certificate||Effective:   30 Nov 1978</t>
  </si>
  <si>
    <t>Dr. Howard E. Gorman Medicine Professional Corporation</t>
  </si>
  <si>
    <t>Issued Date:  May 31 2006</t>
  </si>
  <si>
    <t>Dr. H. Gorman (CPSO# 30500)</t>
  </si>
  <si>
    <t>9 - 315 Avenue Road,Toronto ON  M4V 2H2,(416) 964-6932</t>
  </si>
  <si>
    <t>27353</t>
  </si>
  <si>
    <t xml:space="preserve">Active Member as of 19 Jun 1975 </t>
  </si>
  <si>
    <t xml:space="preserve">Independent Practice as of 19 Jun 1975 </t>
  </si>
  <si>
    <t>Suite 207,1246 Yonge Street,Toronto ON  M4T 1W5</t>
  </si>
  <si>
    <t>(416) 962-9010</t>
  </si>
  <si>
    <t>(416) 962-0014</t>
  </si>
  <si>
    <t>First certificate of registration issued: Independent Practice Certificate||Effective:   19 Jun 1975</t>
  </si>
  <si>
    <t>Howard Bogomolny Medicine Professional Corporation</t>
  </si>
  <si>
    <t>Dr. H. Bogomolny (CPSO# 27353)</t>
  </si>
  <si>
    <t>207 - 1246 Yonge Street,Toronto ON  M4T 1W5,(416) 962-9010</t>
  </si>
  <si>
    <t>32058</t>
  </si>
  <si>
    <t xml:space="preserve">Active Member as of 06 Nov 1980 </t>
  </si>
  <si>
    <t xml:space="preserve">Independent Practice as of 06 Nov 1980 </t>
  </si>
  <si>
    <t>11 Elvina Gardens,Toronto ON  M4P 1X7</t>
  </si>
  <si>
    <t>(416) 487-0993</t>
  </si>
  <si>
    <t>Psychiatry||Effective: 01 Jan 1981||RCPSC Specialist</t>
  </si>
  <si>
    <t>First certificate of registration issued: Independent Practice Certificate||Effective:   06 Nov 1980</t>
  </si>
  <si>
    <t>Dr. Howard Cole Medicine Professional Corporation</t>
  </si>
  <si>
    <t>Issued Date:  Oct 08 2010</t>
  </si>
  <si>
    <t>Dr. H. Cole (CPSO# 32058)</t>
  </si>
  <si>
    <t>11 Elvina Gardens,Toronto ON  M4P 1X7,(416) 487-0993</t>
  </si>
  <si>
    <t>31560</t>
  </si>
  <si>
    <t xml:space="preserve">Active Member as of 18 Jun 1980 </t>
  </si>
  <si>
    <t xml:space="preserve">Independent Practice as of 18 Jun 1980 </t>
  </si>
  <si>
    <t>Prince Edward Family Health Team,35 Bridge St,Picton ON  K0K 2T0</t>
  </si>
  <si>
    <t>(613) 476-0400</t>
  </si>
  <si>
    <t>866 476 0425</t>
  </si>
  <si>
    <t>First certificate of registration issued: Postgraduate Education Certificate||Effective:   01 Jul 1978
Subsequent certificate of registration Issued: Independent Practice Certificate||Effective:   18 Jun 1980</t>
  </si>
  <si>
    <t>H. Joseph Burley Medicine Professional Corporation</t>
  </si>
  <si>
    <t>Issued Date:  Sep 06 2007</t>
  </si>
  <si>
    <t>Dr. H. Burley (CPSO# 31560)</t>
  </si>
  <si>
    <t>Prince Edward County Family Health Team,35 Bridge Street,Picton ON  K0K 2T0,(613) 476-0400</t>
  </si>
  <si>
    <t>32415</t>
  </si>
  <si>
    <t xml:space="preserve">Active Member as of 08 Jun 1981 </t>
  </si>
  <si>
    <t>Suite 435,131 Bloor Street West,Toronto ON  M5S 1R1</t>
  </si>
  <si>
    <t>(416) 963-9985</t>
  </si>
  <si>
    <t>(416) 963-4430</t>
  </si>
  <si>
    <t>First certificate of registration issued: Independent Practice Certificate||Effective:   08 Jun 1981</t>
  </si>
  <si>
    <t>68833</t>
  </si>
  <si>
    <t xml:space="preserve">Active Member as of 06 Jun 1995 </t>
  </si>
  <si>
    <t xml:space="preserve">Independent Practice as of 06 Jun 1995 </t>
  </si>
  <si>
    <t>University of Sherbrooke, 1972</t>
  </si>
  <si>
    <t>2601 Chemin de la  Canardière,Quebec city QC  G1J 2G3</t>
  </si>
  <si>
    <t>418-663-5321 Ext. 8244</t>
  </si>
  <si>
    <t>418-628-6068</t>
  </si>
  <si>
    <t>Psychiatry||Effective: 17 Nov 1977||RCPSC Specialist
Community Medicine||Effective: 27 Nov 1979||RCPSC Specialist</t>
  </si>
  <si>
    <t>First certificate of registration issued: Independent Practice Certificate||Effective:   06 Jun 1995</t>
  </si>
  <si>
    <t>60454</t>
  </si>
  <si>
    <t xml:space="preserve">Active Member as of 08 Jan 1993 </t>
  </si>
  <si>
    <t xml:space="preserve">Independent Practice as of 08 Jan 1993 </t>
  </si>
  <si>
    <t>458 MacLaren Street,Ottawa ON  K1R 5K6</t>
  </si>
  <si>
    <t>(613) 230-0192</t>
  </si>
  <si>
    <t>First certificate of registration issued: Postgraduate Education Certificate||Effective:   01 Jan 1989
Expired: Terms and conditions of certificate of registration||Expiry:      31 Dec 1992
Expired: Terms and conditions of certificate of registration||Expiry:      31 Dec 1992
Subsequent certificate of registration Issued: Independent Practice Certificate||Effective:   08 Jan 1993</t>
  </si>
  <si>
    <t>54502</t>
  </si>
  <si>
    <t xml:space="preserve">Independent Practice as of 09 Jul 1985 </t>
  </si>
  <si>
    <t>Laval University, 1980</t>
  </si>
  <si>
    <t>1760 King Street,PO Box 497,Limoges ON  K0A 2M0</t>
  </si>
  <si>
    <t>(613) 557-2035</t>
  </si>
  <si>
    <t>(888) 615-0419</t>
  </si>
  <si>
    <t>Turning Point / Point Decisif,Chapleau Health Services,6 Broomhead Road,Chapleau ON  P0M 1K0,Chapleau ON  P0M 1K0,Canada,Phone:(705) 864-1919,Fax:(705) 864-1717,County:Terr.District/Regional Municipality of Sudbury,Electoral District:08
Family Health Team,2 Water Street,Kirkland Lake ON  P2N 2E2,Canada,Phone:705-567-2224,Fax:705-567-3838,County:Territorial District of Timiskaming,Electoral District:08
725 Coursol Road,Sturgeon Falls ON  P2B 1V9,Canada,Phone:705-753-2271,Fax:705-753-4202,County:Territorial District of Nipissing,Electoral District:08
343 Preston St, #1134,Ottawa ON  K1S 1N4,Canada,Phone:613-769-2549,Fax:888-615-0419,County:Regional Municipality of Ottawa-Carleton,Electoral District:07</t>
  </si>
  <si>
    <t>Chapleau Health Services,Chapleau General Hospital:Chapleau
Kirkland and District Hospital:Kirkland Lake
West Nipissing General Hospital:Sturgeon Falls</t>
  </si>
  <si>
    <t>First certificate of registration issued: Postgraduate Education Certificate||Effective:   01 Jul 1984
Transfer of class of registration to: Independent Practice Certificate||Effective:   09 Jul 1985</t>
  </si>
  <si>
    <t>Hugues Richard Medicine Professional Corporation</t>
  </si>
  <si>
    <t>Dr. H. Richard (CPSO# 54502)</t>
  </si>
  <si>
    <t>1760 King Street,P O Box 497,Limoges ON  K0A 2M0,(613) 557-2035</t>
  </si>
  <si>
    <t>66014</t>
  </si>
  <si>
    <t xml:space="preserve">Active Member as of 22 Sep 1992 </t>
  </si>
  <si>
    <t xml:space="preserve">Independent Practice as of 22 Sep 1992 </t>
  </si>
  <si>
    <t>English, Kannada, Telugu</t>
  </si>
  <si>
    <t>Sri Venkatesvara University, 1982</t>
  </si>
  <si>
    <t>Canadian Mental Health Association,80 Waterloo Avenue,Guelph ON  N1H 0A1</t>
  </si>
  <si>
    <t>519-821-8089</t>
  </si>
  <si>
    <t>Timmins and District hospital,700 Ross Ave E,Timmins ON  P4N 8P2,Canada,Phone:705-267-2131,County:Territorial District of Cochrane,Electoral District:08
705 MacKay St,Canada,Phone:(613) 732-2811,County:County of Renfrew,Electoral District:07
London Health Sciences Centre,800 Commissioners Rd E,London ON  N6A 5W9,Canada,Phone:(519) 685-8500,County:County of Middlesex,Electoral District:02
Grand River Hospital,835 King Street East,Kitchener ON  N2G 1G3,Canada,Phone:(519) 749-4300 Ext. 5950,County:Regional Municipality of Waterloo,Electoral District:03</t>
  </si>
  <si>
    <t>Grand River Hospital Corporation,Kitchener Waterloo Site:Kitchener
London Health Sciences Centre,University Site:London
Pembroke Regional Hospital:Pembroke
Timmins and District Hospital:Timmins</t>
  </si>
  <si>
    <t>First certificate of registration issued: Independent Practice Certificate||Effective:   22 Sep 1992</t>
  </si>
  <si>
    <t>H.V. Kumar Medicine Professional Corporation</t>
  </si>
  <si>
    <t>Issued Date:  May 12 2017</t>
  </si>
  <si>
    <t>Dr. H. Kumar (CPSO# 66014)</t>
  </si>
  <si>
    <t>80 Waterloo Avenue,Guelph ON  N1H 0A1,(844) 264-2993
835 King Street East,835 King Street East,Kitchener ON  N2G 1G3
800 Commissioners Road East,800 Commissioners Road East,London ON  N6A 5W9
700 Ross Avenue East,700 Ross Avenue East,Timmins ON  P4N 8P2
705 Mackay Street,705 Mackay Street,Pembroke ON  K8A 1G8</t>
  </si>
  <si>
    <t>91841</t>
  </si>
  <si>
    <t xml:space="preserve">Active Member as of 23 Mar 2010 </t>
  </si>
  <si>
    <t xml:space="preserve">Restricted as of 23 Mar 2010 </t>
  </si>
  <si>
    <t>English, Pushto, Urdu</t>
  </si>
  <si>
    <t>Fatima Jinnah Medical College, 1994</t>
  </si>
  <si>
    <t>Hotel Dieu Grace Hospital,Off Site Adolescent Clinic,3640 Wells Street,Windsor ON  N9C 1T9</t>
  </si>
  <si>
    <t>(519) 258-0488</t>
  </si>
  <si>
    <t>3640 Wells Street,Windsor ON  N9C 1T9,Canada,Phone:519-258-0484,Fax:248-258-0488,County:County of Essex,Electoral District:01
Windsor Regional Hospital,Metropolitan Site/ MaryvaleLocation,Department of Pyschiatry,1995 Lens Avenue,Windsor ON  N8W 1L9,Canada,Phone:(519) 254-5577,County:County of Essex,Electoral District:01</t>
  </si>
  <si>
    <t>Psychiatry||Effective: 23 Mar 2010||CPSO Recognized Specialist</t>
  </si>
  <si>
    <t>First certificate of registration issued: Restricted certificate||Effective:   09 Jul 2009
Terms and conditions imposed on certificate by Registration Committee||Effective:   09 Jul 2009
Expiry date attached to certificate of registration.||Expiry Date: 08 Jul 2012
Expired: Terms and conditions imposed on certificate by Registration Committee||Effective:   23 Mar 2010
Subsequent certificate of registration issued: Restricted certificate||Effective:   23 Mar 2010
Terms and conditions amended by Registration Committee||Effective:   03 Feb 2011
Expiry date removed from certificate of registration.||Effective:   03 Feb 2011</t>
  </si>
  <si>
    <t>Humera Athar Medicine Professional Corporation</t>
  </si>
  <si>
    <t>Dr. H. Athar (CPSO# 91841)</t>
  </si>
  <si>
    <t>Hotel Dieu Grace Hospital,Off Site Adolescent Clinic,3640 Wells Street,Windsor ON  N9C 1T9,(519) 258-0484</t>
  </si>
  <si>
    <t>29724</t>
  </si>
  <si>
    <t xml:space="preserve">Active Member as of 02 Dec 1977 </t>
  </si>
  <si>
    <t xml:space="preserve">Independent Practice as of 02 Oct 2018 </t>
  </si>
  <si>
    <t>University of Hong Kong, 1971</t>
  </si>
  <si>
    <t>4040 Finch Avenue East,Suite 409,Scarborough ON  M1S 4V5</t>
  </si>
  <si>
    <t>(416) 297-4807</t>
  </si>
  <si>
    <t>(416) 297-8478</t>
  </si>
  <si>
    <t>Hong Fook Mental Health,Association,130 Dundas St W,Toronto ON  M5T 2E4,Canada,Phone:(416) 493-4242,County:City of Toronto,Electoral District:10
Across Boundaries Mental,Health Centre,51 Clarkson Avenue,Toronto ON  M6E 4Z8,Canada,Phone:(416) 787-3007,County:City of Toronto,Electoral District:10</t>
  </si>
  <si>
    <t>Hong Kong S A R</t>
  </si>
  <si>
    <t>Psychiatry||Effective: 16 Nov 1977||RCPSC Specialist</t>
  </si>
  <si>
    <t>First certificate of registration issued: Postgraduate Education Certificate||Effective:   01 Jul 1975
Transfer of class of registration to: Independent Practice Certificate||Effective:   02 Dec 1977
Transfer of class of certificate to: Restricted certificate||Effective:   19 Mar 2008
Terms and conditions imposed on certificate||Effective:   19 Mar 2008
Terms and conditions amended by Discipline Committee||Effective:   07 Feb 2013
Terms and conditions amended by member||Effective:   03 Jun 2016
Transfer of class of registration to: Independent Practice Certificate||Effective:   02 Oct 2018</t>
  </si>
  <si>
    <t>Hung Tat Lo Medicine Professional Corporation</t>
  </si>
  <si>
    <t>Dr. H. Lo (CPSO# 29724)</t>
  </si>
  <si>
    <t>409 - 4040 Finch Avenue East,Scarborough ON  M1S 4V5,(416) 297-4807</t>
  </si>
  <si>
    <t>54138</t>
  </si>
  <si>
    <t xml:space="preserve">Independent Practice as of 03 Jul 1985 </t>
  </si>
  <si>
    <t>Bloom, Hyman (used until: 23 Sep 2009 )</t>
  </si>
  <si>
    <t>Suite 1100,1200 Bay Street,Toronto ON  M5R 2A5</t>
  </si>
  <si>
    <t>(416) 922-7222</t>
  </si>
  <si>
    <t>(416) 922-3188</t>
  </si>
  <si>
    <t>Psychiatry||Effective: 29 May 1989||RCPSC Specialist
Forensic Psychiatry||Effective: 26 Sep 2013||RCPSC Specialist</t>
  </si>
  <si>
    <t>University of Toronto, 11 Jun 1984  to 17 Jun 1985|Other - Comprehensive Internship
University of Toronto, 01 Jul 1985  to 30 Jun 1986|Resident 1 - Psychiatry
University of Toronto, 01 Jul 1986  to 30 Jun 1987|Resident 2 - Psychiatry
University of Toronto, 01 Jul 1987  to 30 Jun 1988|Resident 3 - Psychiatry
University of Toronto, 01 Jul 1988  to 30 Jun 1989|Resident 4 - Psychiatry
University of Toronto, 01 Jul 1989  to 30 Jun 1990|Clinical Fellow - Psychiatry</t>
  </si>
  <si>
    <t>First certificate of registration issued: Postgraduate Education Certificate||Effective:   11 Jun 1984
Transfer of class of registration to: Independent Practice Certificate||Effective:   03 Jul 1985</t>
  </si>
  <si>
    <t>80797</t>
  </si>
  <si>
    <t>John, Hyacinth Sarah Eapen (used until: 05 Feb 2012 )</t>
  </si>
  <si>
    <t>Grand River Hospital Freeport Site,P O Box 9056,3570 King Street East,Kitchener ON  N2A 2W1</t>
  </si>
  <si>
    <t>(519) 749-4300 Ext. 7013</t>
  </si>
  <si>
    <t>10 B Victoria Street South,Kitchener ON  N2G 1C5,Canada,County:Regional Municipality of Waterloo,Electoral District:03</t>
  </si>
  <si>
    <t>The University of Western Ontario, 01 Jul 2004  to 30 Jun 2005|PostGrad Yr 1 - Psychiatry
The University of Western Ontario, 01 Jul 2005  to 30 Jun 2006|PostGrad Yr 2 - Psychiatry
The University of Western Ontario, 01 Jul 2006  to 30 Jun 2007|PostGrad Yr 3 - Psychiatry
The University of Western Ontario, 01 Jul 2007  to 30 Jun 2008|PostGrad Yr 4 - Psychiatry
The University of Western Ontario, 01 Jul 2008  to 30 Jun 2009|PostGrad Yr 5 - Psychiatry</t>
  </si>
  <si>
    <t>Hyacinth Easo Medicine Professional Corporation</t>
  </si>
  <si>
    <t>Issued Date:  Dec 16 2015</t>
  </si>
  <si>
    <t>Dr. H. Easo (CPSO# 80797)</t>
  </si>
  <si>
    <t>Grand River Hospital Freeport Site,PO Box 9056,3570 King Street East,Kitchener ON  N2A 2W1,(519) 841-4132
10B Victoria Street South,10B Victoria Street South,Kitchener ON  N2G 1C5</t>
  </si>
  <si>
    <t>66917</t>
  </si>
  <si>
    <t xml:space="preserve">Active Member as of 09 Dec 1998 </t>
  </si>
  <si>
    <t xml:space="preserve">Independent Practice as of 09 Dec 1998 </t>
  </si>
  <si>
    <t>Memorial University of Newfoundland, 1993</t>
  </si>
  <si>
    <t>2200 Eglinton Avenue West,Mississauga ON  L5M 2N1</t>
  </si>
  <si>
    <t>905-813-2200 Ext. 6971</t>
  </si>
  <si>
    <t>905-813-1594</t>
  </si>
  <si>
    <t>Psychiatry||Effective: 19 Nov 1998||RCPSC Specialist</t>
  </si>
  <si>
    <t>University of Toronto, 01 Jul 1993  to 30 Jun 1994|PostGrad Yr 1 - Psychiatry
University of Toronto, 01 Jul 1994  to 30 Jun 1995|Resident 1 - Psychiatry
University of Toronto, 01 Jul 1995  to 30 Jun 1996|Resident 2 - Psychiatry
University of Toronto, 01 Jul 1996  to 30 Jun 1997|Resident 3 - Psychiatry
University of Toronto, 01 Jul 1997  to 30 Jun 1998|Resident 4 - Psychiatry
University of Toronto, 01 Jul 1999  to 30 Jun 2000|Clinical Fellow - Psychiatry</t>
  </si>
  <si>
    <t>First certificate of registration issued: Postgraduate Education Certificate||Effective:   01 Jul 1993
Transfer of class of certificate to: Restricted certificate||Effective:   01 Jul 1998
Terms and conditions imposed on certificate||Effective:   01 Jul 1998
Expiry date attached to certificate of registration.||Expiry Date: 30 Jun 1999
Expired: Terms and conditions imposed on certificate by Registration Committee||Effective:   09 Dec 1998
Subsequent certificate of registration Issued: Independent Practice Certificate||Effective:   09 Dec 1998</t>
  </si>
  <si>
    <t>28800</t>
  </si>
  <si>
    <t xml:space="preserve">Active Member as of 01 Oct 1976 </t>
  </si>
  <si>
    <t xml:space="preserve">Independent Practice as of 01 Oct 1976 </t>
  </si>
  <si>
    <t>Room B-103, Providence Healthcare,3276 St Clair Avenue East,Toronto ON  M1L 1W1</t>
  </si>
  <si>
    <t>(416) 285-3665</t>
  </si>
  <si>
    <t>(416) 285-3663</t>
  </si>
  <si>
    <t>Providence Health Care,Toronto:Toronto
St Joseph's Infirmary,Toronto:Toronto</t>
  </si>
  <si>
    <t>Psychiatry||Effective: 11 Nov 1980||RCPSC Specialist</t>
  </si>
  <si>
    <t>First certificate of registration issued: Postgraduate Education Certificate||Effective:   17 Jun 1974
Expired: Terms and conditions of certificate of registration||Expiry:      30 Jun 1976
Subsequent certificate of registration Issued: Independent Practice Certificate||Effective:   01 Oct 1976</t>
  </si>
  <si>
    <t>22645</t>
  </si>
  <si>
    <t xml:space="preserve">Active Member as of 29 Apr 1970 </t>
  </si>
  <si>
    <t xml:space="preserve">Restricted as of 13 Nov 2006 </t>
  </si>
  <si>
    <t>The University of Western Ontario, 1958</t>
  </si>
  <si>
    <t>206 St. Clair Avenue West,Suite 2,Toronto ON  M4V 1R2</t>
  </si>
  <si>
    <t>(416) 920-5546</t>
  </si>
  <si>
    <t>(416) 920-5151</t>
  </si>
  <si>
    <t>208 St. Mary's River Drive,Sault Ste Marie ON  P6A 5V4,Canada,Phone:1 855 213 0582,County:Territorial District of Algoma,Electoral District:08</t>
  </si>
  <si>
    <t>Psychiatry||Effective: 07 Dec 1969||RCPSC Specialist</t>
  </si>
  <si>
    <t>First certificate of registration issued: Independent Practice Certificate||Effective:   29 Apr 1970
Transfer of class of certificate to: Restricted certificate||Effective:   13 Nov 2006
Terms and conditions imposed on certificate by member||Effective:   13 Nov 2006
Terms and conditions amended by member||Effective:   28 Feb 2007
Terms and conditions amended by Executive Committee||Effective:   29 Feb 2008
Terms and conditions amended by Discipline Committee||Effective:   16 Apr 2009</t>
  </si>
  <si>
    <t>65559</t>
  </si>
  <si>
    <t xml:space="preserve">Active Member as of 29 Jun 1993 </t>
  </si>
  <si>
    <t xml:space="preserve">Independent Practice as of 29 Jun 1993 </t>
  </si>
  <si>
    <t>CAMH,1001 Queen St. West,Toronto ON  M6J 1H4</t>
  </si>
  <si>
    <t>(416) 535-8501 Ext. 32464</t>
  </si>
  <si>
    <t>(416) 583-1324</t>
  </si>
  <si>
    <t>Centre for Addiction &amp; Mental Health,Queen Street Site:Toronto
North Bay Regional Health Centre:North Bay
Temiskaming Hospital:New Liskeard</t>
  </si>
  <si>
    <t>University of Toronto, 01 Jul 1995  to 30 Jun 1996|Resident 3 - Psychiatry
University of Toronto, 01 Jul 1996  to 30 Jun 1997|Resident 4 - Psychiatry</t>
  </si>
  <si>
    <t>First certificate of registration issued: Postgraduate Education Certificate||Effective:   15 Jun 1992
Expired: Terms and conditions of certificate of registration||Expiry:      14 Jun 1993
Subsequent certificate of registration Issued: Independent Practice Certificate||Effective:   29 Jun 1993</t>
  </si>
  <si>
    <t>82468</t>
  </si>
  <si>
    <t>North York General Hospital,Branson Site,1 South,555 FInch Avenue West,Toronto ON  M2R 1N5</t>
  </si>
  <si>
    <t>(416) 633-9420</t>
  </si>
  <si>
    <t>(416) 635-2428</t>
  </si>
  <si>
    <t>University of Ottawa, 01 Jul 2005  to 30 Jun 2006|PostGrad Yr 1 - Psychiatry
University of Ottawa, 01 Jul 2006  to 30 Jun 2007|PostGrad Yr 2 - Psychiatry
University of Ottawa, 01 Jul 2007  to 30 Jun 2008|PostGrad Yr 3 - Psychiatry
University of Ottawa, 01 Jul 2008  to 30 Jun 2009|PostGrad Yr 4 - Psychiatry
University of Ottawa, 01 Jul 2009  to 30 Jun 2010|PostGrad Yr 5 - Psychiatry
University of Toronto, 01 Jul 2010  to 30 Jun 2011|Clinical Fellow - Psychiatry</t>
  </si>
  <si>
    <t>Dr. Ian Weinroth Medicine Professional Corporation</t>
  </si>
  <si>
    <t>Issued Date:  Aug 12 2013</t>
  </si>
  <si>
    <t>Dr. I. Weinroth (CPSO# 82468)</t>
  </si>
  <si>
    <t>North York General Hospital,Branson Site,1 South,555 Finch Avenue West,North York ON  M2R 1N5,(416) 633-2505</t>
  </si>
  <si>
    <t>84017</t>
  </si>
  <si>
    <t xml:space="preserve">Active Member as of 27 Jan 2006 </t>
  </si>
  <si>
    <t xml:space="preserve">Independent Practice as of 27 Jan 2006 </t>
  </si>
  <si>
    <t>Dalhousie University, 1982</t>
  </si>
  <si>
    <t>Brockville General Hospital,Psychiatry Outpatients,25 Front Avenue West,Brockville ON  K6V 4J2</t>
  </si>
  <si>
    <t>(613) 342-2262</t>
  </si>
  <si>
    <t>Brockville General Hospital,75 Charles Street,Brockville ON  K6V 1S8,Canada,County:County of Leeds and Grenville,Electoral District:06</t>
  </si>
  <si>
    <t>Psychiatry||Effective: 24 Jun 1998||RCPSC Specialist
Family Medicine||Effective: 01 Jul 1984||CFPC Specialist
FCFP - Family Medicine||Effective: 01 Dec 2004||CFPC Specialist</t>
  </si>
  <si>
    <t>First certificate of registration issued: Independent Practice Certificate||Effective:   27 Jan 2006</t>
  </si>
  <si>
    <t>Dr. Ian W. K. Feltham Medicine Professional Corporation</t>
  </si>
  <si>
    <t>Issued Date:  Feb 24 2012</t>
  </si>
  <si>
    <t>Dr. I. Feltham (CPSO# 84017)</t>
  </si>
  <si>
    <t>1 - 25 Front Street West,Brockville ON  K6V 4J2,(613) 342-2262
Brockville General Hospital,Brockville General Hospital,75 Charles Street,Brockville ON  K6V 1S8,(613) 345-5649</t>
  </si>
  <si>
    <t>50597</t>
  </si>
  <si>
    <t xml:space="preserve">Independent Practice as of 22 Jan 1987 </t>
  </si>
  <si>
    <t>Odessa Medical Institute, 1971</t>
  </si>
  <si>
    <t>St Joseph's Health Centre,30 The Queensway,Toronto ON  M6R 1B5</t>
  </si>
  <si>
    <t>(416) 530-6000 Ext. 3762</t>
  </si>
  <si>
    <t>First certificate of registration issued: Postgraduate Education Certificate||Effective:   15 Jun 1981
Transfer of class of registration to: Independent Practice Certificate||Effective:   22 Jan 1987</t>
  </si>
  <si>
    <t>54807</t>
  </si>
  <si>
    <t xml:space="preserve">Active Member as of 19 Jul 1984 </t>
  </si>
  <si>
    <t xml:space="preserve">Independent Practice as of 19 Jul 1984 </t>
  </si>
  <si>
    <t>University of Madras, 1971</t>
  </si>
  <si>
    <t>Suite 401,1368 Ouellette Avenue,Windsor ON  N8X 1J9</t>
  </si>
  <si>
    <t>(519) 258-3936</t>
  </si>
  <si>
    <t>(519) 258-6836</t>
  </si>
  <si>
    <t>First certificate of registration issued: Independent Practice Certificate||Effective:   19 Jul 1984</t>
  </si>
  <si>
    <t>I. Asoka Rajan Medicine Professional Corporation</t>
  </si>
  <si>
    <t>Issued Date:  Apr 10 2003</t>
  </si>
  <si>
    <t>Dr. I. Rajan (CPSO# 54807)</t>
  </si>
  <si>
    <t>401 - 1368 Ouellette Avenue,Windsor ON  N8X 1J8,(519) 258-3936</t>
  </si>
  <si>
    <t>113547</t>
  </si>
  <si>
    <t xml:space="preserve">Active Member as of 21 Jul 2017 </t>
  </si>
  <si>
    <t xml:space="preserve">Restricted as of 21 Jul 2017 </t>
  </si>
  <si>
    <t>University of Nigeria, 2003</t>
  </si>
  <si>
    <t>101 Medical Centre,Unit 101,1520 Steeles Avenue West,Vaughan ON  L4K 3B9</t>
  </si>
  <si>
    <t>9055974457</t>
  </si>
  <si>
    <t>9055974458</t>
  </si>
  <si>
    <t>Psychiatry||Effective: 21 Jul 2017||CPSO Recognized Specialist</t>
  </si>
  <si>
    <t>First certificate of registration issued: Restricted certificate||Effective:   21 Jul 2017
Terms and conditions imposed on certificate by Registration Committee||Effective:   21 Jul 2017
Expiry date attached to certificate of registration.||Expiry Date: 03 Jul 2020</t>
  </si>
  <si>
    <t>81669</t>
  </si>
  <si>
    <t xml:space="preserve">Active Member as of 09 Jul 2004 </t>
  </si>
  <si>
    <t xml:space="preserve">Independent Practice as of 09 Jul 2004 </t>
  </si>
  <si>
    <t>Ain Shams University, 1985</t>
  </si>
  <si>
    <t>Lakeridge Health Care,1 Hospital Court,Oshawa ON  L1G 2B9</t>
  </si>
  <si>
    <t>Psychiatry||Effective: 09 Jun 2004||RCPSC Specialist</t>
  </si>
  <si>
    <t>First certificate of registration issued: Independent Practice Certificate||Effective:   09 Jul 2004</t>
  </si>
  <si>
    <t>Sorial Medicine Professional Corporation</t>
  </si>
  <si>
    <t>Issued Date:  Oct 20 2008</t>
  </si>
  <si>
    <t>Dr. I. Sorial (CPSO# 81669)</t>
  </si>
  <si>
    <t>Lakeridge Health Oshawa,Suite 3G,1 Hospital Court,Oshawa ON  L1G 2B9,(905) 576-8711</t>
  </si>
  <si>
    <t>97426</t>
  </si>
  <si>
    <t xml:space="preserve">Active Member as of 10 Mar 2015 </t>
  </si>
  <si>
    <t xml:space="preserve">Independent Practice as of 10 Mar 2015 </t>
  </si>
  <si>
    <t>University of Lagos, 1998</t>
  </si>
  <si>
    <t>1190 Tecumseh Road East,Windsor ON  N8W 1B4</t>
  </si>
  <si>
    <t>(519) 252-3335</t>
  </si>
  <si>
    <t>(519) 252-1529</t>
  </si>
  <si>
    <t>Hotel dieu Grace Healthcare,Department of Psychiatry,1453 Prince Road,Windsor ON  N9C 3Z4,Canada,Phone:(519) 257-5111,County:County of Essex,Electoral District:01
Windsor Regional Hospital,Ouellette Campus,Department of Psychiatry,1030 Ouellette Avenue,Windsor ON  N9A 1E1,Canada,Phone:(519) 973-4444,County:County of Essex,Electoral District:01
Windsor Regional Hospital,Metropolitan Campus,Department of Psychiatry,1995 Lens Avenue,Windsor ON  N8W 1L9,Canada,Phone:(519) 254-1661,County:County of Essex,Electoral District:01
Canadian Mental Health Association,1400 Windsor Avenue,Windsor ON  N8X 3L9,Canada,Phone:(519) 255-7440,County:County of Essex,Electoral District:01</t>
  </si>
  <si>
    <t>First certificate of registration issued: Restricted certificate||Effective:   12 Apr 2012
Terms and conditions imposed on certificate by Registration Committee||Effective:   12 Apr 2012
Expiry date attached to certificate of registration.||Expiry Date: 11 Apr 2015
Terms and conditions amended by Registration Committee||Effective:   17 Oct 2013
Expired: Terms and conditions imposed on certificate by Registration Committee||Effective:   10 Mar 2015
Subsequent certificate of registration Issued: Independent Practice Certificate||Effective:   10 Mar 2015</t>
  </si>
  <si>
    <t>I.U. Ndubisi Medicine Professional Corporation</t>
  </si>
  <si>
    <t>Issued Date:  Mar 28 2013</t>
  </si>
  <si>
    <t>Dr. I. Ndubisi (CPSO# 97426)</t>
  </si>
  <si>
    <t>1190 Tecumseh Road East,Windsor ON  N8W 1B4,(519) 252-3335</t>
  </si>
  <si>
    <t>101950</t>
  </si>
  <si>
    <t xml:space="preserve">Active Member as of 08 Aug 2013 </t>
  </si>
  <si>
    <t xml:space="preserve">Restricted as of 08 Aug 2013 </t>
  </si>
  <si>
    <t>The Scarborough and Rouge Hospital,Mental Health Services,3030 Birchmount Road,Toronto ON  M1W 3W3</t>
  </si>
  <si>
    <t>(416) 495-2701 Ext. 6874</t>
  </si>
  <si>
    <t>(416) 495-2426</t>
  </si>
  <si>
    <t>British Columbia
United Kingdom</t>
  </si>
  <si>
    <t>First certificate of registration issued: Restricted certificate||Effective:   08 Aug 2013
Terms and conditions imposed on certificate by Registration Committee||Effective:   08 Aug 2013</t>
  </si>
  <si>
    <t>Ikechukwu Nwachukwu Medicine Professional Corporation</t>
  </si>
  <si>
    <t>Issued Date:  Apr 16 2014</t>
  </si>
  <si>
    <t>Dr. I. Nwachukwu (CPSO# 101950)</t>
  </si>
  <si>
    <t>The Scarborough Hospital,Mental Health Services,Unit 3E,3030 Birchmount Road,Toronto ON  M1W 3W3,(416) 495-2701
3050 Lawrence Avenue East,3050 Lawrence Avenue East,Scarborough ON  M1P 2V5,(416) 495-2701</t>
  </si>
  <si>
    <t>77924</t>
  </si>
  <si>
    <t>Ontario Shores Centre for,Mental Health Sciences,700 Gordon St.,Whitby ON  L1N 5S9</t>
  </si>
  <si>
    <t>(905) 668-4019</t>
  </si>
  <si>
    <t>North York Seniors Health Centre,2 Buchan Court,Toronto ON  M2J 5A3,Canada,Phone:(416) 756-6050 Ext. 8060,County:City of Toronto,Electoral District:10</t>
  </si>
  <si>
    <t>North York General Hospital,General Division:Toronto
Ontario Shores Centre for Mental Health Sciences:Whitby</t>
  </si>
  <si>
    <t>Ilan Fischler Medicine Professional Corporation</t>
  </si>
  <si>
    <t>Issued Date:  Mar 06 2017</t>
  </si>
  <si>
    <t>Dr. I. Fischler (CPSO# 77924)</t>
  </si>
  <si>
    <t>Ontario Shores Centre for Mental Health Sciences,Building 5, Level 3,700 Gordon Street,Whitby ON  L1N 5S9,(905) 668-5881
North York Seniors Health Centre,North York Seniors Health Centre,2 Buchan Court,Toronto ON  M2J 5A3,(416) 756-6050</t>
  </si>
  <si>
    <t>97271</t>
  </si>
  <si>
    <t xml:space="preserve">Active Member as of 30 Jun 2013 </t>
  </si>
  <si>
    <t>St Michaels Hospital,Cardinal Carter Wing,17th Floor,30 Bond Street,Toronto ON  M5B 1W8</t>
  </si>
  <si>
    <t>(416) 864-3090</t>
  </si>
  <si>
    <t>University of Toronto, 20 Feb 2012  to 06 May 2012|Elective Trainee - Psychiatry</t>
  </si>
  <si>
    <t>First certificate of registration issued: Postgraduate Education Certificate||Effective:   20 Feb 2012
Expired: Terms and conditions of certificate of registration||Expiry:      06 May 2012
Subsequent certificate of registration Issued: Independent Practice Certificate||Effective:   30 Jun 2013</t>
  </si>
  <si>
    <t>Mercereau and Shawn Medicine Professional Corporation</t>
  </si>
  <si>
    <t>Dr. P. Mercereau (CPSO# 97260),Dr. I. Shawn (CPSO# 97271)</t>
  </si>
  <si>
    <t>St. Joseph's Health Centre,Department of Anaesthesia,30 The Queensway,Toronto ON  M6R 1B5,(416) 530-6000
St. Michael's Hospital,St. Michael's Hospital,Cardinal Carter Wing, 17th Floor,30 Bond Street,Toronto ON  M5B 1W8,(416) 864-3090</t>
  </si>
  <si>
    <t>65729</t>
  </si>
  <si>
    <t xml:space="preserve">Active Member as of 11 Jul 2002 </t>
  </si>
  <si>
    <t xml:space="preserve">Independent Practice as of 11 Jul 2002 </t>
  </si>
  <si>
    <t>Academy of Medicine, Lodz, 1981</t>
  </si>
  <si>
    <t>(613) 565-3479</t>
  </si>
  <si>
    <t>(613) 565-8763</t>
  </si>
  <si>
    <t>Psychiatry||Effective: 06 Jun 2002||RCPSC Specialist</t>
  </si>
  <si>
    <t>McMaster University, 01 Jun 1992  to 30 Jun 1992|Resident 1 - General Pathology
McMaster University, 01 Jul 1992  to 30 Jun 1993|Resident 1 - General Pathology
University of Ottawa, 01 Jul 1993  to 30 Jun 1994|Resident 2 - General Pathology
University of Ottawa, 01 Jul 1994  to 30 Jun 1995|Resident 3 - General Pathology
University of Ottawa, 01 Jul 1996  to 30 Jun 1997|Resident 4 - General Pathology
University of Ottawa, 23 Apr 2001  to 11 May 2001|Elective Trainee - Psychiatry</t>
  </si>
  <si>
    <t>First certificate of registration issued: Postgraduate Education Certificate||Effective:   02 Jul 1992
Expired: Terms and conditions of certificate of registration||Expiry:      30 Jun 1995
Subsequent certificate of registration Issued: Postgraduate Education Certificate||Effective:   01 Jul 1996
Expired: Terms and conditions of certificate of registration||Expiry:      30 Jun 1997
Subsequent certificate of registration Issued: Postgraduate Education Certificate||Effective:   23 Apr 2001
Expired: Terms and conditions of certificate of registration||Expiry:      11 May 2001
Subsequent certificate of registration issued: Restricted certificate||Effective:   11 Sep 2001
Expired: Terms and conditions imposed on certificate by Registration Committee||Effective:   11 Jul 2002
Subsequent certificate of registration Issued: Independent Practice Certificate||Effective:   11 Jul 2002</t>
  </si>
  <si>
    <t>Ilona Polis Medicine Professional Corporation</t>
  </si>
  <si>
    <t>Issued Date:  Mar 21 2011</t>
  </si>
  <si>
    <t>Dr. I. Polis (CPSO# 65729)</t>
  </si>
  <si>
    <t>301 Metcalfe Street,Ottawa ON  K2P 1R9,(613) 565-3479</t>
  </si>
  <si>
    <t>70276</t>
  </si>
  <si>
    <t>Centre for Addiction and,Mental Health,250 College Street,Toronto ON  M5T 1R8</t>
  </si>
  <si>
    <t>(416) 535-8501 Ext. 36311</t>
  </si>
  <si>
    <t>First certificate of registration issued: Postgraduate Education Certificate||Effective:   01 Jul 1996
Expired: Terms and conditions of certificate of registration||Expiry:      30 Jun 2001
Subsequent certificate of registration Issued: Independent Practice Certificate||Effective:   10 Aug 2001</t>
  </si>
  <si>
    <t>85676</t>
  </si>
  <si>
    <t xml:space="preserve">Active Member as of 06 Oct 2006 </t>
  </si>
  <si>
    <t xml:space="preserve">Restricted as of 06 Oct 2006 </t>
  </si>
  <si>
    <t>112 Queenston Street. Unit  M2,St Catharines ON  L2R 2Z4</t>
  </si>
  <si>
    <t>(905) 397-8875</t>
  </si>
  <si>
    <t>(905) 397-7548</t>
  </si>
  <si>
    <t>Niagara Health System,1200 Fourth Avenue,St Catharines ON  L2S 0A9,Canada,County:Regional Municipality of Niagara,Electoral District:04</t>
  </si>
  <si>
    <t>First certificate of registration issued: Restricted certificate||Effective:   06 Oct 2006
Terms and conditions imposed on certificate by Registration Committee||Effective:   06 Oct 2006
Expiry date attached to certificate of registration.||Expiry Date: 05 Oct 2009
Terms and conditions amended by Registration Committee||Effective:   02 Jul 2009
Expiry date removed from certificate of registration.||Effective:   02 Jul 2009</t>
  </si>
  <si>
    <t>Imran Naqvi Medicine Professional Corporation</t>
  </si>
  <si>
    <t>Inactive: Sep 21 2012</t>
  </si>
  <si>
    <t>Dr. Imran Naqvi Medicine Professional Corporation</t>
  </si>
  <si>
    <t>Inactive: Jul 18 2014</t>
  </si>
  <si>
    <t>Dr. I. Naqvi Medicine Professional Corporation</t>
  </si>
  <si>
    <t>Issued Date:  May 13 2014</t>
  </si>
  <si>
    <t>Dr. I. Naqvi (CPSO# 85676)</t>
  </si>
  <si>
    <t>112 Queenston Street,Suite M2,St Catharines ON  L2R 2Z4,(905) 397-8875</t>
  </si>
  <si>
    <t>80726</t>
  </si>
  <si>
    <t xml:space="preserve">Active Member as of 15 Dec 2010 </t>
  </si>
  <si>
    <t xml:space="preserve">Independent Practice as of 15 Dec 2010 </t>
  </si>
  <si>
    <t>Women's College Hospital,Department of Psychiatry,7th Floor,76 Grenville Street,Toronto ON  M5S 1B1</t>
  </si>
  <si>
    <t>Nicotine Dependence Clinic, CAMH,175 College Street,Toronto ON  M5S 3E3,Canada,Phone:(416) 535-8501,County:City of Toronto,Electoral District:10</t>
  </si>
  <si>
    <t>Centre of Addiction &amp; Mental Health,- College Street Site:Toronto
Women's College Hospital:Toronto</t>
  </si>
  <si>
    <t>Psychiatry||Effective: 15 Nov 2010||RCPSC Specialist</t>
  </si>
  <si>
    <t>McMaster University, 01 Jul 2004  to 30 Jun 2005|PostGrad Yr 1 - Psychiatry
McMaster University, 01 Jul 2005  to 30 Jun 2006|PostGrad Yr 2 - Psychiatry
McMaster University, 01 Jul 2006  to 30 Nov 2006|PostGrad Yr 2 - Psychiatry
McMaster University, 01 Dec 2006  to 30 Nov 2007|PostGrad Yr 3 - Psychiatry
McMaster University, 01 Dec 2007  to 30 Nov 2008|PostGrad Yr 4 - Psychiatry
McMaster University, 01 Dec 2008  to 30 Jun 2009|PostGrad Yr 5 - Psychiatry
McMaster University, 01 Jul 2009  to 30 Jun 2010|PostGrad Yr 5 - Psychiatry
McMaster University, 01 Jul 2010  to 16 Nov 2010|PostGrad Yr 5 - Psychiatry</t>
  </si>
  <si>
    <t>First certificate of registration issued: Postgraduate Education Certificate||Effective:   01 Jul 2004
Expired: Terms and conditions of certificate of registration||Expiry:      16 Nov 2010
Subsequent certificate of registration Issued: Independent Practice Certificate||Effective:   15 Dec 2010</t>
  </si>
  <si>
    <t>Agrawal &amp; Gafni Medicine Professional Corporation</t>
  </si>
  <si>
    <t>Issued Date:  Oct 29 2015</t>
  </si>
  <si>
    <t>Dr. S. Agrawal (CPSO# 77900),Dr. I. Gafni (CPSO# 80726)</t>
  </si>
  <si>
    <t>1001 Queen Street West,Toronto ON  M6J 1H4,(416) 535-8501
Women's  College Hospital,Women's  College Hospital,Department of Psychiatry,7th Floor,76 Grenville Street,Toronto ON  M5S 1B1,(416) 323-6400</t>
  </si>
  <si>
    <t>52125</t>
  </si>
  <si>
    <t xml:space="preserve">Independent Practice as of 02 Feb 1984 </t>
  </si>
  <si>
    <t>Vroom, Ingrid Lynn (used until: 25 Jun 1996 )</t>
  </si>
  <si>
    <t>Lakehead Psychiatric Hospital,St Joseph's Care Group,P O Box 2930,580 Algoma Street,Thunder Bay ON  P7B 5G4</t>
  </si>
  <si>
    <t>(807) 343-4300</t>
  </si>
  <si>
    <t>St Joseph's Care Group,Lakehead Psychiatric Hospital:Thunder Bay</t>
  </si>
  <si>
    <t>McMaster University, 01 Jul 1982  to 30 Jun 1983|Other - Comprehensive Internship
McMaster University, 01 Jul 1983  to 30 Jun 1984|Resident 2 - Family Medicine
University of Toronto, 01 Jan 2003  to 31 Dec 2003|PostGrad Yr 2 - Psychiatry
University of Toronto, 01 Jan 2004  to 30 Jun 2004|PostGrad Yr 3 - Psychiatry
University of Toronto, 01 Jul 2004  to 31 Dec 2004|PostGrad Yr 3 - Psychiatry
University of Toronto, 01 Jan 2005  to 31 Dec 2005|PostGrad Yr 4 - Psychiatry
University of Toronto, 01 Jan 2006  to 31 Dec 2006|PostGrad Yr 5 - Psychiatry</t>
  </si>
  <si>
    <t>First certificate of registration issued: Postgraduate Education Certificate||Effective:   01 Jul 1982
Transfer of class of registration to: Independent Practice Certificate||Effective:   02 Feb 1984</t>
  </si>
  <si>
    <t>108002</t>
  </si>
  <si>
    <t xml:space="preserve">Active Member as of 17 Sep 2015 </t>
  </si>
  <si>
    <t xml:space="preserve">Independent Practice as of 17 Sep 2015 </t>
  </si>
  <si>
    <t>C A M H,250 College St # 1045,Toronto ON  M5T 1L8</t>
  </si>
  <si>
    <t>(416) 535-8501 Ext. 34925</t>
  </si>
  <si>
    <t>(416) 979-6882</t>
  </si>
  <si>
    <t>Psychiatry||Effective: 31 Dec 2012||RCPSC Specialist</t>
  </si>
  <si>
    <t>First certificate of registration issued: Independent Practice Certificate||Effective:   17 Sep 2015</t>
  </si>
  <si>
    <t>Dr. Ioana Iordache Medicine Professional Corporation</t>
  </si>
  <si>
    <t>Issued Date:  Oct 19 2015</t>
  </si>
  <si>
    <t>Dr. I. Iordache (CPSO# 108002)</t>
  </si>
  <si>
    <t>CAMH,250 College Street,Suite 1045,Toronto ON  M5T 1R8,(416) 535-8501</t>
  </si>
  <si>
    <t>79334</t>
  </si>
  <si>
    <t xml:space="preserve">Active Member as of 12 Apr 2010 </t>
  </si>
  <si>
    <t xml:space="preserve">Independent Practice as of 12 Apr 2010 </t>
  </si>
  <si>
    <t>Petrozavodsk State University, 1984</t>
  </si>
  <si>
    <t>Parkwood Institute,Mood and Anxiety disorders program,550 Wellington Rd.,London ON  N6C 0A7</t>
  </si>
  <si>
    <t>(519) 455-5110 Ext. 47365</t>
  </si>
  <si>
    <t>(519) 452-4391</t>
  </si>
  <si>
    <t>University of Toronto, 01 Jul 2003  to 19 Sep 2003|PEAP - Clinical Fellow - Psychiatry
University of Toronto, 20 Sep 2003  to 30 Jun 2004|Clinical Fellow - Psychiatry
University of Toronto, 01 Jul 2004  to 31 Dec 2004|Clinical Fellow - Psychiatry
The University of Western Ontario, 01 Jan 2005  to 11 Mar 2005|Assessment Verification Period - Psychiatry
The University of Western Ontario, 12 Mar 2005  to 31 Dec 2005|PostGrad Yr 2 - Psychiatry
The University of Western Ontario, 01 Jan 2006  to 31 Dec 2006|PostGrad Yr 3 - Psychiatry
The University of Western Ontario, 01 Jan 2007  to 31 Dec 2007|PostGrad Yr 4 - Psychiatry
The University of Western Ontario, 01 Jan 2008  to 30 Jun 2008|PostGrad Yr 5 - Psychiatry</t>
  </si>
  <si>
    <t>First certificate of registration issued: Pre Entry Assessment Program Certificate||Effective:   01 Jul 2003
Transfer of class of registration to: Postgraduate Education Certificate||Effective:   19 Sep 2003
Expired: Terms and conditions of certificate of registration||Expiry:      31 Dec 2004
Subsequent certificate of registration Issued: Pre Entry Assessment Program Certificate||Effective:   01 Jan 2005
Transfer of class of registration to: Postgraduate Education Certificate||Effective:   15 Mar 2005
Expired: Terms and conditions of certificate of registration||Expiry:      30 Jun 2008
Subsequent certificate of registration issued: Restricted certificate||Effective:   11 Aug 2008
Expired: Terms and conditions imposed on certificate by Registration Committee||Effective:   12 Apr 2010
Subsequent certificate of registration Issued: Independent Practice Certificate||Effective:   12 Apr 2010</t>
  </si>
  <si>
    <t>88745</t>
  </si>
  <si>
    <t>St Josephs Health Centre,Mental Health &amp; Addictions Program,30 The Queensway,Toronto ON  M6R 1B5</t>
  </si>
  <si>
    <t>416-530-6105</t>
  </si>
  <si>
    <t>University of Toronto, 01 Jul 2008  to 30 Jun 2009|PostGrad Yr 1 - Psychiatry
University of Toronto, 01 Jul 2009  to 30 Jun 2010|PostGrad Yr 2 - Psychiatry
University of Toronto, 01 Jul 2010  to 30 Jun 2011|PostGrad Yr 3 - Psychiatry
University of Toronto, 01 Jul 2011  to 30 Jun 2012|PostGrad Yr 4 - Psychiatry
University of Toronto, 01 Jul 2012  to 30 Jun 2013|PostGrad Yr 5 - Psychiatry
University of Toronto, 01 Jul 2013  to 30 Jun 2014|PostGrad Yr 5 - Psychiatry</t>
  </si>
  <si>
    <t>Dr. Iram Ahmed Medicine Professional Corporation</t>
  </si>
  <si>
    <t>Issued Date:  Sep 03 2014</t>
  </si>
  <si>
    <t>Dr. I. Ahmed (CPSO# 88745)</t>
  </si>
  <si>
    <t>St Josephs Health Centre,Department of Psychiatry,Suite 7M,30 The Queensway,Toronto ON  M6R 1B5,(416) 530-6000</t>
  </si>
  <si>
    <t>54178</t>
  </si>
  <si>
    <t xml:space="preserve">Independent Practice as of 13 Jun 1989 </t>
  </si>
  <si>
    <t>English, French, Greek</t>
  </si>
  <si>
    <t>University of Geneva, 1983</t>
  </si>
  <si>
    <t>457 Smith Lane,Oakville ON  L6L4X1</t>
  </si>
  <si>
    <t>(905) 842-8958</t>
  </si>
  <si>
    <t>(905) 8444809</t>
  </si>
  <si>
    <t>Mood Disorder Program,St Joseph Hospital, West Faith Camp,100, west 5th Strett,PO Box 585,Hamilton ON  L8N 3K7,Canada,Phone:(905) 522-1155 Ext. 36334,Fax:(905) 3815625,County:Regional Municipality of Hamilton-Wentworth,Electoral District:04</t>
  </si>
  <si>
    <t>McMaster University, 01 Jul 1988  to 30 Jun 1989|Resident 4 - Psychiatry</t>
  </si>
  <si>
    <t>First certificate of registration issued: Postgraduate Education Certificate||Effective:   01 Jul 1984
Transfer of class of registration to: Independent Practice Certificate||Effective:   13 Jun 1989</t>
  </si>
  <si>
    <t>Patelis-Siotis Medicine Professional Corporation</t>
  </si>
  <si>
    <t>Issued Date:  Apr 13 2011</t>
  </si>
  <si>
    <t>Dr. I. Patelis-Siotis (CPSO# 54178)</t>
  </si>
  <si>
    <t>Mood Disorders Programme,100 West 5th Street,P O Box 585,Hamilton ON  L8N 3K7,(905) 388-2511
McMaster University,McMaster University,323 Kerr Street,Suite 206,Oakville ON  L6K 3B6,(905) 842-8958
St joseph's Healthcare,St joseph's Healthcare,50 Charlton Avenue East,Hamilton ON  L8N 4A6,(905) 522-4941</t>
  </si>
  <si>
    <t>68962</t>
  </si>
  <si>
    <t>(416) 813-7500</t>
  </si>
  <si>
    <t>83868</t>
  </si>
  <si>
    <t xml:space="preserve">Active Member as of 01 Dec 2005 </t>
  </si>
  <si>
    <t>English, Hebrew, Russian</t>
  </si>
  <si>
    <t>The Azerbaijan N.Narimanov Memorial Stat, 1979</t>
  </si>
  <si>
    <t>McMaster Family Practice,100 Main Street west,Hamilton ON  L8P 1H6</t>
  </si>
  <si>
    <t>905-320-7526</t>
  </si>
  <si>
    <t>(905) 637-1331</t>
  </si>
  <si>
    <t>CAMHS Haldimand &amp; Norfolk,PO Box 5166,Townsend ON  N0A 1S0,Canada,Phone:905-320-7526,Fax:905-637-1331,County:Regional Municipality of Haldimand-Norfolk,Electoral District:04
Correctional Service Canada,PO Box 1174, 443 Union Street,Kingston ON  K7L 2R8,Canada,Phone:613-351-8879,Fax:613-351-8342,County:County of Frontenac,Electoral District:06
1475 Upper Ottawa street,McMaster Family Health Team,Hamilton ON  L8W 3J6,Canada,Phone:905-575-1744,Fax:905-637-1331,County:Regional Municipality of Hamilton-Wentworth,Electoral District:04</t>
  </si>
  <si>
    <t>McMaster University, 01 Dec 2005  to 13 Feb 2006|PEAP - Clinical Fellow - Psychiatry
McMaster University, 14 Feb 2006  to 30 Jun 2006|Clinical Fellow - Psychiatry
McMaster University, 01 Jul 2006  to 30 Jun 2007|Clinical Fellow - Psychiatry
McMaster University, 01 Jul 2007  to 08 Apr 2008|PostGrad Yr 1 - Psychiatry
McMaster University, 09 Apr 2008  to 30 Jun 2008|PostGrad Yr 4 - Psychiatry
McMaster University, 01 Jul 2008  to 30 Jun 2009|PostGrad Yr 5 - Psychiatry</t>
  </si>
  <si>
    <t>First certificate of registration issued: Pre Entry Assessment Program Certificate||Effective:   01 Dec 2005
Transfer of class of registration to: Postgraduate Education Certificate||Effective:   22 Feb 2006
Transfer of class of registration to: Independent Practice Certificate||Effective:   30 Jun 2009</t>
  </si>
  <si>
    <t>Dr. I. Skladman Medicine Professional Corporation</t>
  </si>
  <si>
    <t>Issued Date:  Jul 09 2012</t>
  </si>
  <si>
    <t>Dr. I. Skladman (CPSO# 83868)</t>
  </si>
  <si>
    <t>100 Main Street West,Hamilton ON  L8P 1H6,(905) 320-0752
Stone Church Family Health Centre,Stone Church Family Health Centre,1475 Upper Ottawa Street,Hamilton ON  L8W 3J6,(905) 575-1300
101 Nanticoke Creek Parkway,101 Nanticoke Creek Parkway,PO Box 5166,Townsend ON  N0A 1S0,(905) 320-7526
443 Union Street,443 Union Street,PO Box 1174,Kingston ON  K7L 2R8,(613) 351-8879</t>
  </si>
  <si>
    <t>63021</t>
  </si>
  <si>
    <t xml:space="preserve">Active Member as of 02 Aug 1995 </t>
  </si>
  <si>
    <t xml:space="preserve">Independent Practice as of 02 Aug 1995 </t>
  </si>
  <si>
    <t>University of Genova, 1983</t>
  </si>
  <si>
    <t>32 Park Road,Toronto ON  M4W 2N4</t>
  </si>
  <si>
    <t>(416) 598-9344</t>
  </si>
  <si>
    <t>(416) 598-8198</t>
  </si>
  <si>
    <t>Psychiatry||Effective: 31 Jul 1995||RCPSC Specialist</t>
  </si>
  <si>
    <t>First certificate of registration issued: Postgraduate Education Certificate||Effective:   13 Aug 1990
Expired: Terms and conditions of certificate of registration||Expiry:      31 Jul 1995
Subsequent certificate of registration Issued: Independent Practice Certificate||Effective:   02 Aug 1995</t>
  </si>
  <si>
    <t>53715</t>
  </si>
  <si>
    <t xml:space="preserve">Active Member as of 24 Jan 1984 </t>
  </si>
  <si>
    <t xml:space="preserve">Independent Practice as of 24 Jan 1984 </t>
  </si>
  <si>
    <t>McGill University, 1976</t>
  </si>
  <si>
    <t>Unit B,53 Melgund Rd,Toronto ON  M5R 2A1</t>
  </si>
  <si>
    <t>(416) 922-2558</t>
  </si>
  <si>
    <t>First certificate of registration issued: Independent Practice Certificate||Effective:   24 Jan 1984</t>
  </si>
  <si>
    <t>I. Kleinman Medicine Professional Corporation</t>
  </si>
  <si>
    <t>Issued Date:  Dec 13 2016</t>
  </si>
  <si>
    <t>Dr. I. Kleinman (CPSO# 53715)</t>
  </si>
  <si>
    <t>53 Melgund Road,Unit B,Toronto ON  M5R 2A1,(416) 922-2558</t>
  </si>
  <si>
    <t>63357</t>
  </si>
  <si>
    <t>University of Alexandria, 1972</t>
  </si>
  <si>
    <t>Suite 100,231 Wharncliffe Road,London ON  N6J 2L3</t>
  </si>
  <si>
    <t>(519) 641-5789</t>
  </si>
  <si>
    <t>(519) 641-3949</t>
  </si>
  <si>
    <t>University of Toronto, 01 Jul 1991  to 30 Jun 1992|Resident 4 - Psychiatry
University of Toronto, 01 Jul 1992  to 30 Jun 1993|Resident 4 - Psychiatry</t>
  </si>
  <si>
    <t>First certificate of registration issued: Postgraduate Education Certificate||Effective:   08 Feb 1991
Expired: Terms and conditions of certificate of registration||Expiry:      31 Dec 1992
Subsequent certificate of registration Issued: Independent Practice Certificate||Effective:   02 Jul 1998</t>
  </si>
  <si>
    <t>Isaac F. Isaac Medicine Professional Corporation</t>
  </si>
  <si>
    <t>Issued Date:  Aug 10 2010</t>
  </si>
  <si>
    <t>Dr. I. Isaac (CPSO# 63357)</t>
  </si>
  <si>
    <t>Suite 100,231 Wharncliffe Road South,London ON  N6J 2L3,(519) 641-5789
528 Dundas Street,528 Dundas Street,London ON  N6B 1W6,(519) 641-5789</t>
  </si>
  <si>
    <t>56929</t>
  </si>
  <si>
    <t xml:space="preserve">Independent Practice as of 27 Aug 1986 </t>
  </si>
  <si>
    <t>McGill University, 1985</t>
  </si>
  <si>
    <t>691 Upper James Street,Hamilton ON  L9C 2Z4</t>
  </si>
  <si>
    <t>(905) 524-2667</t>
  </si>
  <si>
    <t>(905) 388-6861</t>
  </si>
  <si>
    <t>Royal Ottawa Health Care Group,Brockville Mental Health Centre:Brockville</t>
  </si>
  <si>
    <t>Psychiatry||Effective: 12 Jun 1990||RCPSC Specialist
Forensic Psychiatry||Effective: 23 Sep 2014||RCPSC Specialist</t>
  </si>
  <si>
    <t>First certificate of registration issued: Postgraduate Education Certificate||Effective:   01 Jul 1986
Transfer of class of registration to: Independent Practice Certificate||Effective:   27 Aug 1986</t>
  </si>
  <si>
    <t>Isabelle Cote Medicine Professional Corporation</t>
  </si>
  <si>
    <t>Issued Date:  Dec 14 2016</t>
  </si>
  <si>
    <t>Dr. I. Cote (CPSO# 56929)</t>
  </si>
  <si>
    <t>691 Upper James Street,Hamilton ON  L9C 2Z4,(905) 524-2667</t>
  </si>
  <si>
    <t>89163</t>
  </si>
  <si>
    <t xml:space="preserve">Active Member as of 23 Mar 2017 </t>
  </si>
  <si>
    <t xml:space="preserve">Restricted as of 23 Mar 2017 </t>
  </si>
  <si>
    <t>Bourque, Isabelle (used until: 30 Sep 2010 )</t>
  </si>
  <si>
    <t>Student Health Services,Lambton College,1457 London Road,Sarnia ON  N7S 6K4</t>
  </si>
  <si>
    <t>(519) 542-7751</t>
  </si>
  <si>
    <t>The University of Western Ontario, 01 Jul 2008  to 30 Jun 2009|PostGrad Yr 2 - Psychiatry
The University of Western Ontario, 01 Jul 2009  to 30 Jun 2010|PostGrad Yr 3 - Psychiatry
The University of Western Ontario, 01 Jul 2010  to 30 Jun 2011|PostGrad Yr 4 - Psychiatry
The University of Western Ontario, 01 Jul 2011  to 30 Jun 2012|PostGrad Yr 5 - Psychiatry
The University of Western Ontario, 01 Jul 2012  to 31 Mar 2013|PostGrad Yr 5 - Psychiatry</t>
  </si>
  <si>
    <t>First certificate of registration issued: Postgraduate Education Certificate||Effective:   01 Jul 2008
Expired: Terms and conditions of certificate of registration||Expiry:      31 Mar 2013
Subsequent certificate of registration issued: Restricted certificate||Effective:   23 Mar 2017
Terms and conditions amended by Registration Committee||Effective:   02 Aug 2018
Expiry date attached to certificate of registration||Expiry Date: 21 Mar 2019</t>
  </si>
  <si>
    <t>Paul Martin Medicine Professional Corporation</t>
  </si>
  <si>
    <t>Issued Date:  Jul 12 2013</t>
  </si>
  <si>
    <t>Dr. I. Martin (CPSO# 89163),Dr. P. Martin (CPSO# 89033)</t>
  </si>
  <si>
    <t>DMI Professional Building,Suite 113,704 Mara Street,Point Edward ON  N7V 1X4,(519) 344-2949</t>
  </si>
  <si>
    <t>114394</t>
  </si>
  <si>
    <t xml:space="preserve">Active Member as of 22 Jan 2018 </t>
  </si>
  <si>
    <t xml:space="preserve">Restricted as of 22 Jan 2018 </t>
  </si>
  <si>
    <t>268 Grosvenor St,PO BOX 5777, STN B,London ON  N6A 4V2</t>
  </si>
  <si>
    <t>519-539-0181</t>
  </si>
  <si>
    <t>Psychiatry||Effective: 22 Jan 2018||CPSO Recognized Specialist</t>
  </si>
  <si>
    <t>First certificate of registration issued: Restricted certificate||Effective:   22 Jan 2018
Terms and conditions imposed on certificate by Registration Committee||Effective:   22 Jan 2018
Expiry date attached to certificate of registration.||Expiry Date: 30 Jun 2020</t>
  </si>
  <si>
    <t>Dr. Itoro Ime Udo Medicine Professional Corporation</t>
  </si>
  <si>
    <t>Dr. I. Udo (CPSO# 114394)</t>
  </si>
  <si>
    <t>268 Grosvenor Street,London ON  N6A 4V2,(226) 998-6122</t>
  </si>
  <si>
    <t>93630</t>
  </si>
  <si>
    <t xml:space="preserve">Active Member as of 10 Jul 2015 </t>
  </si>
  <si>
    <t xml:space="preserve">Independent Practice as of 10 Jul 2015 </t>
  </si>
  <si>
    <t>Health &amp; Wellness Centre,214 College Street, 1st Floor,Koffler Student Services Centre,University of Toronto,Toronto ON  M5T 2Z9</t>
  </si>
  <si>
    <t>416-978-8030</t>
  </si>
  <si>
    <t>416-9787341</t>
  </si>
  <si>
    <t>First certificate of registration issued: Postgraduate Education Certificate||Effective:   01 Jul 2010
Expired: Terms and conditions of certificate of registration||Expiry:      30 Jun 2015
Subsequent certificate of registration Issued: Independent Practice Certificate||Effective:   10 Jul 2015</t>
  </si>
  <si>
    <t>30384</t>
  </si>
  <si>
    <t xml:space="preserve">Active Member as of 01 Sep 1978 </t>
  </si>
  <si>
    <t xml:space="preserve">Independent Practice as of 01 Sep 1978 </t>
  </si>
  <si>
    <t>Dalhousie University, 1975</t>
  </si>
  <si>
    <t>C A M H,33 Russell Street,Toronto ON  M5S 2S1</t>
  </si>
  <si>
    <t>(416) 535-8501 Ext. 32178</t>
  </si>
  <si>
    <t>First certificate of registration issued: Postgraduate Education Certificate||Effective:   18 Jun 1975
Transfer of class of registration to: Independent Practice Certificate||Effective:   01 Sep 1978</t>
  </si>
  <si>
    <t>101419</t>
  </si>
  <si>
    <t>University of Alberta, 2013</t>
  </si>
  <si>
    <t>C A M H,1001 Queen St W,Toronto ON  M6J 1H4</t>
  </si>
  <si>
    <t>University of Toronto, 01 Jul 2013  to 30 Jun 2014|PostGrad Yr 1 - Psychiatry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
University of Toronto, 01 Sep 2018  to 30 Jun 2019|Clinical Fellow - Psychiatry</t>
  </si>
  <si>
    <t>79359</t>
  </si>
  <si>
    <t xml:space="preserve">Independent Practice as of 15 Oct 2008 </t>
  </si>
  <si>
    <t>English, Mandarin</t>
  </si>
  <si>
    <t>Dalhousie University, 2003</t>
  </si>
  <si>
    <t>Suite 408,377 Church Street,Markham ON  L6B 1A1</t>
  </si>
  <si>
    <t>Psychiatry||Effective: 15 Oct 2008||RCPSC Specialist</t>
  </si>
  <si>
    <t>McMaster University, 01 Jul 2003  to 30 Jun 2004|PostGrad Yr 1 - Psychiatry
McMaster University, 01 Jul 2004  to 30 Jun 2005|PostGrad Yr 2 - Psychiatry
McMaster University, 01 Jul 2005  to 30 Jun 2006|PostGrad Yr 3 - Psychiatry
McMaster University, 01 Jul 2006  to 15 Oct 2006|PostGrad Yr 3 - Psychiatry
McMaster University, 16 Oct 2006  to 15 Oct 2007|PostGrad Yr 4 - Psychiatry
McMaster University, 16 Oct 2007  to 15 Oct 2008|PostGrad Yr 5 - Psychiatry</t>
  </si>
  <si>
    <t>First certificate of registration issued: Postgraduate Education Certificate||Effective:   01 Jul 2003
Transfer of class of registration to: Independent Practice Certificate||Effective:   15 Oct 2008</t>
  </si>
  <si>
    <t>Qian Lee Medicine Professional Corporation</t>
  </si>
  <si>
    <t>Issued Date:  Nov 03 2008</t>
  </si>
  <si>
    <t>Dr. I. Qian Lee (CPSO# 79359)</t>
  </si>
  <si>
    <t>Suite 408,377 Church Street,Markham ON  L6B 1A1,(905) 472-5733</t>
  </si>
  <si>
    <t>58123</t>
  </si>
  <si>
    <t>Parkwood Institute Mental Health,Elgin Ambulatory,294 Talbot Street Unit 1,St Thomas ON  N5P 4E3</t>
  </si>
  <si>
    <t>(519) 631-0292</t>
  </si>
  <si>
    <t>(519) 631-7023</t>
  </si>
  <si>
    <t>Suite 100,231 Wharncliffe Road South,London ON  N6J 2L3,Canada,Phone:(519) 963-0620,Fax:(519) 963-0621,County:County of Middlesex,Electoral District:02</t>
  </si>
  <si>
    <t>Queen's University, 01 Jul 1990  to 30 Jun 1991|Resident 4 - Psychiatry</t>
  </si>
  <si>
    <t>I.M. Nowicki Medicine Professional Corporation</t>
  </si>
  <si>
    <t>Issued Date:  Sep 16 2013</t>
  </si>
  <si>
    <t>Dr. I. Nowicki (CPSO# 58123)</t>
  </si>
  <si>
    <t>Regional Health Care London Elgin,Unit 1,294 Talbot Street,St Thomas ON  N5P 4E3,(519) 631-0292
100 - 231 Wharncliffe Road South,100 - 231 Wharncliffe Road South,London ON  N6J 2L3,(519) 963-0620</t>
  </si>
  <si>
    <t>88693</t>
  </si>
  <si>
    <t>The University of British Columbia, 2008</t>
  </si>
  <si>
    <t>Scarborough and Rouge Hospital,Centenary Site, 6th Floor,2867 Ellesmere Road,Scarborough ON  M1E 4B9</t>
  </si>
  <si>
    <t>(416) 284-8131 Ext. 5332</t>
  </si>
  <si>
    <t>Dr. I. Patyk Medicine Professional Corporation</t>
  </si>
  <si>
    <t>Issued Date:  Mar 31 2015</t>
  </si>
  <si>
    <t>Dr. I. Patyk (CPSO# 88693)</t>
  </si>
  <si>
    <t>Rouge Valley Centenary Hospital,6th Floor,2867 Ellesmere Road,Scarborough ON  M1E 4B9,(416) 284-8131</t>
  </si>
  <si>
    <t>71143</t>
  </si>
  <si>
    <t xml:space="preserve">Active Member as of 19 Sep 2002 </t>
  </si>
  <si>
    <t xml:space="preserve">Independent Practice as of 19 Sep 2002 </t>
  </si>
  <si>
    <t>University of Ottawa, 1997</t>
  </si>
  <si>
    <t>The University of Western Ontario, 01 Jul 1997  to 30 Jun 1998|PostGrad Yr 1 - Psychiatry
The University of Western Ontario, 01 Jul 1998  to 30 Jun 1999|PostGrad Yr 2 - Psychiatry
The University of Western Ontario, 01 Jul 1999  to 30 Jun 2000|PostGrad Yr 3 - Psychiatry
The University of Western Ontario, 01 Jul 2000  to 30 Jun 2001|PostGrad Yr 4 - Psychiatry
The University of Western Ontario, 01 Jul 2001  to 30 Jun 2002|PostGrad Yr 5 - Psychiatry</t>
  </si>
  <si>
    <t>First certificate of registration issued: Postgraduate Education Certificate||Effective:   01 Jul 1997
Expired: Terms and conditions of certificate of registration||Expiry:      30 Jun 2002
Subsequent certificate of registration Issued: Independent Practice Certificate||Effective:   19 Sep 2002</t>
  </si>
  <si>
    <t>Tuhan Medicine Professional Corporation</t>
  </si>
  <si>
    <t>Inactive: Jan 25 2018</t>
  </si>
  <si>
    <t>51483</t>
  </si>
  <si>
    <t xml:space="preserve">Independent Practice as of 18 Apr 1983 </t>
  </si>
  <si>
    <t>74 Cedar Pointe Dr.,Unit 1006,Barrie ON  L4N 5R7</t>
  </si>
  <si>
    <t>(705) 722-7170</t>
  </si>
  <si>
    <t>(705) 722-6243</t>
  </si>
  <si>
    <t>University Health Network,Toronto Western Hosptial,9th Floor New East Wing,399 Bathurst Street,Toronto ON  M5T 2S8,Canada,Phone:(416) 603-5747,County:City of Toronto,Electoral District:10</t>
  </si>
  <si>
    <t>First certificate of registration issued: Postgraduate Education Certificate||Effective:   15 Jun 1981
Transfer of class of registration to: Independent Practice Certificate||Effective:   18 Apr 1983</t>
  </si>
  <si>
    <t>51304</t>
  </si>
  <si>
    <t xml:space="preserve">Independent Practice as of 15 May 1984 </t>
  </si>
  <si>
    <t>Royal College of Surgeons in Ireland, 1974</t>
  </si>
  <si>
    <t>93 Dewbourne Avenue,Toronto ON  M6C 1Y4</t>
  </si>
  <si>
    <t>(416) 789-2806</t>
  </si>
  <si>
    <t>(416) 784-3352</t>
  </si>
  <si>
    <t>Psychiatry||Effective: 24 Nov 1983||RCPSC Specialist</t>
  </si>
  <si>
    <t>First certificate of registration issued: Postgraduate Education Certificate||Effective:   28 Aug 1974
Expired: Terms and conditions of certificate of registration||Expiry:      14 Jun 1975
Subsequent certificate of registration Issued: Postgraduate Education Certificate||Effective:   01 Jul 1981
Transfer of class of registration to: Independent Practice Certificate||Effective:   15 May 1984</t>
  </si>
  <si>
    <t>33416</t>
  </si>
  <si>
    <t xml:space="preserve">Active Member as of 31 Jan 2004 </t>
  </si>
  <si>
    <t xml:space="preserve">Independent Practice as of 30 Apr 2004 </t>
  </si>
  <si>
    <t>National Autonomous University of Mexico, 1977</t>
  </si>
  <si>
    <t>Suite 505,15 Wertheim Court,Richmond Hill ON  L4B 3H7</t>
  </si>
  <si>
    <t>(905) 882-7828</t>
  </si>
  <si>
    <t>(905) 882-9248</t>
  </si>
  <si>
    <t>Suite 200,637 Davis Drive,Newmarket ON  L3Y 2R2,Canada,Phone:(905) 836-1958,Fax:(905) 836-1402,County:Regional Municipality of York,Electoral District:05</t>
  </si>
  <si>
    <t>University of Toronto, 01 Jul 1985  to 30 Jun 1986|Resident 1 - Psychiatry
University of Toronto, 01 Jul 1986  to 30 Jun 1987|Resident 2 - Psychiatry
University of Toronto, 01 Jul 1987  to 30 Jun 1988|Resident 3 - Psychiatry
University of Toronto, 01 Jul 1988  to 30 Jun 1989|Resident 4 - Psychiatry</t>
  </si>
  <si>
    <t>First certificate of registration issued: Independent Practice Certificate||Effective:   29 Jun 1982
Transfer of class of certificate to: Restricted certificate||Effective:   04 Sep 2003
Terms and conditions imposed on certificate||Effective:   04 Sep 2003
Suspension of registration imposed: Discipline Committee||Effective:   31 Oct 2003
Suspension of registration removed||Effective:   31 Jan 2004
Transfer of class of registration to: Independent Practice Certificate||Effective:   30 Apr 2004</t>
  </si>
  <si>
    <t>50983</t>
  </si>
  <si>
    <t xml:space="preserve">Independent Practice as of 19 Sep 1983 </t>
  </si>
  <si>
    <t>Suite 1006,21 St Clair Avenue East,Toronto ON  M4T 1L9</t>
  </si>
  <si>
    <t>(416) 324-9585</t>
  </si>
  <si>
    <t>First certificate of registration issued: Postgraduate Education Certificate||Effective:   14 Jun 1982
Transfer of class of registration to: Independent Practice Certificate||Effective:   19 Sep 1983</t>
  </si>
  <si>
    <t>52553</t>
  </si>
  <si>
    <t xml:space="preserve">Independent Practice as of 14 Jun 1984 </t>
  </si>
  <si>
    <t>Hampton Park Plaza,Suite 200,1419 Carling Avenue,Ottawa ON  K1Z 7L6</t>
  </si>
  <si>
    <t>(613) 226-9444</t>
  </si>
  <si>
    <t>(613) 820-7892</t>
  </si>
  <si>
    <t>University of Toronto, 13 Jun 1983  to 11 Jun 1984|Other - Rotating Internship
University of Ottawa, 01 Jul 1985  to 30 Jun 1986|Resident 1 - Psychiatry
University of Ottawa, 01 Jul 1986  to 30 Jun 1987|Resident 2 - Psychiatry
University of Ottawa, 01 Jul 1987  to 30 Jun 1988|Resident 3 - Psychiatry
University of Ottawa, 01 Jul 1988  to 30 Jun 1989|Resident 4 - Psychiatry</t>
  </si>
  <si>
    <t>First certificate of registration issued: Postgraduate Education Certificate||Effective:   13 Jun 1983
Transfer of class of registration to: Independent Practice Certificate||Effective:   14 Jun 1984</t>
  </si>
  <si>
    <t>33460</t>
  </si>
  <si>
    <t xml:space="preserve">Active Member as of 22 Jun 1981 </t>
  </si>
  <si>
    <t xml:space="preserve">Independent Practice as of 02 Jul 1982 </t>
  </si>
  <si>
    <t>Queen's University, 1981</t>
  </si>
  <si>
    <t>20-375 Edith Cavell Blvd,Port Stanley,Ontario,Port Sydney ON  N5L 1J9</t>
  </si>
  <si>
    <t>(519) 319-1831</t>
  </si>
  <si>
    <t>(519) 782-7915</t>
  </si>
  <si>
    <t>University of Ottawa, 01 Jul 1990  to 30 Jun 1991|Resident 4 - Psychiatry
University of Ottawa, 01 Jul 1997  to 30 Sep 1997|Clinical Fellow - Psychiatry</t>
  </si>
  <si>
    <t>First certificate of registration issued: Postgraduate Education Certificate||Effective:   22 Jun 1981
Transfer of class of registration to: Independent Practice Certificate||Effective:   02 Jul 1982</t>
  </si>
  <si>
    <t>21525</t>
  </si>
  <si>
    <t xml:space="preserve">Active Member as of 17 Jul 1968 </t>
  </si>
  <si>
    <t xml:space="preserve">Independent Practice as of 17 Jul 1968 </t>
  </si>
  <si>
    <t>The Johns Hopkins University, 1967</t>
  </si>
  <si>
    <t>284 Forest Hill Road,Toronto ON  M5P 2N6</t>
  </si>
  <si>
    <t>(416) 489-6315</t>
  </si>
  <si>
    <t>(416) 489-6049</t>
  </si>
  <si>
    <t>First certificate of registration issued: Independent Practice Certificate||Effective:   17 Jul 1968</t>
  </si>
  <si>
    <t>Brandes Medicine Professional Corporation</t>
  </si>
  <si>
    <t>Issued Date:  Aug 15 2012</t>
  </si>
  <si>
    <t>Dr. J. Brandes (CPSO# 21525)</t>
  </si>
  <si>
    <t>284 Forest Hill Road,Toronto ON  M5P 2N6,(416) 489-6315</t>
  </si>
  <si>
    <t>53660</t>
  </si>
  <si>
    <t xml:space="preserve">Active Member as of 21 Dec 1983 </t>
  </si>
  <si>
    <t xml:space="preserve">Independent Practice as of 21 Dec 1983 </t>
  </si>
  <si>
    <t>Humber River  Hospital,Toronto ON  M3M 0B2</t>
  </si>
  <si>
    <t>416-242-1000 Ext. 43000</t>
  </si>
  <si>
    <t>416-242-1025</t>
  </si>
  <si>
    <t>First certificate of registration issued: Independent Practice Certificate||Effective:   21 Dec 1983</t>
  </si>
  <si>
    <t>113948</t>
  </si>
  <si>
    <t xml:space="preserve">Restricted as of 25 Sep 2017 </t>
  </si>
  <si>
    <t>Dutch, English, French</t>
  </si>
  <si>
    <t>Free University, 1999</t>
  </si>
  <si>
    <t>(416) 813-1500</t>
  </si>
  <si>
    <t>Netherlands</t>
  </si>
  <si>
    <t>Psychiatry||Effective: 25 Sep 2017||CPSO Recognized Specialist
Child and Adolescent Psychiatry||Effective: 25 Sep 2017||CPSO Recognized Specialist</t>
  </si>
  <si>
    <t>First certificate of registration issued: Restricted certificate||Effective:   25 Sep 2017
Terms and conditions imposed on certificate by Registration Committee||Effective:   25 Sep 2017
Expiry date attached to certificate of registration.||Expiry Date: 17 Jun 2020</t>
  </si>
  <si>
    <t>51049</t>
  </si>
  <si>
    <t xml:space="preserve">Active Member as of 23 Jun 1982 </t>
  </si>
  <si>
    <t xml:space="preserve">Independent Practice as of 28 Dec 1984 </t>
  </si>
  <si>
    <t>36 Madison Ave.,Toronto,Toronto ON  M5R 2S1</t>
  </si>
  <si>
    <t>(416) 578-4645</t>
  </si>
  <si>
    <t>189 Pacific Ave.,Toronto,Toronto ON  M6P 2P6,Canada,Phone:(416) 769-2531,County:City of Toronto,Electoral District:10</t>
  </si>
  <si>
    <t>First certificate of registration issued: Postgraduate Education Certificate||Effective:   23 Jun 1982
Transfer of class of registration to: Independent Practice Certificate||Effective:   28 Dec 1984</t>
  </si>
  <si>
    <t>Dr. Jacqueline Masson Medicine Professional Corporation</t>
  </si>
  <si>
    <t>Issued Date:  Aug 14 2009</t>
  </si>
  <si>
    <t>Dr. J. Masson (CPSO# 51049)</t>
  </si>
  <si>
    <t>189 Pacific Avenue,Toronto ON  M6P 2P6</t>
  </si>
  <si>
    <t>57217</t>
  </si>
  <si>
    <t>Queen's University, 1986</t>
  </si>
  <si>
    <t>Queen's University, 01 Jul 1986  to 30 Jun 1987|Other - Comprehensive Internship
Queen's University, 01 Jul 1987  to 30 Jun 1988|Resident 3 - Internal Medicine
Queen's University, 01 Jul 1987  to 30 Jun 1988|Resident 2 - Medical Oncology
Queen's University, 01 Jul 1989  to 30 Jun 1990|Resident 4 - Medical Oncology
University of Toronto, 01 Jul 1990  to 30 Jun 1991|Resident 1 - Psychiatry
University of Toronto, 01 Jul 1991  to 30 Jun 1992|Resident 2 - Psychiatry
University of Toronto, 01 Jul 1992  to 30 Jun 1993|Resident 3 - Psychiatry
University of Toronto, 01 Jul 1993  to 30 Jun 1994|Resident 4 - Psychiatry</t>
  </si>
  <si>
    <t>First certificate of registration issued: Postgraduate Education Certificate||Effective:   01 Jul 1986
Transfer of class of registration to: Independent Practice Certificate||Effective:   17 Nov 1988</t>
  </si>
  <si>
    <t>95704</t>
  </si>
  <si>
    <t xml:space="preserve">Postgraduate Education as of 01 Jul 2011 </t>
  </si>
  <si>
    <t>Postgraduate Medical Education,500 University Avenue,Toronto ON  M5G 1V7</t>
  </si>
  <si>
    <t>416-978-6976</t>
  </si>
  <si>
    <t>University of Toronto, 01 Jul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Child and Adolescent Psychiatry
University of Toronto, 01 Jul 2016  to 30 Jun 2017|PostGrad Yr 5 - Child and Adolescent Psychiatry
University of Toronto, 01 Jul 2017  to 30 Jun 2018|PostGrad Yr 6 - Child and Adolescent Psychiatry
University of Toronto, 01 Jul 2018  to 30 Jun 2019|PostGrad Yr 6 - Child and Adolescent Psychiatry</t>
  </si>
  <si>
    <t>First certificate of registration issued: Postgraduate Education Certificate||Effective:   01 Jul 2011
Expiry date attached to certificate of registration.||Expiry Date: 30 Jun 2019</t>
  </si>
  <si>
    <t>61654</t>
  </si>
  <si>
    <t xml:space="preserve">Active Member as of 02 Jul 1991 </t>
  </si>
  <si>
    <t xml:space="preserve">Independent Practice as of 18 Mar 1992 </t>
  </si>
  <si>
    <t>National University of Ireland, 1981</t>
  </si>
  <si>
    <t>604 Champlain Road,Tiny ON  L9M 0C2</t>
  </si>
  <si>
    <t>(705) 3092037</t>
  </si>
  <si>
    <t>(705) 5275323</t>
  </si>
  <si>
    <t>First certificate of registration issued: Postgraduate Education Certificate||Effective:   30 Aug 1989
Expired: Terms and conditions of certificate of registration||Expiry:      31 Dec 1990
Subsequent certificate of registration Issued: Postgraduate Education Certificate||Effective:   02 Jul 1991
Transfer of class of registration to: Independent Practice Certificate||Effective:   18 Mar 1992</t>
  </si>
  <si>
    <t>Jacqueline Duncan Medicine Professional Corporation</t>
  </si>
  <si>
    <t>Issued Date:  Oct 02 2012</t>
  </si>
  <si>
    <t>Dr. J. Duncan (CPSO# 61654)</t>
  </si>
  <si>
    <t>604 Champlain Road,Tiny ON  L9M 0C2,(705) 549-8346</t>
  </si>
  <si>
    <t>105671</t>
  </si>
  <si>
    <t xml:space="preserve">Active Member as of 13 Apr 2015 </t>
  </si>
  <si>
    <t xml:space="preserve">Independent Practice as of 13 Apr 2015 </t>
  </si>
  <si>
    <t>(416) 368-4896 Ext. 2931</t>
  </si>
  <si>
    <t>416-363-7945</t>
  </si>
  <si>
    <t>First certificate of registration issued: Independent Practice Certificate||Effective:   13 Apr 2015</t>
  </si>
  <si>
    <t>100243</t>
  </si>
  <si>
    <t xml:space="preserve">Active Member as of 25 Oct 2018 </t>
  </si>
  <si>
    <t xml:space="preserve">Independent Practice as of 25 Oct 2018 </t>
  </si>
  <si>
    <t>Koffler Student Services Centre,214 College Street,Toronto ON  M5T 2Z9</t>
  </si>
  <si>
    <t>416-978-8079</t>
  </si>
  <si>
    <t>Psychiatry||Effective: 09 Sep 2018||RCPSC Specialist</t>
  </si>
  <si>
    <t>University of Toronto, 01 Jul 2013  to 30 Jun 2014|PostGrad Yr 1 - Psychiatry
University of Toronto, 01 Jul 2014  to 30 Jun 2015|PostGrad Yr 2 - Psychiatry
University of Toronto, 01 Jul 2015  to 08 Sep 2015|PostGrad Yr 2 - Psychiatry
University of Toronto, 09 Sep 2015  to 30 Jun 2016|PostGrad Yr 3 - Psychiatry
University of Toronto, 01 Jul 2016  to 08 Sep 2016|PostGrad Yr 3 - Psychiatry
University of Toronto, 09 Sep 2016  to 30 Jun 2017|PostGrad Yr 4 - Psychiatry
University of Toronto, 01 Jul 2017  to 08 Sep 2017|PostGrad Yr 4 - Psychiatry
University of Toronto, 09 Sep 2017  to 30 Jun 2018|PostGrad Yr 5 - Psychiatry
University of Toronto, 01 Jul 2018  to 09 Sep 2018|PostGrad Yr 5 - Psychiatry</t>
  </si>
  <si>
    <t>First certificate of registration issued: Postgraduate Education Certificate||Effective:   01 Jul 2013
Expired: Terms and conditions of certificate of registration||Expiry:      09 Sep 2018
Subsequent certificate of registration Issued: Independent Practice Certificate||Effective:   25 Oct 2018</t>
  </si>
  <si>
    <t>84711</t>
  </si>
  <si>
    <t>Queen's University, 01 Jul 2006  to 30 Jun 2007|PostGrad Yr 1 - Psychiatry
Queen's University, 01 Jul 2007  to 30 Jun 2008|PostGrad Yr 2 - Psychiatry
Queen's University, 01 Jul 2008  to 30 Jun 2009|PostGrad Yr 3 - Psychiatry
Queen's University, 01 Jul 2009  to 30 Jun 2010|PostGrad Yr 4 - Psychiatry
Queen's University, 01 Jul 2010  to 30 Jun 2011|PostGrad Yr 5 - Psychiatry</t>
  </si>
  <si>
    <t>Sze Medicine Professional Corporation</t>
  </si>
  <si>
    <t>Issued Date:  Jul 25 2012</t>
  </si>
  <si>
    <t>Dr. J. Sze (CPSO# 84711)</t>
  </si>
  <si>
    <t>Unit J,1225 Kennedy Road,Scarborough ON  M1P 4Y1,(416) 431-8135</t>
  </si>
  <si>
    <t>84627</t>
  </si>
  <si>
    <t xml:space="preserve">Active Member as of 04 Jun 2014 </t>
  </si>
  <si>
    <t>Toronto East General Hospital,Department of Psychiatry,5th Floor,825 Coxwell Avenue,Toronto ON  M4C 3E7</t>
  </si>
  <si>
    <t>(416) 469-6580</t>
  </si>
  <si>
    <t>Psychiatry||Effective: 31 May 2014||RCPSC Specialist</t>
  </si>
  <si>
    <t>Queen's University, 01 Jul 2006  to 30 Jun 2007|PostGrad Yr 1 - Radiation Oncology
Queen's University, 01 Jul 2007  to 30 Jun 2008|PostGrad Yr 2 - Radiation Oncology
Queen's University, 01 Jul 2008  to 30 Jun 2009|PostGrad Yr 3 - Radiation Oncology
Queen's University, 01 Jul 2009  to 30 Jun 2010|PostGrad Yr 4 - Radiation Oncology
University of Toronto, 01 Jul 2010  to 30 Jun 2011|PostGrad Yr 2 - Psychiatry
University of Toronto, 01 Jul 2011  to 30 Jun 2012|PostGrad Yr 3 - Psychiatry
University of Toronto, 01 Jul 2012  to 30 Jun 2013|PostGrad Yr 4 - Psychiatry
University of Toronto, 01 Jul 2013  to 31 May 2014|PostGrad Yr 5 - Psychiatry</t>
  </si>
  <si>
    <t>First certificate of registration issued: Postgraduate Education Certificate||Effective:   01 Jul 2006
Expired: Terms and conditions of certificate of registration||Expiry:      31 May 2014
Subsequent certificate of registration Issued: Independent Practice Certificate||Effective:   04 Jun 2014</t>
  </si>
  <si>
    <t>68519</t>
  </si>
  <si>
    <t xml:space="preserve">Active Member as of 19 Aug 1994 </t>
  </si>
  <si>
    <t xml:space="preserve">Independent Practice as of 19 Aug 1994 </t>
  </si>
  <si>
    <t>University of Sherbrooke, 1978</t>
  </si>
  <si>
    <t>First certificate of registration issued: Independent Practice Certificate||Effective:   19 Aug 1994</t>
  </si>
  <si>
    <t>65995</t>
  </si>
  <si>
    <t xml:space="preserve">Active Member as of 14 Sep 1992 </t>
  </si>
  <si>
    <t xml:space="preserve">Independent Practice as of 14 Sep 1992 </t>
  </si>
  <si>
    <t>University of Montreal, 1991</t>
  </si>
  <si>
    <t>4 Beechwood Avenue,Suite 200,Ottawa ON  K1L 8L9</t>
  </si>
  <si>
    <t>(613) 741-7174</t>
  </si>
  <si>
    <t>University of Ottawa, 01 Jul 1995  to 30 Jun 1996|Resident 4 - Psychiatry</t>
  </si>
  <si>
    <t>First certificate of registration issued: Independent Practice Certificate||Effective:   14 Sep 1992</t>
  </si>
  <si>
    <t>100121</t>
  </si>
  <si>
    <t xml:space="preserve">Active Member as of 14 Jun 2016 </t>
  </si>
  <si>
    <t xml:space="preserve">Restricted as of 14 Jun 2016 </t>
  </si>
  <si>
    <t>University of Oradea, 2001</t>
  </si>
  <si>
    <t>Brampton Civic Hospital-WOHS,Department of Psychiatry,2100 Bovaird Drive East,Brampton ON  L6R 3J7</t>
  </si>
  <si>
    <t>Peel Memoria Hospital,Brampton ON  L6W2Z8,Canada,County:Regional Municipality of Peel,Electoral District:05</t>
  </si>
  <si>
    <t>William Osler - Peel Memorial Centre,for Integrated Health and Wellness:Brampton
William Osler Health Centre-Brampton Civic Hospital:Brampton</t>
  </si>
  <si>
    <t>First certificate of registration issued: Restricted certificate||Effective:   19 Apr 2013
Terms and conditions imposed on certificate by Registration Committee||Effective:   19 Apr 2013
Expiry date attached to certificate of registration.||Expiry Date: 18 Apr 2016
Expired: Terms and conditions imposed on certificate by Registration Committee||Effective:   18 Apr 2016
Subsequent certificate of registration issued: Restricted certificate||Effective:   14 Jun 2016
Terms and conditions amended by Registration Committee||Effective:   08 Mar 2017</t>
  </si>
  <si>
    <t>Jagdeesh K. Dhaliwal Medicine Professional Corporation</t>
  </si>
  <si>
    <t>Dr. J. Dhaliwal (CPSO# 100121)</t>
  </si>
  <si>
    <t>Brampton Civic Hospital,Department of Psychiatry,William Osler Health System,2100 Bovaird Drive East,Brampton ON  L6R 3J7,(905) 494-2120</t>
  </si>
  <si>
    <t>57710</t>
  </si>
  <si>
    <t xml:space="preserve">Active Member as of 08 Sep 1986 </t>
  </si>
  <si>
    <t xml:space="preserve">Independent Practice as of 08 Sep 1986 </t>
  </si>
  <si>
    <t>Punjabi University, 1975</t>
  </si>
  <si>
    <t>Suite 206,7900 Hurontario Street,Brampton ON  L6Y 0P6</t>
  </si>
  <si>
    <t>(905) 874-4748</t>
  </si>
  <si>
    <t>(905) 874-4790</t>
  </si>
  <si>
    <t>First certificate of registration issued: Independent Practice Certificate||Effective:   08 Sep 1986</t>
  </si>
  <si>
    <t>Dr. Jagtaran Singh Dhaliwal Medicine Professional Corporation</t>
  </si>
  <si>
    <t>Issued Date:  Oct 15 2013</t>
  </si>
  <si>
    <t>Dr. J. Dhaliwal (CPSO# 57710)</t>
  </si>
  <si>
    <t>Suite 206,7900 Hurontario Street,Brampton ON  L6Y 0P6,(905) 459-2282</t>
  </si>
  <si>
    <t>87935</t>
  </si>
  <si>
    <t xml:space="preserve">Active Member as of 01 Jan 2008 </t>
  </si>
  <si>
    <t xml:space="preserve">Independent Practice as of 31 Jul 2009 </t>
  </si>
  <si>
    <t>Mansoura University, 1992</t>
  </si>
  <si>
    <t>Humber River Hospital,1235 Wilson Avenue,M3M0B2,Toronto ON  M6M 3Z4</t>
  </si>
  <si>
    <t>(416) 2421000 Ext. 43099</t>
  </si>
  <si>
    <t>Psychiatry||Effective: 31 Jul 2009||RCPSC Specialist
Geriatric Psychiatry||Effective: 21 Sep 2015||RCPSC Specialist</t>
  </si>
  <si>
    <t>University of Toronto, 01 Jan 2008  to 30 Jun 2008|PostGrad Yr 4 - Psychiatry
University of Toronto, 01 Jul 2008  to 30 Jun 2009|PostGrad Yr 5 - Psychiatry
University of Toronto, 01 Jul 2009  to 31 Jul 2009|PostGrad Yr 5 - Psychiatry</t>
  </si>
  <si>
    <t>First certificate of registration issued: Postgraduate Education Certificate||Effective:   01 Jan 2008
Transfer of class of registration to: Independent Practice Certificate||Effective:   31 Jul 2009</t>
  </si>
  <si>
    <t>80197</t>
  </si>
  <si>
    <t xml:space="preserve">Active Member as of 15 Sep 2003 </t>
  </si>
  <si>
    <t xml:space="preserve">Academic Practice as of 15 Sep 2003 </t>
  </si>
  <si>
    <t>English, Estonian, Russian</t>
  </si>
  <si>
    <t>University of Tartu, 1985</t>
  </si>
  <si>
    <t>(613) 722-6521 Ext. 6270</t>
  </si>
  <si>
    <t>(613) 683-4404</t>
  </si>
  <si>
    <t>Psychiatry||Effective: 25 Aug 2003||RCPSC Specialist</t>
  </si>
  <si>
    <t>First certificate of registration issued: Academic Practice Certificate||Effective:   15 Sep 2003
Expiry date removed from certificate of registration.||Effective:   04 Aug 2009</t>
  </si>
  <si>
    <t>Shlik Medicine Professional Corporation</t>
  </si>
  <si>
    <t>Issued Date:  Dec 22 2011</t>
  </si>
  <si>
    <t>Dr. J. Shlik (CPSO# 80197)</t>
  </si>
  <si>
    <t>57209</t>
  </si>
  <si>
    <t xml:space="preserve">Active Member as of 15 Jun 1986 </t>
  </si>
  <si>
    <t>Unit 211,99 Kakulu Road,Ottawa ON  K2L 3C8</t>
  </si>
  <si>
    <t>(613) 591-0610</t>
  </si>
  <si>
    <t>(613) 591-0612</t>
  </si>
  <si>
    <t>University of Ottawa, 15 Jun 1986  to 14 Jun 1987|Other - Rotating Internship
University of Ottawa, 01 Jul 1990  to 30 Jun 1991|Resident 1 - Psychiatry
University of Ottawa, 01 Jul 1991  to 30 Jun 1992|Resident 2 - Psychiatry
University of Ottawa, 01 Jul 1992  to 30 Jun 1993|Resident 3 - Psychiatry
University of Ottawa, 01 Jul 1993  to 30 Jun 1994|Resident 4 - Psychiatry</t>
  </si>
  <si>
    <t>First certificate of registration issued: Postgraduate Education Certificate||Effective:   15 Jun 1986
Transfer of class of registration to: Independent Practice Certificate||Effective:   15 Jul 1987</t>
  </si>
  <si>
    <t>James C. Lazowski Medicine Professional Corporation</t>
  </si>
  <si>
    <t>Issued Date:  Apr 03 2003</t>
  </si>
  <si>
    <t>Dr. J. Lazowski (CPSO# 57209)</t>
  </si>
  <si>
    <t>99 Kakulu Road,Suite 211,Ottawa ON  K2L 3C8,(613) 591-0610</t>
  </si>
  <si>
    <t>25664</t>
  </si>
  <si>
    <t xml:space="preserve">Active Member as of 19 Jun 1973 </t>
  </si>
  <si>
    <t xml:space="preserve">Independent Practice as of 19 Jun 1973 </t>
  </si>
  <si>
    <t>University of Ottawa, 1971</t>
  </si>
  <si>
    <t>315 Stewart Street,Ottawa ON  K1N 6K5</t>
  </si>
  <si>
    <t>(613) 789-8282</t>
  </si>
  <si>
    <t>First certificate of registration issued: Postgraduate Education Certificate||Effective:   01 Jul 1971
Transfer of class of registration to: Independent Practice Certificate||Effective:   19 Jun 1973</t>
  </si>
  <si>
    <t>56444</t>
  </si>
  <si>
    <t xml:space="preserve">Active Member as of 01 Dec 1985 </t>
  </si>
  <si>
    <t xml:space="preserve">Independent Practice as of 05 Aug 1986 </t>
  </si>
  <si>
    <t>Royal College of Surgeons in Ireland, 1978</t>
  </si>
  <si>
    <t>Guelph Family Health Team,Old Quebec Street Mall,Suite 212,55 Wyndham Street North,Guelph ON  N1H 7T8</t>
  </si>
  <si>
    <t>519 837 4444</t>
  </si>
  <si>
    <t>Grand River Hospital,Adult Outpatient Services,850 King Street West,Kitchener ON  N2G1E8,Canada,Phone:519 749 4213,Fax:519 745 1550,County:Regional Municipality of Waterloo,Electoral District:03
212-55 Wyndham st. Nth.,Guelph ON  N1H 7T8,Canada,Phone:(519) 837-4444,Fax:(519) 837-2202,County:County of Wellington,Electoral District:03
850 King Street West,Kitchener ON  N2G 1E8,Canada,Phone:(519) 749-4213,County:Regional Municipality of Waterloo,Electoral District:03</t>
  </si>
  <si>
    <t>Cambridge Memorial Hospital:Cambridge
Grand River Hospital Corporation,Freeport Site:Kitchener
Grand River Hospital Corporation,Kitchener Waterloo Site:Kitchener
St Mary's General Hospital,Kitchener:Kitchener</t>
  </si>
  <si>
    <t>First certificate of registration issued: Academic Practice Certificate||Effective:   01 Dec 1985
Transfer of class of registration to: Independent Practice Certificate||Effective:   05 Aug 1986</t>
  </si>
  <si>
    <t>J. O'Doherty Medicine Professional Corporation</t>
  </si>
  <si>
    <t>Issued Date:  Jul 06 2011</t>
  </si>
  <si>
    <t>Dr. J. O'Doherty (CPSO# 56444)</t>
  </si>
  <si>
    <t>850 King Street West,Kitchener ON  N2G 1E8,(519) 748-4213
Suite 212,Suite 212,55 Wyndham Street North,Guelph ON  N1H 7T8,(519) 837-4444</t>
  </si>
  <si>
    <t>80478</t>
  </si>
  <si>
    <t xml:space="preserve">Active Member as of 10 Feb 2004 </t>
  </si>
  <si>
    <t xml:space="preserve">Independent Practice as of 10 Feb 2004 </t>
  </si>
  <si>
    <t>Memorial University of Newfoundland, 1985</t>
  </si>
  <si>
    <t>341 King St.,Midland ON  L4R 3M7</t>
  </si>
  <si>
    <t>(705) 644-2226</t>
  </si>
  <si>
    <t>(888) 326-9511</t>
  </si>
  <si>
    <t>Georgian Bay General Hospital:Midland</t>
  </si>
  <si>
    <t>First certificate of registration issued: Independent Practice Certificate||Effective:   10 Feb 2004</t>
  </si>
  <si>
    <t>Karagianis Medicine Professional Corporation</t>
  </si>
  <si>
    <t>Issued Date:  Jul 20 2016</t>
  </si>
  <si>
    <t>Dr. J. Karagianis (CPSO# 80478)</t>
  </si>
  <si>
    <t>99 Lone Pine Road,Port Severn ON  L0K 1S0,(705) 644-2226
1112 St Andrew's Drive,1112 St Andrew's Drive,Midland ON  L4R 4P4,(705) 644-2226</t>
  </si>
  <si>
    <t>67209</t>
  </si>
  <si>
    <t xml:space="preserve">Active Member as of 12 Jul 1993 </t>
  </si>
  <si>
    <t xml:space="preserve">Independent Practice as of 12 Jul 1993 </t>
  </si>
  <si>
    <t>University of Calgary, 1984</t>
  </si>
  <si>
    <t>Centre for Addiction and Mental,Health,250 College Street,Room 129,Toronto ON  M5T 1R8</t>
  </si>
  <si>
    <t>(416) 979-4987</t>
  </si>
  <si>
    <t>Psychiatry||Effective: 11 Jun 1993||RCPSC Specialist</t>
  </si>
  <si>
    <t>First certificate of registration issued: Independent Practice Certificate||Effective:   12 Jul 1993</t>
  </si>
  <si>
    <t>Kennedy Medicine Professional Corporation</t>
  </si>
  <si>
    <t>Issued Date:  Aug 09 2017</t>
  </si>
  <si>
    <t>Dr. J. Kennedy (CPSO# 67209)</t>
  </si>
  <si>
    <t>Centre for Addiction and Mental Health,Room 129,250 College Street,Toronto ON  M5T 1R8,(416) 616-2808</t>
  </si>
  <si>
    <t>52649</t>
  </si>
  <si>
    <t xml:space="preserve">Independent Practice as of 13 Jun 1985 </t>
  </si>
  <si>
    <t>Regional Treatment Centre,5575 Bath Road,Bath ON  K0H 1G0</t>
  </si>
  <si>
    <t>(613) 351-8680</t>
  </si>
  <si>
    <t>(613) 351-8682</t>
  </si>
  <si>
    <t>433 Molly McGlynn St,Kingston,Kingston ON  K7K7C2,Canada,County:County of Frontenac,Electoral District:06
Addiction and Mental Health Service,KFLA,385 Princess Street,Kingston ON  K7L 1B9,Canada,Phone:(613) 544-1356,County:County of Frontenac,Electoral District:06</t>
  </si>
  <si>
    <t>Obstetrics and Gynecology||Effective: 01 Jun 1988||RCPSC Specialist
Psychiatry||Effective: 14 Nov 1991||RCPSC Specialist</t>
  </si>
  <si>
    <t>McMaster University, 01 Jul 1990  to 30 Jun 1991|Resident 4 - Psychiatry
Queen's University, 01 Jul 1996  to 30 Jun 1997|Clinical Fellow - Psychiatry</t>
  </si>
  <si>
    <t>First certificate of registration issued: Postgraduate Education Certificate||Effective:   15 Jun 1983
Transfer of class of registration to: Independent Practice Certificate||Effective:   13 Jun 1985</t>
  </si>
  <si>
    <t>James Hillen Medicine Professional Corporation</t>
  </si>
  <si>
    <t>Issued Date:  Jan 11 2008</t>
  </si>
  <si>
    <t>Dr. J. Hillen (CPSO# 52649)</t>
  </si>
  <si>
    <t>433 Molly McGlynn Street,Kingston ON  K7K 7C2,(613) 483-0386
385 Princess Street,385 Princess Street,Kingston ON  K7L 1B9,(613) 544-1356</t>
  </si>
  <si>
    <t>52914</t>
  </si>
  <si>
    <t xml:space="preserve">Independent Practice as of 12 Feb 1987 </t>
  </si>
  <si>
    <t>Yale University, 1983</t>
  </si>
  <si>
    <t>Youthdale Treatment Centres,227 Victoria Street,Toronto ON  M5B 1T8</t>
  </si>
  <si>
    <t>(416) 363-3751</t>
  </si>
  <si>
    <t>First certificate of registration issued: Postgraduate Education Certificate||Effective:   13 Jun 1983
Expired: Terms and conditions of certificate of registration||Expiry:      11 Jun 1984
Subsequent certificate of registration Issued: Postgraduate Education Certificate||Effective:   01 Jul 1986
Transfer of class of registration to: Independent Practice Certificate||Effective:   12 Feb 1987</t>
  </si>
  <si>
    <t>Dr. J. Deutsch Medicine Professional Corporation</t>
  </si>
  <si>
    <t>Issued Date:  Mar 05 2010</t>
  </si>
  <si>
    <t>Dr. J. Deutsch (CPSO# 52914)</t>
  </si>
  <si>
    <t>Youthdale Treatment Centres,227 Victoria Street,Toronto ON  M5B 1T8,(416) 363-3751</t>
  </si>
  <si>
    <t>88247</t>
  </si>
  <si>
    <t xml:space="preserve">Active Member as of 08 Nov 2011 </t>
  </si>
  <si>
    <t xml:space="preserve">Independent Practice as of 08 Nov 2011 </t>
  </si>
  <si>
    <t>Victoria Hospital,Zone A2,800 Commissioners Road East,PO Box 5010,London ON  N6A 5W9</t>
  </si>
  <si>
    <t>(519) 685-8500 Ext. 65178</t>
  </si>
  <si>
    <t>FEMAP,860 Richmond Street,London ON  N6A 3H8,Canada,Phone:519-685-8500 Ext. 65178,Fax:519-646-6211,County:County of Middlesex,Electoral District:02</t>
  </si>
  <si>
    <t>University of Toronto, 05 May 2008  to 01 Jun 2008|Elective Trainee - Psychiatry
University of Ottawa, 02 Jun 2008  to 30 Jun 2008|Elective Trainee - Psychiatry</t>
  </si>
  <si>
    <t>First certificate of registration issued: Postgraduate Education Certificate||Effective:   05 May 2008
Expired: Terms and conditions of certificate of registration||Expiry:      30 Jun 2008
Subsequent certificate of registration Issued: Independent Practice Certificate||Effective:   08 Nov 2011</t>
  </si>
  <si>
    <t>52536</t>
  </si>
  <si>
    <t>The MIndfulness Clinic,700 Bay St.,Suite 2200,Toronto ON  M5G 1Z6</t>
  </si>
  <si>
    <t>(416) 847-7118</t>
  </si>
  <si>
    <t>First certificate of registration issued: Postgraduate Education Certificate||Effective:   01 Jul 1983
Transfer of class of registration to: Independent Practice Certificate||Effective:   06 Jul 1987</t>
  </si>
  <si>
    <t>67932</t>
  </si>
  <si>
    <t>Centre for Addiction and Mental,Health,Suite 222,60 White Squirrel Way,Toronto ON  M6J 1H4</t>
  </si>
  <si>
    <t>(416) 535-8501 Ext. 36669</t>
  </si>
  <si>
    <t>(416) 583-1219</t>
  </si>
  <si>
    <t>Mt Sinai Hospital,600 University Avenue,9 South,Toronto ON  M5G 1X5,Canada,County:City of Toronto,Electoral District:10</t>
  </si>
  <si>
    <t>University of Toronto, 01 Jul 1994  to 30 Jun 1995|PostGrad Yr 1 - Psychiatry
University of Toronto, 01 Jul 1995  to 30 Jun 1996|Resident 1 - Psychiatry
University of Toronto, 01 Jul 1996  to 30 Jun 1997|PostGrad Yr 3 - Psychiatry
University of Toronto, 01 Jul 1997  to 30 Jun 1998|PostGrad Yr 4 - Psychiatry
University of Toronto, 01 Jul 1998  to 30 Jun 1999|PostGrad Yr 5 - Psychiatry
University of Toronto, 01 Jul 1999  to 30 Jun 2000|Clinical Fellow - Psychiatry</t>
  </si>
  <si>
    <t>Dr. Jan Malat Medicine Professional Corporation</t>
  </si>
  <si>
    <t>Issued Date:  Jun 21 2012</t>
  </si>
  <si>
    <t>Dr. J. Malat (CPSO# 67932)</t>
  </si>
  <si>
    <t>Centre for Addiction and Mental Health,Suite E1 - 218,60 White Squirrel Way,Toronto ON  M6J 1H4,(416) 535-8501
Mt Sinai Hospital,Mt Sinai Hospital,600 University Avenue,9 South,Toronto ON  M5G 1X5,(416) 586-4800</t>
  </si>
  <si>
    <t>100823</t>
  </si>
  <si>
    <t xml:space="preserve">Active Member as of 07 Jun 2013 </t>
  </si>
  <si>
    <t xml:space="preserve">Restricted as of 07 Jun 2013 </t>
  </si>
  <si>
    <t>Univerzita Komenskeho,Bratislava, 2004</t>
  </si>
  <si>
    <t>Suite 203,2525 Rose-Ville Garden Dr.,Windsor ON  N8T 3J8</t>
  </si>
  <si>
    <t>(519) 945-6565</t>
  </si>
  <si>
    <t>(519) 945-6116</t>
  </si>
  <si>
    <t>Windsor Regional Hospital,Ouellette Campus,Department of Psychiatry,1030 Ouellette Avenue,Windsor ON  N9A 1E1,Canada,Phone:(519) 903-2005,Fax:(519) 973-1691,County:County of Essex,Electoral District:01
Hôtel-Dieu Grace Healthcare,Dual Diagnosis Program,Department of Psychiatry,1453 Prince Road,Windsor ON  N9C 3Z4,Canada,Phone:(519) 903-2005,Fax:(519) 257-5296,County:County of Essex,Electoral District:01</t>
  </si>
  <si>
    <t>Psychiatry||Effective: 07 Jun 2013||CPSO Recognized Specialist</t>
  </si>
  <si>
    <t>First certificate of registration issued: Restricted certificate||Effective:   07 Jun 2013
Terms and conditions imposed on certificate by Registration Committee||Effective:   07 Jun 2013
Expiry date attached to certificate of registration.||Expiry Date: 06 Dec 2014
Terms and conditions amended by Registration Committee||Effective:   27 Nov 2014
Terms and conditions amended by Registration Committee||Effective:   27 Nov 2014</t>
  </si>
  <si>
    <t>Dr. Jan Taliga Medicine Professional Corporation</t>
  </si>
  <si>
    <t>Issued Date:  Jul 08 2013</t>
  </si>
  <si>
    <t>Dr. J. Taliga (CPSO# 100823)</t>
  </si>
  <si>
    <t>1453 Prince Road,Windsor ON  N9C 3Z4,(519) 903-2005
Suite 3,Suite 3,25 Van Kirk,Brampton ON  L7A 1A6,(905) 457-8711
Hotel-Dieu Grace Hospital,Hotel-Dieu Grace Hospital,Department of Psychiatry,1030 Ouellette Avenue,Windsor ON  N9A 1E1,(519) 973-4444
Suite 203,Suite 203,2525 Roseville Gardens Drive,Windsor ON  N8T 3J8,(519) 945-6565</t>
  </si>
  <si>
    <t>32022</t>
  </si>
  <si>
    <t xml:space="preserve">Active Member as of 17 Oct 1980 </t>
  </si>
  <si>
    <t xml:space="preserve">Independent Practice as of 17 Oct 1980 </t>
  </si>
  <si>
    <t>English, Kannada, Tamil</t>
  </si>
  <si>
    <t>Bangalore University, 1974</t>
  </si>
  <si>
    <t>518 Eglinton Avenue East,Toronto ON  M4P 1N6</t>
  </si>
  <si>
    <t>(416) 489-1984</t>
  </si>
  <si>
    <t>(416) 489-0278</t>
  </si>
  <si>
    <t>First certificate of registration issued: Independent Practice Certificate||Effective:   17 Oct 1980</t>
  </si>
  <si>
    <t>66685</t>
  </si>
  <si>
    <t xml:space="preserve">Active Member as of 05 Jan 1999 </t>
  </si>
  <si>
    <t xml:space="preserve">Independent Practice as of 05 Jan 1999 </t>
  </si>
  <si>
    <t>Suite 202C,1685 Main Street West,Hamilton ON  L8S 1X7</t>
  </si>
  <si>
    <t>(905) 745-2237</t>
  </si>
  <si>
    <t>Psychiatry||Effective: 31 Dec 1998||RCPSC Specialist</t>
  </si>
  <si>
    <t>McMaster University, 01 Jul 1993  to 30 Jun 1994|PostGrad Yr 1 - Psychiatry
McMaster University, 01 Jul 1994  to 30 Jun 1995|Resident 1 - Psychiatry
McMaster University, 01 Jul 1995  to 31 Jul 1995|Resident 1 - Psychiatry
McMaster University, 01 Aug 1995  to 30 Jun 1996|Resident 2 - Psychiatry
McMaster University, 01 Jul 1996  to 31 Aug 1996|Resident 2 - Psychiatry
McMaster University, 01 Sep 1996  to 30 Jun 1997|Resident 3 - Psychiatry
McMaster University, 01 Jul 1997  to 30 Nov 1997|Resident 3 - Psychiatry
McMaster University, 01 Dec 1997  to 30 Jun 1998|Resident 4 - Psychiatry
McMaster University, 01 Jul 1998  to 31 Dec 1998|Resident 4 - Psychiatry</t>
  </si>
  <si>
    <t>First certificate of registration issued: Postgraduate Education Certificate||Effective:   01 Jul 1993
Expired: Terms and conditions of certificate of registration||Expiry:      31 Dec 1998
Subsequent certificate of registration Issued: Independent Practice Certificate||Effective:   05 Jan 1999</t>
  </si>
  <si>
    <t>Dr. J. A. Morgan Medicine Professional Corporation</t>
  </si>
  <si>
    <t>Issued Date:  Jan 13 2012</t>
  </si>
  <si>
    <t>Dr. J. Morgan (CPSO# 66685)</t>
  </si>
  <si>
    <t>202C - 1685 Main Street West,Hamilton ON  L8S 1X7,(905) 745-2237</t>
  </si>
  <si>
    <t>54146</t>
  </si>
  <si>
    <t xml:space="preserve">Independent Practice as of 10 Sep 1985 </t>
  </si>
  <si>
    <t>(613) 230-0586</t>
  </si>
  <si>
    <t>University of Ottawa, 01 Jul 1992  to 30 Jun 1993|Clinical Fellow - Psychiatry</t>
  </si>
  <si>
    <t>First certificate of registration issued: Postgraduate Education Certificate||Effective:   15 Jun 1984
Expired: Terms and conditions of certificate of registration||Expiry:      14 Jun 1985
Subsequent certificate of registration Issued: Independent Practice Certificate||Effective:   10 Sep 1985</t>
  </si>
  <si>
    <t>Dr. Jane B. Evans Medicine Professional Corporation</t>
  </si>
  <si>
    <t>Issued Date:  Mar 28 2012</t>
  </si>
  <si>
    <t>Dr. J. Evans (CPSO# 54146)</t>
  </si>
  <si>
    <t>458 MacLaren Street,Ottawa ON  K1R 5K6,(613) 230-0586</t>
  </si>
  <si>
    <t>61263</t>
  </si>
  <si>
    <t xml:space="preserve">Restricted as of 22 Dec 2017 </t>
  </si>
  <si>
    <t>The Bear Clinic,204 - 243 North Service Rd W,Oakville ON  L6M 3E5</t>
  </si>
  <si>
    <t>(905) 844-4673 Ext. 204</t>
  </si>
  <si>
    <t>(905) 844-4671</t>
  </si>
  <si>
    <t>University of Toronto, 12 Jun 1989  to 11 Jun 1990|Other - Rotating Internship
University of Toronto, 01 Jul 1990  to 30 Jun 1991|Resident 1 - Psychiatry
University of Toronto, 01 Jul 1991  to 30 Jun 1992|Resident 2 - Psychiatry
University of Toronto, 01 Jan 1994  to 31 Dec 1994|Resident 3 - Psychiatry
University of Toronto, 01 Jan 1995  to 30 Jun 1996|Resident 4 - Psychiatry</t>
  </si>
  <si>
    <t>First certificate of registration issued: Postgraduate Education Certificate||Effective:   12 Jun 1989
Transfer of class of registration to: Independent Practice Certificate||Effective:   18 Sep 1990
Transfer of class of certificate to: Restricted certificate||Effective:   22 Dec 2017
Terms and conditions imposed on certificate by Inquiries, Complaints and Repo||Effective:   22 Dec 2017
Terms and conditions amended by Inquiries, Complaints and Repo||Effective:   22 Dec 2017
Terms and conditions amended by Inquiries, Complaints and Repo||Effective:   04 Jan 2018</t>
  </si>
  <si>
    <t>73237</t>
  </si>
  <si>
    <t xml:space="preserve">Active Member as of 21 Jan 1999 </t>
  </si>
  <si>
    <t xml:space="preserve">Independent Practice as of 21 Jan 1999 </t>
  </si>
  <si>
    <t>The University of Western Ontario, 1993</t>
  </si>
  <si>
    <t>Chancellors Way Medical Arts Centre,175 Chancellors Way, Suite 102,Research Park North,University of Guelph,Guelph ON  N1G 0E9</t>
  </si>
  <si>
    <t>(519) 341-9297</t>
  </si>
  <si>
    <t>(519) 341-9254</t>
  </si>
  <si>
    <t>10B Victoria Street South,Kitchener ON  N2G 1C5,Canada,Phone:519-783-0024,Fax:519-783-0034,County:Regional Municipality of Waterloo,Electoral District:03</t>
  </si>
  <si>
    <t>First certificate of registration issued: Independent Practice Certificate||Effective:   21 Jan 1999</t>
  </si>
  <si>
    <t>31012</t>
  </si>
  <si>
    <t xml:space="preserve">Independent Practice as of 27 Jul 1979 </t>
  </si>
  <si>
    <t>Dalhousie University, 1978</t>
  </si>
  <si>
    <t>117 Murray Street,Suite 301A,Ottawa ON  K1N 5M5</t>
  </si>
  <si>
    <t>(613) 864-2449</t>
  </si>
  <si>
    <t>(613)224-4884</t>
  </si>
  <si>
    <t>First certificate of registration issued: Postgraduate Education Certificate||Effective:   01 Jul 1978
Transfer of class of registration to: Independent Practice Certificate||Effective:   27 Jul 1979</t>
  </si>
  <si>
    <t>31524</t>
  </si>
  <si>
    <t xml:space="preserve">Independent Practice as of 05 Jun 1980 </t>
  </si>
  <si>
    <t>Queen's University, 1978</t>
  </si>
  <si>
    <t>72 King Street,Picton ON  K0K 2T0</t>
  </si>
  <si>
    <t>613 476 2733</t>
  </si>
  <si>
    <t>50 Yukon Street Building 451,24 CFHealth Services Centre,PO Box 1000 Station Forces Astra On,K0K 3W0,Trenton ON  K0K 3W0,Canada,Phone:(613) 392-2811 Ext. 3651,County:County of Hastings,Electoral District:06</t>
  </si>
  <si>
    <t>First certificate of registration issued: Postgraduate Education Certificate||Effective:   01 Jul 1978
Transfer of class of registration to: Independent Practice Certificate||Effective:   05 Jun 1980</t>
  </si>
  <si>
    <t>56461</t>
  </si>
  <si>
    <t xml:space="preserve">Active Member as of 06 Dec 1985 </t>
  </si>
  <si>
    <t xml:space="preserve">Independent Practice as of 01 Dec 1986 </t>
  </si>
  <si>
    <t>Providence Care Hospital,Adult Mental health,752 Kings Street West,,Postal Bag 603,Kingston ON  K7L 4X3</t>
  </si>
  <si>
    <t>(613) 544-4900 Ext. 53124</t>
  </si>
  <si>
    <t>Providence Care Hospital:Kingston</t>
  </si>
  <si>
    <t>First certificate of registration issued: Academic Practice Certificate||Effective:   06 Dec 1985
Transfer of class of registration to: Independent Practice Certificate||Effective:   01 Dec 1986</t>
  </si>
  <si>
    <t>Jane S Baldock Medicine Professional Corporation</t>
  </si>
  <si>
    <t>Issued Date:  Nov 02 2007</t>
  </si>
  <si>
    <t>Dr. J. Baldock (CPSO# 56461)</t>
  </si>
  <si>
    <t>56884</t>
  </si>
  <si>
    <t xml:space="preserve">Independent Practice as of 10 Jul 1987 </t>
  </si>
  <si>
    <t>Psychiatric Associates,#202,10 Alcorn Avenue,Toronto ON  M4V 3A9</t>
  </si>
  <si>
    <t>(416) 944-1279</t>
  </si>
  <si>
    <t>(416) 975-0129</t>
  </si>
  <si>
    <t>1849 yonge street, suite 711,Toronto ON  M4S 1Y2,Canada,Phone:(416) 304-1779,Fax:(416) 304-0257,County:City of Toronto,Electoral District:10</t>
  </si>
  <si>
    <t>University of Toronto, 16 Jun 1986  to 15 Jun 1987|Other - Comprehensive Internship
University of Toronto, 15 Jun 1987  to 27 Jul 1987|Other - Comprehensive Internship
University of Toronto, 01 Jul 1988  to 30 Jun 1989|Resident 1 - Psychiatry
University of Toronto, 01 Jul 1989  to 30 Jun 1990|Resident 2 - Psychiatry
University of Toronto, 01 Jul 1990  to 30 Jun 1991|Resident 3 - Psychiatry
University of Toronto, 01 Jul 1991  to 30 Jun 1992|Resident 4 - Psychiatry</t>
  </si>
  <si>
    <t>First certificate of registration issued: Postgraduate Education Certificate||Effective:   16 Jun 1986
Transfer of class of registration to: Independent Practice Certificate||Effective:   10 Jul 1987</t>
  </si>
  <si>
    <t>Thurley Murphy Medicine Professional Corporation</t>
  </si>
  <si>
    <t>Issued Date:  Jul 22 2013</t>
  </si>
  <si>
    <t>Dr. L. Murphy (CPSO# 51877),Dr. J. Thurley (CPSO# 56884)</t>
  </si>
  <si>
    <t>Suite 202,10 Alcorn Avenue,Toronto ON  M4V 3A9,(416) 923-9688
St. Michael's Hospital,St. Michael's Hospital,30 Bond Street,Toronto ON  M6B 1W8,(416) 864-5120
Suite 711,Suite 711,1849 Yonge Street,Toronto ON  M4S 1Y2,(416) 304-1779</t>
  </si>
  <si>
    <t>70070</t>
  </si>
  <si>
    <t>McMaster University, 1996</t>
  </si>
  <si>
    <t>35 Algoma Street North,Thunder Bay ON  P7B 5G7</t>
  </si>
  <si>
    <t>(807) 343-2431</t>
  </si>
  <si>
    <t>580  Algoma St N,Thunder Bay ON  P7A 8C5,Canada,Phone:8073434300 Ext. 4363,County:District of Thunder Bay,Electoral District:09</t>
  </si>
  <si>
    <t>McMaster University, 01 Jul 1996  to 30 Jun 1997|PostGrad Yr 1 - Psychiatry
McMaster University, 01 Jul 1997  to 30 Jun 1998|PostGrad Yr 2 - Psychiatry
McMaster University, 01 Jul 1998  to 30 Jun 1999|PostGrad Yr 3 - Psychiatry
McMaster University, 01 Jul 1999  to 30 Jun 2000|PostGrad Yr 4 - Psychiatry
McMaster University, 01 Jul 2000  to 30 Jun 2001|PostGrad Yr 5 - Psychiatry</t>
  </si>
  <si>
    <t>51657</t>
  </si>
  <si>
    <t xml:space="preserve">Active Member as of 20 Jan 1988 </t>
  </si>
  <si>
    <t xml:space="preserve">Independent Practice as of 20 Jan 1988 </t>
  </si>
  <si>
    <t>1 Young Street,Suite 401,Hamilton ON  L8N 1T8</t>
  </si>
  <si>
    <t>(905) 387-3561</t>
  </si>
  <si>
    <t>(905) 387-0398</t>
  </si>
  <si>
    <t>McMaster University, 01 Jul 1982  to 30 Jun 1983|Other - Rotating Internship
McMaster University, 01 Jul 1983  to 30 Jun 1984|Resident 1 - Obstetrics and Gynecology
McMaster University, 01 Jul 1984  to 30 Jun 1985|Resident 2 - Obstetrics and Gynecology
McMaster University, 01 Jul 1985  to 30 Jun 1986|Resident 2 - Obstetrics and Gynecology
McMaster University, 01 Jul 1986  to 30 Jun 1987|Resident 4 - Obstetrics and Gynecology
McMaster University, 01 Jul 1989  to 30 Jun 1990|Resident 3 - Psychiatry
McMaster University, 01 Jul 1990  to 30 Jun 1991|Resident 4 - Psychiatry
University of Toronto, 01 Jul 1991  to 30 Jun 1992|Clinical Fellow - Psychiatry</t>
  </si>
  <si>
    <t>First certificate of registration issued: Postgraduate Education Certificate||Effective:   01 Jul 1982
Expired: Terms and conditions of certificate of registration||Expiry:      30 Jun 1987
Subsequent certificate of registration Issued: Independent Practice Certificate||Effective:   20 Jan 1988</t>
  </si>
  <si>
    <t>Dr. J. A. Patterson Medicine Professional Corporation</t>
  </si>
  <si>
    <t>Issued Date:  Sep 29 2011</t>
  </si>
  <si>
    <t>Dr. J. Patterson (CPSO# 51657)</t>
  </si>
  <si>
    <t>401 - 1 Young Street,Hamilton ON  L8N 1T8,(905) 387-3561
50 Charlton Avenue West,50 Charlton Avenue West,Hamilton ON  L8N 4A6,(905) 522-4941</t>
  </si>
  <si>
    <t>100682</t>
  </si>
  <si>
    <t>Camh,Department of Psychiatry,250 College St,Toronto ON  M5T 1R8</t>
  </si>
  <si>
    <t>54476</t>
  </si>
  <si>
    <t xml:space="preserve">Active Member as of 25 Jun 1984 </t>
  </si>
  <si>
    <t>National University of Ireland, 1982</t>
  </si>
  <si>
    <t>Unit 592,109 Thomas St.,Oakville ON  L6J 3A7</t>
  </si>
  <si>
    <t>905-849-9533</t>
  </si>
  <si>
    <t>Psychiatry||Effective: 08 Jun 1995||RCPSC Specialist</t>
  </si>
  <si>
    <t>First certificate of registration issued: Independent Practice Certificate||Effective:   25 Jun 1984</t>
  </si>
  <si>
    <t>64553</t>
  </si>
  <si>
    <t xml:space="preserve">Active Member as of 30 Aug 1991 </t>
  </si>
  <si>
    <t xml:space="preserve">Independent Practice as of 30 Aug 1991 </t>
  </si>
  <si>
    <t>Concordia University Health Service,GM 200,1455 de Maisonneuve West,Montreal QC  H3G 1M8</t>
  </si>
  <si>
    <t>(514) 848-2424 Ext. 3575</t>
  </si>
  <si>
    <t>First certificate of registration issued: Independent Practice Certificate||Effective:   30 Aug 1991</t>
  </si>
  <si>
    <t>52835</t>
  </si>
  <si>
    <t xml:space="preserve">Independent Practice as of 28 May 1985 </t>
  </si>
  <si>
    <t>916 Princess Street,Kingston ON  K7L 1H1</t>
  </si>
  <si>
    <t>(613) 531-6127</t>
  </si>
  <si>
    <t>(613) 507-6127</t>
  </si>
  <si>
    <t>207 Toronto St.,Kingston ON  K7L 4A9,Canada,Phone:(613) 217-8649,County:County of Frontenac,Electoral District:06
3725 Bell Line Road,Mountain Grove ON  K0H 2P0,Canada,County:County of Frontenac,Electoral District:06</t>
  </si>
  <si>
    <t>Queen's University, 01 Jul 1983  to 30 Jun 1984|Other - Family Medicine
Queen's University, 01 Jul 1984  to 30 Jun 1985|Resident 1 - Family Medicine
Queen's University, 01 Jul 1991  to 30 Jun 1992|Resident 1 - Psychiatry
Queen's University, 01 Jul 1992  to 30 Jun 1993|Resident 2 - Psychiatry
Queen's University, 01 Jul 1993  to 30 Jun 1994|Resident 3 - Psychiatry</t>
  </si>
  <si>
    <t>First certificate of registration issued: Postgraduate Education Certificate||Effective:   01 Jul 1983
Transfer of class of registration to: Independent Practice Certificate||Effective:   28 May 1985</t>
  </si>
  <si>
    <t>Janet R. McCulloch Medicine Professional Corporation</t>
  </si>
  <si>
    <t>Issued Date:  Jun 22 2012</t>
  </si>
  <si>
    <t>Dr. J. McCulloch (CPSO# 52835)</t>
  </si>
  <si>
    <t>916 Princess Street,Kingston ON  K7L 1H1,(613) 531-6127
207 Toronto Street,207 Toronto Street,Kingston ON  K7L 4A9,(613) 217-8649</t>
  </si>
  <si>
    <t>85103</t>
  </si>
  <si>
    <t xml:space="preserve">Active Member as of 27 Jul 2010 </t>
  </si>
  <si>
    <t xml:space="preserve">Independent Practice as of 27 Jul 2010 </t>
  </si>
  <si>
    <t>University of Cambridge, 1991</t>
  </si>
  <si>
    <t>Sunnybrook health Sciences Centre,2075 Bayview Avenue,Toronto,M4N 3M5,Toronto ON  M4N 3M5</t>
  </si>
  <si>
    <t>University of Toronto, 01 Jul 2006  to 08 Sep 2006|Assessment Verification Period - Psychiatry
University of Toronto, 09 Sep 2006  to 30 Jun 2007|PostGrad Yr 2 - Psychiatry
University of Toronto, 01 Jul 2007  to 30 Jun 2008|PostGrad Yr 3 - Psychiatry
University of Toronto, 01 Jul 2008  to 30 Jun 2009|PostGrad Yr 4 - Psychiatry
University of Toronto, 01 Jul 2009  to 30 Jun 2010|PostGrad Yr 5 - Psychiatry
University of Toronto, 09 Aug 2010  to 08 Aug 2011|Clinical Fellow - Psychiatry</t>
  </si>
  <si>
    <t>First certificate of registration issued: Pre Entry Assessment Program Certificate||Effective:   01 Jul 2006
Transfer of class of registration to: Postgraduate Education Certificate||Effective:   09 Sep 2006
Expired: Terms and conditions of certificate of registration||Expiry:      30 Jun 2010
Subsequent certificate of registration Issued: Independent Practice Certificate||Effective:   27 Jul 2010</t>
  </si>
  <si>
    <t>Ellis-De Ruiter Medicine Professional Corporation</t>
  </si>
  <si>
    <t>Issued Date:  Jul 20 2011</t>
  </si>
  <si>
    <t>Dr. J. De Ruiter (CPSO# 72857),Dr. J. Ellis (CPSO# 85103)</t>
  </si>
  <si>
    <t>The Hospital for Sick Children,Department of Anaesthesia,2211 - 555 University Avenue,Toronto ON  M5G 1X8,(416) 813-5224</t>
  </si>
  <si>
    <t>67270</t>
  </si>
  <si>
    <t xml:space="preserve">Active Member as of 22 Jul 1993 </t>
  </si>
  <si>
    <t xml:space="preserve">Independent Practice as of 22 Jul 1993 </t>
  </si>
  <si>
    <t>Legere, Janice Diane (used until: 05 Mar 1996 )</t>
  </si>
  <si>
    <t>PO Box 123,Petawawa ON  K8H 1X0</t>
  </si>
  <si>
    <t>613-875-2664</t>
  </si>
  <si>
    <t>Family Medicine||Effective: 08 Jun 1993||CFPC Specialist
Psychiatry||Effective: 30 Jun 2009||RCPSC Specialist</t>
  </si>
  <si>
    <t>University of Ottawa, 01 Jul 2005  to 30 Jun 2006|PostGrad Yr 2 - Psychiatry
University of Ottawa, 01 Jul 2007  to 30 Jun 2008|PostGrad Yr 4 - Psychiatry
University of Ottawa, 01 Jul 2008  to 30 Jun 2009|PostGrad Yr 5 - Psychiatry
University of Ottawa, 01 Jul 2009  to 28 Jul 2009|PostGrad Yr 5 - Psychiatry</t>
  </si>
  <si>
    <t>First certificate of registration issued: Independent Practice Certificate||Effective:   22 Jul 1993</t>
  </si>
  <si>
    <t>Magar Weisgerber Medicine Professional Corporation</t>
  </si>
  <si>
    <t>Issued Date:  May 04 2017</t>
  </si>
  <si>
    <t>Dr. J. Magar (CPSO# 67270),Dr. C. Weisgerber (CPSO# 69616)</t>
  </si>
  <si>
    <t>31509</t>
  </si>
  <si>
    <t xml:space="preserve">Active Member as of 30 May 1980 </t>
  </si>
  <si>
    <t xml:space="preserve">Independent Practice as of 30 May 1980 </t>
  </si>
  <si>
    <t>244 Dupont Street,Toronto ON  M5R 1V7</t>
  </si>
  <si>
    <t>(416) 962-0228</t>
  </si>
  <si>
    <t>(416) 787-6741</t>
  </si>
  <si>
    <t>First certificate of registration issued: Postgraduate Education Certificate||Effective:   12 Jun 1978
Expired: Terms and conditions of certificate of registration||Expiry:      18 Jun 1979
Subsequent certificate of registration Issued: Independent Practice Certificate||Effective:   30 May 1980</t>
  </si>
  <si>
    <t>Dr. Stephen Halpern Medicine Professional Corporation</t>
  </si>
  <si>
    <t>Issued Date:  Mar 14 2006</t>
  </si>
  <si>
    <t>Dr. J. Halpern (CPSO# 31509),Dr. S. Halpern (CPSO# 30080)</t>
  </si>
  <si>
    <t>Suite M5 318,2075 Bayview Avenue,Toronto ON  M4N 3M5,(416) 480-6100
Suite M5 318,2075 Bayview Avenue,Toronto ON  M4N 3M5,(416) 480-610</t>
  </si>
  <si>
    <t>Dr. Janice Halpern Medicine Professional Corporation</t>
  </si>
  <si>
    <t>244 Dupont Street,Toronto ON  M5R 1V7,(416) 962-0228</t>
  </si>
  <si>
    <t>71470</t>
  </si>
  <si>
    <t>Niagara Health System -,St. Catharines Site,1200 Fourth Avenue,St Catharines ON  L2S 0A9</t>
  </si>
  <si>
    <t>(905) 378-4647 Ext. 46495</t>
  </si>
  <si>
    <t>(905) 397-1904</t>
  </si>
  <si>
    <t>Humber River Hospital,Wilson Site:Toronto
Niagara Health System,St Catharines General Site:St Catharines</t>
  </si>
  <si>
    <t>Janice Van Kampen Medicine Professional Corporation</t>
  </si>
  <si>
    <t>Dr. J. Van Kampen (CPSO# 71470)</t>
  </si>
  <si>
    <t>Niagara Health System,1200 Fourth Avenue,St Catharines ON  L2S 0A9,(905) 378-4647
Humber River Hospital,Humber River Hospital,1235 Wilson Avenue,Toronto ON  M3M 0B2,(416) 658-2022</t>
  </si>
  <si>
    <t>73497</t>
  </si>
  <si>
    <t xml:space="preserve">Independent Practice as of 21 Jul 2005 </t>
  </si>
  <si>
    <t>Robertson, Janine Marie (used until: 08 Nov 2012 )</t>
  </si>
  <si>
    <t>University of Calgary, 1999</t>
  </si>
  <si>
    <t>189 Elm Street,St Thomas ON  N5R 5C4</t>
  </si>
  <si>
    <t>(519) 637-0511</t>
  </si>
  <si>
    <t>St Thomas-Elgin General Hospital:St Thomas</t>
  </si>
  <si>
    <t>Psychiatry||Effective: 20 Jul 2005||RCPSC Specialist</t>
  </si>
  <si>
    <t>The University of Western Ontario, 01 Jul 1999  to 30 Jun 2000|PostGrad Yr 1 - Psychiatry
The University of Western Ontario, 01 Jul 2000  to 30 Jun 2001|PostGrad Yr 2 - Psychiatry
The University of Western Ontario, 01 Jul 2001  to 30 Jun 2002|PostGrad Yr 3 - Psychiatry
The University of Western Ontario, 01 Jul 2002  to 30 Jun 2003|PostGrad Yr 3 - Psychiatry
The University of Western Ontario, 01 Jul 2003  to 30 Jun 2004|PostGrad Yr 4 - Psychiatry
The University of Western Ontario, 01 Jul 2004  to 31 Oct 2004|PostGrad Yr 4 - Psychiatry
The University of Western Ontario, 01 Nov 2004  to 30 Jun 2005|PostGrad Yr 5 - Psychiatry
The University of Western Ontario, 01 Jul 2005  to 20 Jul 2005|PostGrad Yr 5 - Psychiatry</t>
  </si>
  <si>
    <t>First certificate of registration issued: Postgraduate Education Certificate||Effective:   01 Jul 1999
Transfer of class of registration to: Independent Practice Certificate||Effective:   21 Jul 2005</t>
  </si>
  <si>
    <t>Przysiezny Medicine Professional Corporation</t>
  </si>
  <si>
    <t>Issued Date:  May 29 2017</t>
  </si>
  <si>
    <t>Dr. J. Przysiezny (CPSO# 73497)</t>
  </si>
  <si>
    <t>189 Elm Street,St Thomas ON  N5R 5C4,(519) 637-0511</t>
  </si>
  <si>
    <t>50323</t>
  </si>
  <si>
    <t xml:space="preserve">Active Member as of 08 Jan 1987 </t>
  </si>
  <si>
    <t>Academy of Medicine, Lodz, 1970</t>
  </si>
  <si>
    <t>68 Birchmount Walk,London ON  N6K-4K5</t>
  </si>
  <si>
    <t>(519) 657-2832</t>
  </si>
  <si>
    <t>(519) 204-2188</t>
  </si>
  <si>
    <t>1051 Wonderland Rd S,London ON  N6K 3X4,Canada,Phone:(519) 472-2060,County:County of Middlesex,Electoral District:02</t>
  </si>
  <si>
    <t>First certificate of registration issued: Postgraduate Education Certificate||Effective:   01 Jul 1971
Expired: Terms and conditions of certificate of registration||Expiry:      30 Jun 1978
Subsequent certificate of registration Issued: Postgraduate Education Certificate||Effective:   01 Jul 1980
Expired: Terms and conditions of certificate of registration||Expiry:      30 Jun 1984
Subsequent certificate of registration Issued: Postgraduate Education Certificate||Effective:   10 Jan 1986
Expired: Terms and conditions of certificate of registration||Expiry:      31 Dec 1986
Subsequent certificate of registration Issued: Hospital Practice Certificate||Effective:   08 Jan 1987
Transfer of class of certificate to: Restricted certificate||Effective:   15 Dec 1988
Terms and conditions imposed on certificate by Registration Committee||Effective:   15 Dec 1988</t>
  </si>
  <si>
    <t>Dr. Maurice Butchey and Dr. Janki Butchey Medicine, Professional Corporation</t>
  </si>
  <si>
    <t>Issued Date:  Mar 15 2007</t>
  </si>
  <si>
    <t>Dr. J. Butchey (CPSO# 50323),Dr. M. Butchey (CPSO# 23968)</t>
  </si>
  <si>
    <t>1051 Wonderland Road South,London ON  N6K 3X4,(519) 472-2060
68 Birchmount Walk,68 Birchmount Walk,London ON  N6K 4K5</t>
  </si>
  <si>
    <t>62005</t>
  </si>
  <si>
    <t xml:space="preserve">Active Member as of 08 Jul 1994 </t>
  </si>
  <si>
    <t xml:space="preserve">Independent Practice as of 08 Jul 1994 </t>
  </si>
  <si>
    <t>Academy of Medicine, Lodz, 1971</t>
  </si>
  <si>
    <t>301 Metcalfe Str.,Ottawa ON  K2P 1R9</t>
  </si>
  <si>
    <t>(613) 569-2300</t>
  </si>
  <si>
    <t>(613) 569-7170</t>
  </si>
  <si>
    <t>First certificate of registration issued: Postgraduate Education Certificate||Effective:   27 Apr 1990
Expired: Terms and conditions of certificate of registration||Expiry:      30 Nov 1993
Subsequent certificate of registration Issued: Independent Practice Certificate||Effective:   08 Jul 1994</t>
  </si>
  <si>
    <t>Janusz D. Gawlik Medicine Professional Corporation</t>
  </si>
  <si>
    <t>Dr. J. Gawlik (CPSO# 62005)</t>
  </si>
  <si>
    <t>301 Metcalfe Street,Ottawa ON  K2P 1R9,(613) 569-2300</t>
  </si>
  <si>
    <t>17444</t>
  </si>
  <si>
    <t xml:space="preserve">Active Member as of 26 Apr 1960 </t>
  </si>
  <si>
    <t xml:space="preserve">Independent Practice as of 26 Apr 1960 </t>
  </si>
  <si>
    <t>Irish Conjoint Board, 1956</t>
  </si>
  <si>
    <t>Suite 606,1881 Yonge Street,Toronto ON  M4S 3C4</t>
  </si>
  <si>
    <t>(416) 929-3334</t>
  </si>
  <si>
    <t>Psychiatry||Effective: 14 Nov 1963||RCPSC Specialist</t>
  </si>
  <si>
    <t>First certificate of registration issued: Independent Practice Certificate||Effective:   26 Apr 1960</t>
  </si>
  <si>
    <t>53218</t>
  </si>
  <si>
    <t>Academy of Medicine, Cracow, 1972</t>
  </si>
  <si>
    <t>Suite 102,304 The East Mall,Toronto ON  M9B 6E2</t>
  </si>
  <si>
    <t>(416) 231-7968</t>
  </si>
  <si>
    <t>(416) 231-7982</t>
  </si>
  <si>
    <t>First certificate of registration issued: Postgraduate Education Certificate||Effective:   01 Jul 1983
Transfer of class of registration to: Independent Practice Certificate||Effective:   06 Nov 1985</t>
  </si>
  <si>
    <t>Swierczek Medicine Professional Corporation</t>
  </si>
  <si>
    <t>Issued Date:  Oct 02 2006</t>
  </si>
  <si>
    <t>Dr. J. Swierczek (CPSO# 53218)</t>
  </si>
  <si>
    <t>102 - 304 The East Mall,Etobicoke ON  M9B 6E2,(416) 231-7968</t>
  </si>
  <si>
    <t>71238</t>
  </si>
  <si>
    <t>10 Trench Street,Richmond Hill ON  L4C 4Z3</t>
  </si>
  <si>
    <t>(905) 224-4757</t>
  </si>
  <si>
    <t>(905) 326-8923</t>
  </si>
  <si>
    <t>327 Elgin Mills West,Richmond Hill ON  L4C 4M3,Canada,Phone:(905) 224-4757,Fax:(905) 326-8923,County:Regional Municipality of York,Electoral District:05</t>
  </si>
  <si>
    <t>Jared Risman Medicine Professional Corporation</t>
  </si>
  <si>
    <t>Dr. J. Risman (CPSO# 71238)</t>
  </si>
  <si>
    <t>327 Elgin Mills West,Richmond Hill ON  L4C 4M3,(905) 224-4757
10 Trench Street,10 Trench Street,Richmond Hill ON  L4C 4Z3,(905) 224-4757</t>
  </si>
  <si>
    <t>81062</t>
  </si>
  <si>
    <t>Mount Sinai Hospital,Department of Psychiatry,600 University Avenue 9th Floor,Toronto ON  M5G 1X5</t>
  </si>
  <si>
    <t>(416) 586-4800 Ext. 2011</t>
  </si>
  <si>
    <t>62269</t>
  </si>
  <si>
    <t xml:space="preserve">Active Member as of 05 Jul 1991 </t>
  </si>
  <si>
    <t>Suite 1858,2 St Clair West,Toronto ON  M4V 1L5</t>
  </si>
  <si>
    <t>647-255-8085</t>
  </si>
  <si>
    <t>First certificate of registration issued: Postgraduate Education Certificate||Effective:   11 Jun 1990
Expired: Terms and conditions of certificate of registration||Expiry:      17 Jun 1991
Subsequent certificate of registration Issued: Independent Practice Certificate||Effective:   05 Jul 1991</t>
  </si>
  <si>
    <t>JK Chadda Medicine Professional Corporation</t>
  </si>
  <si>
    <t>Issued Date:  Sep 20 2018</t>
  </si>
  <si>
    <t>Dr. J. Chadda (CPSO# 62269)</t>
  </si>
  <si>
    <t>1858-2 St. Clair West,Toronto ON  M4V 1L5</t>
  </si>
  <si>
    <t>73828</t>
  </si>
  <si>
    <t xml:space="preserve">Active Member as of 16 May 2005 </t>
  </si>
  <si>
    <t xml:space="preserve">Independent Practice as of 16 May 2005 </t>
  </si>
  <si>
    <t>The University of Manitoba, 1999</t>
  </si>
  <si>
    <t>Ottawa Hospital-General Campus,Department of Psychiatry,4th Floor,501 Smyth Road,Ottawa ON  K1H 8L6</t>
  </si>
  <si>
    <t>University of Toronto, 01 Jul 1999  to 30 Jun 2000|PostGrad Yr 1 - Psychiatry
University of Toronto, 01 Jul 2000  to 30 Jun 2001|PostGrad Yr 2 - Psychiatry
University of Toronto, 01 Jul 2001  to 30 Jun 2002|PostGrad Yr 3 - Psychiatry
University of Toronto, 01 Jul 2002  to 30 Jun 2003|PostGrad Yr 4 - Psychiatry
University of Toronto, 01 Jul 2003  to 30 Jun 2004|PostGrad Yr 5 - Psychiatry
University of Toronto, 01 Jul 2004  to 28 Feb 2005|PostGrad Yr 5 - Psychiatry</t>
  </si>
  <si>
    <t>First certificate of registration issued: Postgraduate Education Certificate||Effective:   01 Jul 1999
Expired: Terms and conditions of certificate of registration||Expiry:      28 Feb 2005
Subsequent certificate of registration Issued: Independent Practice Certificate||Effective:   16 May 2005</t>
  </si>
  <si>
    <t>Dr. J. Gandhi Medicine Professional Corporation</t>
  </si>
  <si>
    <t>Issued Date:  Aug 12 2016</t>
  </si>
  <si>
    <t>Dr. J. Gandhi (CPSO# 73828)</t>
  </si>
  <si>
    <t>Ottawa Hospital - General Campus,Department of Psychiatry,4th Floor Room 4425,501 Smyth Road,Ottawa ON  K1H 8L6,(613) 737-8010</t>
  </si>
  <si>
    <t>84926</t>
  </si>
  <si>
    <t>CAMH-College Site,250 College St. Rm 534-B,Toronto, ON,Toronto ON  M5T 1R8</t>
  </si>
  <si>
    <t>(416) 535-8501 Ext. 36260</t>
  </si>
  <si>
    <t>Sian R. Rawkins Medicine Professional Corporation</t>
  </si>
  <si>
    <t>Issued Date:  Aug 28 2012</t>
  </si>
  <si>
    <t>Dr. S. Rawkins (CPSO# 76097),Dr. J. Joannou (CPSO# 84926)</t>
  </si>
  <si>
    <t>CAMH-College Site,250 College St.,Toronto ON  M5T 1R8,(416) 535-8501
Mount Sinai Hospital,Mount Sinai Hospital,Department of Psychiatry,Room 932,600 University Avenue,Toronto ON  M5G 1X5,(416) 586-4800
Mount Sinai Hospital,Mount Sinai Hospital,Department of Psychiatry,Room 932,600 University Avenue,Toronto ON  M5G 1X5,(416) 586-480</t>
  </si>
  <si>
    <t>Jason A. Joannou Medicine Professional Corporation</t>
  </si>
  <si>
    <t>CAMH-College Site,250 College St. Rm 534-B,Toronto ON  M5T 1R8,(416) 535-8501</t>
  </si>
  <si>
    <t>102359</t>
  </si>
  <si>
    <t>Laval University, 2009</t>
  </si>
  <si>
    <t>Montreal Children's Hospital,Department of Psychiatry,1001 boulevard Decarie,MONTREAL QC  H4A 3J1</t>
  </si>
  <si>
    <t>514-412-4400</t>
  </si>
  <si>
    <t>Psychiatry||Effective: 30 Jun 2014||RCPSC Specialist
Child and Adolescent Psychiatry||Effective: 21 Sep 2015||RCPSC Specialist</t>
  </si>
  <si>
    <t>University of Toronto, 16 Dec 2013  to 14 Mar 2014|Elective Trainee - Psychiatry
University of Toronto, 07 Apr 2014  to 30 Jun 2014|Elective Trainee - Psychiatry
University of Toronto, 01 Jul 2014  to 30 Jun 2015|PostGrad Yr 6 - Child and Adolescent Psychiatry</t>
  </si>
  <si>
    <t>First certificate of registration issued: Postgraduate Education Certificate||Effective:   16 Dec 2013
Expired: Terms and conditions of certificate of registration||Expiry:      14 Mar 2014
Subsequent certificate of registration Issued: Postgraduate Education Certificate||Effective:   07 Apr 2014
Expired: Terms and conditions of certificate of registration||Expiry:      30 Jun 2014
Subsequent certificate of registration Issued: Independent Practice Certificate||Effective:   30 Jun 2014</t>
  </si>
  <si>
    <t>98341</t>
  </si>
  <si>
    <t xml:space="preserve">Independent Practice as of 23 Apr 2018 </t>
  </si>
  <si>
    <t>The University of Western Ontario, 2012</t>
  </si>
  <si>
    <t>Southwest Centre for Forensic,Mental Health Care,401 Sunset Dr,St Thomas ON  N5R 3C6</t>
  </si>
  <si>
    <t>519-631-8510 Ext. 49341</t>
  </si>
  <si>
    <t>University of Toronto,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Psychiatry
University of Toronto, 01 Jul 2017  to 30 Jun 2018|PostGrad Yr 6 - Forensic Psychiatry</t>
  </si>
  <si>
    <t>First certificate of registration issued: Postgraduate Education Certificate||Effective:   01 Jul 2012
Transfer of class of registration to: Independent Practice Certificate||Effective:   23 Apr 2018</t>
  </si>
  <si>
    <t>65759</t>
  </si>
  <si>
    <t xml:space="preserve">Active Member as of 08 Jul 1992 </t>
  </si>
  <si>
    <t>Parkwood Institute,Mental Health Care Building,Level F3 466,550 Wellington Road,London ON  N6C 0A7</t>
  </si>
  <si>
    <t>(519) 452-4593</t>
  </si>
  <si>
    <t>The University of Western Ontario, 01 Jul 1992  to 30 Jun 1993|Resident 1 - Psychiatry
The University of Western Ontario, 01 Jul 1993  to 30 Jun 1994|Resident 2 - Psychiatry
The University of Western Ontario, 01 Jul 1994  to 30 Jun 1995|Resident 3 - Psychiatry
The University of Western Ontario, 01 Jul 1995  to 30 Jun 1996|Resident 4 - Psychiatry
The University of Western Ontario, 01 Jul 1996  to 30 Jun 1997|Clinical Fellow - Psychiatry
The University of Western Ontario, 01 Jul 1997  to 30 Jun 1998|Clinical Fellow - Psychiatry</t>
  </si>
  <si>
    <t>First certificate of registration issued: Postgraduate Education Certificate||Effective:   08 Jul 1992
Transfer of class of registration to: Independent Practice Certificate||Effective:   26 Jun 1997</t>
  </si>
  <si>
    <t>Jatinder Takhar Medicine Professional Corporation</t>
  </si>
  <si>
    <t>Dr. J. Takhar (CPSO# 65759)</t>
  </si>
  <si>
    <t>Parkwood Institute,Mental Health care Building,Level 3, Room F3-229,550 Wellington Raod,London ON  N6C 0A7,(519) 455-5110</t>
  </si>
  <si>
    <t>98627</t>
  </si>
  <si>
    <t xml:space="preserve">Active Member as of 24 Apr 2015 </t>
  </si>
  <si>
    <t xml:space="preserve">Restricted as of 24 Apr 2015 </t>
  </si>
  <si>
    <t>Ben Gurion University of the Negev, 2007</t>
  </si>
  <si>
    <t>LHSC Victoria Hospital,Department of Psychiatry,Zone B Room B8-176,800 Commissioners Road E,London ON  N6A 5W9</t>
  </si>
  <si>
    <t>(519) 685-8500 Ext. 74968</t>
  </si>
  <si>
    <t>Psychiatry||Effective: 14 May 2013||RCPSC Specialist
Child and Adolescent Psychiatry||Effective: 27 Sep 2016||RCPSC Specialist</t>
  </si>
  <si>
    <t>First certificate of registration issued: Restricted certificate||Effective:   01 Jul 2012
Terms and conditions imposed on certificate by Registration Committee||Effective:   01 Jul 2012
Expiry date attached to certificate of registration.||Expiry Date: 30 Jun 2015
Expired: Terms and conditions imposed on certificate by Registration Committee||Effective:   24 Apr 2015
Subsequent certificate of registration issued: Restricted certificate||Effective:   24 Apr 2015
Terms and conditions amended by Registration Committee||Effective:   17 Dec 2015</t>
  </si>
  <si>
    <t>Dr. Javeed Sukhera Medicine Professional Corporation</t>
  </si>
  <si>
    <t>Dr. J. Sukhera (CPSO# 98627)</t>
  </si>
  <si>
    <t>LHSC Victoria Hospital,Department of Psychiatry,North Tower Suite B8-176,800 Commissioners Road East,London ON  N6A 5W9,(519) 685-8500</t>
  </si>
  <si>
    <t>88223</t>
  </si>
  <si>
    <t xml:space="preserve">Active Member as of 08 Apr 2008 </t>
  </si>
  <si>
    <t xml:space="preserve">Independent Practice as of 08 Apr 2008 </t>
  </si>
  <si>
    <t>North York General Hospital,Department of Psychiatry,4001 Leslie St,Toronto ON  M2K 1E1</t>
  </si>
  <si>
    <t>(416) 756-6000 Ext. 4371</t>
  </si>
  <si>
    <t>(416) 756-6834</t>
  </si>
  <si>
    <t>North York General Hospital,General Division:Toronto
University Health Network,Toronto Western Hospital Site:Toronto</t>
  </si>
  <si>
    <t>First certificate of registration issued: Independent Practice Certificate||Effective:   08 Apr 2008</t>
  </si>
  <si>
    <t>51256</t>
  </si>
  <si>
    <t xml:space="preserve">Independent Practice as of 15 Nov 1983 </t>
  </si>
  <si>
    <t>Sunnybrook Health Science Centre,Department Of Psychiatry,Room FG 05,2075 Bayview Avenue,Toronto ON  M4N 3M5</t>
  </si>
  <si>
    <t>(416) 480-4216</t>
  </si>
  <si>
    <t>First certificate of registration issued: Postgraduate Education Certificate||Effective:   14 Jun 1982
Transfer of class of registration to: Independent Practice Certificate||Effective:   15 Nov 1983</t>
  </si>
  <si>
    <t>Jay Moss Medicine Professional Corporation</t>
  </si>
  <si>
    <t>Issued Date:  Oct 15 2009</t>
  </si>
  <si>
    <t>Dr. J. Moss (CPSO# 51256)</t>
  </si>
  <si>
    <t>Sunnybrook Health Science Centre,Department of Psychiatry,2075 Bayview Avenue,Suite FG52,Toronto ON  M4N 3M5,(416) 480-4666</t>
  </si>
  <si>
    <t>67717</t>
  </si>
  <si>
    <t xml:space="preserve">Active Member as of 09 May 1994 </t>
  </si>
  <si>
    <t xml:space="preserve">Independent Practice as of 09 May 1994 </t>
  </si>
  <si>
    <t>Mysore University, 1976</t>
  </si>
  <si>
    <t>Parkwood Institute,St Joseph's Health Care,550 Wellington Road,London ON  N6C 0A7</t>
  </si>
  <si>
    <t>(519) 455-5110 Ext. 47697</t>
  </si>
  <si>
    <t>(519) 452-4396</t>
  </si>
  <si>
    <t>53, Bond Street,Oakville ON  L6K 1L8,Canada,Phone:(905) 844-7864,County:Regional Municipality of Halton,Electoral District:04</t>
  </si>
  <si>
    <t>London Health Sciences Centre South Street Hospital:London
London Health Sciences Centre Victoria Hospital:London
St Joseph Health Care,London- Mental Health:London</t>
  </si>
  <si>
    <t>First certificate of registration issued: Independent Practice Certificate||Effective:   09 May 1994</t>
  </si>
  <si>
    <t>Dr. J.M. Rao Medicine Professional Corporation</t>
  </si>
  <si>
    <t>Dr. J. Rao (CPSO# 67717)</t>
  </si>
  <si>
    <t>Oaklands Diagnosis Service,53 Bond Street,Oakville ON  L6K 1L8,(905) 844-7864
Special Service Unit,Special Service Unit,90 John Street South,London ON  N5A 2Y8,(519) 272-8237
Parkwood Institute,Parkwood Institute,550 Wellington Road,London ON  N6C 0A7,(519) 455-5110</t>
  </si>
  <si>
    <t>28067</t>
  </si>
  <si>
    <t xml:space="preserve">Active Member as of 27 Feb 1976 </t>
  </si>
  <si>
    <t xml:space="preserve">Independent Practice as of 27 Feb 1976 </t>
  </si>
  <si>
    <t>University of Haiti, 1962</t>
  </si>
  <si>
    <t>Suite 400B,2555 St. Joseph Boulevard,Orleans ON  K1C 1S6</t>
  </si>
  <si>
    <t>(613) 837-8316</t>
  </si>
  <si>
    <t>(613) 837-2820</t>
  </si>
  <si>
    <t>Cornwall Community Hospital,840 McConnell,Cornwall ON  K6H 5S5,Canada,Phone:(613) 938-4240,County:County of Stormont, Dundas and Glengarry,Electoral District:07</t>
  </si>
  <si>
    <t>Psychiatry||Effective: 30 Nov 1970||RCPSC Specialist</t>
  </si>
  <si>
    <t>First certificate of registration issued: Public Service Practice Certificate||Effective:   02 Jul 1971
Expired: Terms and conditions of certificate of registration||Expiry:      02 Aug 1972
Subsequent certificate of registration Issued: Specified Certificate||Effective:   03 Aug 1973
Expired: Terms and conditions of certificate of registration||Expiry:      23 Apr 1974
Subsequent certificate of registration Issued: Hospital Practice Certificate||Effective:   20 May 1975
Transfer of class of registration to: Independent Practice Certificate||Effective:   27 Feb 1976</t>
  </si>
  <si>
    <t>21687</t>
  </si>
  <si>
    <t xml:space="preserve">Active Member as of 11 Oct 1968 </t>
  </si>
  <si>
    <t xml:space="preserve">Independent Practice as of 11 Oct 1968 </t>
  </si>
  <si>
    <t>P O Box 77024,301 Metcalfe Street,Ottawa ON  K2P 1R9</t>
  </si>
  <si>
    <t>(343) 988-4428</t>
  </si>
  <si>
    <t>First certificate of registration issued: Postgraduate Education Certificate||Effective:   12 Mar 1968
Transfer of class of registration to: Independent Practice Certificate||Effective:   11 Oct 1968</t>
  </si>
  <si>
    <t>Dr. Jean E. Porter Medicine Professional Corporation</t>
  </si>
  <si>
    <t>Inactive: Feb 14 2017</t>
  </si>
  <si>
    <t>53100</t>
  </si>
  <si>
    <t xml:space="preserve">Active Member as of 20 Jun 1983 </t>
  </si>
  <si>
    <t xml:space="preserve">Independent Practice as of 20 Jun 1983 </t>
  </si>
  <si>
    <t>University of Sherbrooke, 1973</t>
  </si>
  <si>
    <t>Suite 305,1428 Ouellette Avenue,Windsor ON  N8X 1K4</t>
  </si>
  <si>
    <t>(519) 256-9292</t>
  </si>
  <si>
    <t>(519) 256-0404</t>
  </si>
  <si>
    <t>University of Ottawa, 01 Jul 1994  to 30 Jun 1995|Resident 4 - Psychiatry</t>
  </si>
  <si>
    <t>First certificate of registration issued: Independent Practice Certificate||Effective:   20 Jun 1983</t>
  </si>
  <si>
    <t>Jean-Guy Roberge Medicine Professional Corporation</t>
  </si>
  <si>
    <t>Inactive: Apr  3 2015</t>
  </si>
  <si>
    <t>54897</t>
  </si>
  <si>
    <t xml:space="preserve">Active Member as of 24 Aug 1984 </t>
  </si>
  <si>
    <t xml:space="preserve">Independent Practice as of 24 Aug 1984 </t>
  </si>
  <si>
    <t>University of Ottawa, 1980</t>
  </si>
  <si>
    <t>580 Spence Avenue,Hawkesbury ON  K6A 0B4</t>
  </si>
  <si>
    <t>(844) 304-1414</t>
  </si>
  <si>
    <t>Professional Centre,1 Main Street East,Suite 200,Hawkesbury ON  K6A 1A1,Canada,Phone:(613) 363-2643,Fax:(613) 632-5369,County:County of Prescott and Russell,Electoral District:07</t>
  </si>
  <si>
    <t>Psychiatry||Effective: 04 Jun 1984||RCPSC Specialist
Geriatric Psychiatry||Effective: 23 Sep 2014||RCPSC Specialist</t>
  </si>
  <si>
    <t>First certificate of registration issued: Independent Practice Certificate||Effective:   24 Aug 1984</t>
  </si>
  <si>
    <t>Dr. Jean Ouellette Societe Professionnelle de Medecine</t>
  </si>
  <si>
    <t>Inactive: Oct 10 2018</t>
  </si>
  <si>
    <t>50264</t>
  </si>
  <si>
    <t xml:space="preserve">Independent Practice as of 08 Jan 1987 </t>
  </si>
  <si>
    <t>David Braley Health Centre,5Th Floor,100 Main Street West,Hamilton ON  L8P 1H6</t>
  </si>
  <si>
    <t>(905) 521-2100 Ext. 27066</t>
  </si>
  <si>
    <t>Hamilton Health Sciences Centre McMaster &amp; Childrens Hosp,McMaster &amp; Children's Hospital:Hamilton
Hospital For Sick Children:Toronto
St Joseph's Healthcare System,Hamilton:Hamilton</t>
  </si>
  <si>
    <t>First certificate of registration issued: Postgraduate Education Certificate||Effective:   01 Jul 1981
Transfer of class of registration to: Independent Practice Certificate||Effective:   08 Jan 1987</t>
  </si>
  <si>
    <t>Gibson, Clinton Medicine Professional Corporation</t>
  </si>
  <si>
    <t>Issued Date:  Apr 07 2008</t>
  </si>
  <si>
    <t>Dr. J. Clinton (CPSO# 50264),Dr. J. Gibson (CPSO# 28401)</t>
  </si>
  <si>
    <t>735 King Street East,Hamilton ON  L8M 1A1,(905) 525-2012
26 Arrowsmith Road,26 Arrowsmith Road,Hamilton ON  L8E 4H8,(905) 522-1121
3305 Harvester Road,3305 Harvester Road,Burlington ON  L7N 3N2,(905) 632-8007
David Braley Health Centre,David Braley Health Centre,100 Main Street West,5th Floor,Hamilton ON  L8P 1H6,(905) 521-2100
Hospital for Sick Children,Hospital for Sick Children,555 University Avenue,Toronto ON  M5G 1X8
St. Josephs Healthcare Hamilton,St. Josephs Healthcare Hamilton,50 Charlton Avenue East,Hamilton ON  L8N 4A6,(905) 521-6061</t>
  </si>
  <si>
    <t>26649</t>
  </si>
  <si>
    <t xml:space="preserve">Active Member as of 28 Jun 1974 </t>
  </si>
  <si>
    <t xml:space="preserve">Independent Practice as of 28 Jun 1974 </t>
  </si>
  <si>
    <t>Suite 1507,180 Dundas Street West,Toronto ON  M5G 1Z8</t>
  </si>
  <si>
    <t>(416) 977-1580</t>
  </si>
  <si>
    <t>(416) 977-5027</t>
  </si>
  <si>
    <t>Department of Psychiatry,Hospital for Sick Children,555 University Avenue,Toronto ON  M5G 1X8,Canada,Phone:(416) 813-4248,Fax:(416) 813-5326,County:City of Toronto,Electoral District:10</t>
  </si>
  <si>
    <t>First certificate of registration issued: Postgraduate Education Certificate||Effective:   01 Jul 1971
Expired: Terms and conditions of certificate of registration||Expiry:      30 Jun 1972
Subsequent certificate of registration Issued: Independent Practice Certificate||Effective:   28 Jun 1974</t>
  </si>
  <si>
    <t>66002</t>
  </si>
  <si>
    <t xml:space="preserve">Active Member as of 16 Sep 1992 </t>
  </si>
  <si>
    <t xml:space="preserve">Independent Practice as of 16 Sep 1992 </t>
  </si>
  <si>
    <t>University of Sherbrooke, 1991</t>
  </si>
  <si>
    <t>907 Lorne Street,Sudbury ON  P3C 4R6</t>
  </si>
  <si>
    <t>(705) 670-2000</t>
  </si>
  <si>
    <t>(705) 670-2006</t>
  </si>
  <si>
    <t>50 College Rd,North Bay ON  P1B 8G5,Canada,Phone:1705 4748600,County:Territorial District of Nipissing,Electoral District:08
680 Kirkwood Drive,Sudbury ON  P3E 1X3,Canada,Phone:(705) 675-9193,County:Terr.District/Regional Municipality of Sudbury,Electoral District:08</t>
  </si>
  <si>
    <t>North Bay Regional Health Centre - Kirkwood Place:Sudbury</t>
  </si>
  <si>
    <t>Psychiatry||Effective: 03 Jun 1997||RCPSC Specialist
Forensic Psychiatry||Effective: 23 Sep 2014||RCPSC Specialist</t>
  </si>
  <si>
    <t>First certificate of registration issued: Independent Practice Certificate||Effective:   16 Sep 1992</t>
  </si>
  <si>
    <t>Dr. Jean-Guy Gagnon Medicine Professional Corporation</t>
  </si>
  <si>
    <t>Issued Date:  May 02 2006</t>
  </si>
  <si>
    <t>Dr. J. Gagnon (CPSO# 66002)</t>
  </si>
  <si>
    <t>907 Lorne Street,Sudbury ON  P3C 4R6,(705) 670-2000
680 Kirkwood Drive,680 Kirkwood Drive,Sudbury ON  P3E 1X3,(705) 675-9192
50 College Drive,50 College Drive,North Bay ON  P1B 5A4,(705) 474-8600</t>
  </si>
  <si>
    <t>115991</t>
  </si>
  <si>
    <t>UHN Toronto Western Hospital,399 Bathrust St,Toronto ON  M5T 2S8</t>
  </si>
  <si>
    <t>University of Toronto, 01 Aug 2018  to 30 Jun 2019|Clinical Fellow - Psychiatry</t>
  </si>
  <si>
    <t>52971</t>
  </si>
  <si>
    <t xml:space="preserve">Active Member as of 08 Jun 1983 </t>
  </si>
  <si>
    <t xml:space="preserve">Independent Practice as of 08 Jun 1983 </t>
  </si>
  <si>
    <t>University of Montreal, 1980</t>
  </si>
  <si>
    <t>706 - 2197 Riverside Drive,Ottawa ON  K1H 7X3</t>
  </si>
  <si>
    <t>(613) 800-5402</t>
  </si>
  <si>
    <t>(613) 523-1243</t>
  </si>
  <si>
    <t>First certificate of registration issued: Independent Practice Certificate||Effective:   08 Jun 1983</t>
  </si>
  <si>
    <t>Dr. Jean-Rene Trudel Societe Professionnelle De Medecine</t>
  </si>
  <si>
    <t>Issued Date:  Jun 24 2008</t>
  </si>
  <si>
    <t>Dr. J. Trudel (CPSO# 52971)</t>
  </si>
  <si>
    <t>Suite 706,2197 Riverside Drive,Ottawa ON  K1H 7X3,(613) 800-5402</t>
  </si>
  <si>
    <t>101444</t>
  </si>
  <si>
    <t>Joseph Brant Hospital,1230 North Shore Blvd,Burlington ON  L7S 1W7</t>
  </si>
  <si>
    <t>University of Toronto, 01 Jul 2013  to 22 Sep 2013|Assessment Verification Period - Psychiatry
University of Toronto, 23 Sep 2013  to 30 Jun 2014|PostGrad Yr 1 - Psychiatry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t>
  </si>
  <si>
    <t>67060</t>
  </si>
  <si>
    <t xml:space="preserve">Active Member as of 31 May 2001 </t>
  </si>
  <si>
    <t xml:space="preserve">Independent Practice as of 31 May 2001 </t>
  </si>
  <si>
    <t>University of Montreal, 1993</t>
  </si>
  <si>
    <t>2211 Riverside Drive,Suite 402,Ottawa ON  K1H 7X5</t>
  </si>
  <si>
    <t>(613) 897 1444</t>
  </si>
  <si>
    <t>(613) 482 4690</t>
  </si>
  <si>
    <t>University of Ottawa Institute,of Mental Health Research,1145 Carling Avenue,Ottawa ON  K1Z 7K4,Canada,Phone:(613) 722-6521 Ext. 6718,County:Regional Municipality of Ottawa-Carleton,Electoral District:07</t>
  </si>
  <si>
    <t>Psychiatry||Effective: 12 Sep 1999||RCPSC Specialist</t>
  </si>
  <si>
    <t>University of Toronto, 01 Jul 1993  to 30 Jun 1994|PostGrad Yr 1 - Psychiatry
University of Toronto, 01 Jul 1994  to 30 Jun 1995|Resident 1 - Psychiatry
University of Toronto, 01 Jul 1995  to 30 Jun 1996|Resident 2 - Psychiatry</t>
  </si>
  <si>
    <t>First certificate of registration issued: Postgraduate Education Certificate||Effective:   01 Jul 1993
Expired: Terms and conditions of certificate of registration||Expiry:      30 Jun 1996
Subsequent certificate of registration Issued: Independent Practice Certificate||Effective:   31 May 2001</t>
  </si>
  <si>
    <t>111630</t>
  </si>
  <si>
    <t xml:space="preserve">Active Member as of 01 Apr 2017 </t>
  </si>
  <si>
    <t xml:space="preserve">Restricted as of 01 Apr 2017 </t>
  </si>
  <si>
    <t>University of Zambia, 1997</t>
  </si>
  <si>
    <t>Victoria Hospital,London Health Sciences Centre,Department of Psychiatry,800 Commissioners Road East,London ON  N6A 5W9</t>
  </si>
  <si>
    <t>London Health Sciences Centre Victoria Hospital:London
London Health Sciences Centre,University Site:London
St Joseph's Health Care-St Joseph's Site,London:London</t>
  </si>
  <si>
    <t>Psychiatry||Effective: 01 Apr 2017||CPSO Recognized Specialist</t>
  </si>
  <si>
    <t>First certificate of registration issued: Restricted certificate||Effective:   01 Apr 2017
Terms and conditions imposed on certificate by Registration Committee||Effective:   01 Apr 2017
Expiry date attached to certificate of registration.||Expiry Date: 30 Jun 2019</t>
  </si>
  <si>
    <t>59371</t>
  </si>
  <si>
    <t xml:space="preserve">Independent Practice as of 13 Aug 1990 </t>
  </si>
  <si>
    <t>Medical Arts Building,1 Young Street,Suite 710,Hamilton ON  L8N 1T8</t>
  </si>
  <si>
    <t>(905) 627-7300</t>
  </si>
  <si>
    <t>(905) 627-4757</t>
  </si>
  <si>
    <t>Psychiatry||Effective: 30 Sep 1994||RCPSC Specialist</t>
  </si>
  <si>
    <t>First certificate of registration issued: Postgraduate Education Certificate||Effective:   01 Jul 1988
Transfer of class of registration to: Independent Practice Certificate||Effective:   13 Aug 1990</t>
  </si>
  <si>
    <t>66631</t>
  </si>
  <si>
    <t xml:space="preserve">Active Member as of 09 Jul 1998 </t>
  </si>
  <si>
    <t xml:space="preserve">Independent Practice as of 09 Jul 1998 </t>
  </si>
  <si>
    <t>PET Imaging Centre Ground Floor,C A M H,250 College Street,Toronto ON  M5T 1R8</t>
  </si>
  <si>
    <t>(416) 535-8501 Ext. 34007</t>
  </si>
  <si>
    <t>(416) 260-4188</t>
  </si>
  <si>
    <t>100 Stokes St.,Bell Gateway Building,Queen St., CAMH,Toronto ON  M6J 1H4,Canada,Phone:416-535-8501 Ext. 34007,County:City of Toronto,Electoral District:10</t>
  </si>
  <si>
    <t>University of Toronto, 01 Jul 1993  to 30 Jun 1994|PostGrad Yr 1 - Psychiatry
University of Toronto, 01 Jul 1994  to 30 Jun 1995|Resident 1 - Psychiatry
University of Toronto, 01 Jul 1995  to 30 Jun 1996|Resident 2 - Psychiatry
University of Toronto, 01 Jul 1996  to 30 Jun 1997|Resident 3 - Psychiatry
University of Toronto, 01 Jul 1997  to 30 Jun 1998|Resident 4 - Psychiatry
University of Toronto, 25 Aug 1998  to 30 Jun 1999|Clinical Fellow - Psychiatry
University of Toronto, 01 Jul 1999  to 30 Jun 2000|Clinical Fellow - Clinician Investigator</t>
  </si>
  <si>
    <t>First certificate of registration issued: Postgraduate Education Certificate||Effective:   01 Jul 1993
Expired: Terms and conditions of certificate of registration||Expiry:      30 Jun 1998
Subsequent certificate of registration Issued: Independent Practice Certificate||Effective:   09 Jul 1998</t>
  </si>
  <si>
    <t>82520</t>
  </si>
  <si>
    <t>Waypoint CMHC,500 Church Street,Penetanguishene ON  L9M 1G3</t>
  </si>
  <si>
    <t>(855) 714-4252</t>
  </si>
  <si>
    <t>1182 North Shore Boulevard,Burlington ON  L7S 1C5,Canada,County:Regional Municipality of Halton,Electoral District:04</t>
  </si>
  <si>
    <t>Psychiatry||Effective: 30 Jun 2010||RCPSC Specialist
Forensic Psychiatry||Effective: 27 Sep 2016||RCPSC Specialist</t>
  </si>
  <si>
    <t>J. Van Impe Medicine Professional Corporation</t>
  </si>
  <si>
    <t>Issued Date:  Feb 04 2011</t>
  </si>
  <si>
    <t>Dr. J. Van Impe (CPSO# 82520)</t>
  </si>
  <si>
    <t>Waypoint Centre,500 Church Street,Penetanguishene ON  L9M 1G3,(705) 549-3181</t>
  </si>
  <si>
    <t>53599</t>
  </si>
  <si>
    <t xml:space="preserve">Active Member as of 19 Oct 1983 </t>
  </si>
  <si>
    <t xml:space="preserve">Independent Practice as of 19 Oct 1983 </t>
  </si>
  <si>
    <t>50 Pine Crescent,Toronto ON  M4E 1L4</t>
  </si>
  <si>
    <t>(647) 992-5738</t>
  </si>
  <si>
    <t>First certificate of registration issued: Independent Practice Certificate||Effective:   19 Oct 1983</t>
  </si>
  <si>
    <t>Jeffrey L. Genik Medicine Professional Corporation</t>
  </si>
  <si>
    <t>Issued Date:  Nov 18 2010</t>
  </si>
  <si>
    <t>Dr. J. Genik (CPSO# 53599)</t>
  </si>
  <si>
    <t>50 Pine Crescent,Toronto ON  M4E 1L4,(647) 992-5738</t>
  </si>
  <si>
    <t>89675</t>
  </si>
  <si>
    <t xml:space="preserve">Active Member as of 25 Jul 2008 </t>
  </si>
  <si>
    <t xml:space="preserve">Independent Practice as of 25 Jul 2008 </t>
  </si>
  <si>
    <t>LHSC Victoria Hospital,Room B8 142,800 Commissioners Road East,London ON  N6A 5W9</t>
  </si>
  <si>
    <t>(519) 685-8500 Ext. 75665</t>
  </si>
  <si>
    <t>First certificate of registration issued: Independent Practice Certificate||Effective:   25 Jul 2008</t>
  </si>
  <si>
    <t>Dr. Jeffrey P. Reiss Medicine Professional Corporation</t>
  </si>
  <si>
    <t>Issued Date:  Sep 30 2008</t>
  </si>
  <si>
    <t>Dr. J. Reiss (CPSO# 89675)</t>
  </si>
  <si>
    <t>LHSC Victoria Hospital,Room B8 142,800 Commissioners Road East,London ON  N6A 5W9,(519) 685-8500</t>
  </si>
  <si>
    <t>68260</t>
  </si>
  <si>
    <t>The University of Manitoba, 1994</t>
  </si>
  <si>
    <t>Centre for Addiction and Mental,Health - Queen Street Site,Unit 3-4,1001 Queen Street West,Toronto ON  M6J 1H4</t>
  </si>
  <si>
    <t>(416) 315-7494</t>
  </si>
  <si>
    <t>(416) 583-4319</t>
  </si>
  <si>
    <t>160 Horner Avenue,Toronto ON  M8Z0C2,Canada,Phone:4163157494,County:City of Toronto,Electoral District:10
Centre for Addiction &amp; Mental,Health, Clarke Site,250 College Street,Toronto ON  M5T 1R8,Canada,County:City of Toronto,Electoral District:10
Centre for Addiction &amp; Mental,Health,Psychological Trauma Program,Suite 200,455 Spadina Avenue,Toronto ON  M5S 2G8,Canada,County:City of Toronto,Electoral District:10
204 Simcoe Avenue, Units 1 and 2,Keswick ON  L4P 3S6,Canada,Phone:(905) 476-3737,County:Regional Municipality of York,Electoral District:05
17310 Yonge Street, Unit 08,Newmarket ON  L3Y 7R8,Canada,Phone:(905) 868-9966,County:Regional Municipality of York,Electoral District:05</t>
  </si>
  <si>
    <t>Jeffry McMaster Medicine Professional Corporation</t>
  </si>
  <si>
    <t>Dr. J. McMaster (CPSO# 68260)</t>
  </si>
  <si>
    <t>Centre for Addiction and Mental Health,Queen Street Site,Unit 3-4 1001 Queen Street West,Toronto ON  M6J 1H4,(416) 535-8501
455 Spadina Avenue,455 Spadina Avenue,2nd Floor,Toronto ON  M5S 2G8,(416) 535-8501</t>
  </si>
  <si>
    <t>61314</t>
  </si>
  <si>
    <t xml:space="preserve">Active Member as of 20 Jun 1989 </t>
  </si>
  <si>
    <t xml:space="preserve">Independent Practice as of 20 Jun 1989 </t>
  </si>
  <si>
    <t>Out Patient Mental Health,Scarborough Hospital,Birchmount  Division,3030 Birchmount Road,Scarborough ON  M1W 3W3</t>
  </si>
  <si>
    <t>Outpatient Mental Health,Markham Stouffville Hospital,381 Church Street,Markham ON  L3P 7P3,Canada,Phone:(905) 472-7011,Fax:9054727371,County:Regional Municipality of York,Electoral District:05</t>
  </si>
  <si>
    <t>First certificate of registration issued: Independent Practice Certificate||Effective:   20 Jun 1989</t>
  </si>
  <si>
    <t>Dr. Jegapathy Rajendra Medicine Professional Corporation</t>
  </si>
  <si>
    <t>Issued Date:  Aug 10 2007</t>
  </si>
  <si>
    <t>Dr. J. Rajendra (CPSO# 61314)</t>
  </si>
  <si>
    <t>381 Church Street,Markham ON  L3P 7P3,(905) 472-7011
Out Patient Mental Health,Out Patient Mental Health,Scarborough Hospital,Grace Division,3030 Birchmount Road,Toronto ON  M1W 3W3,(416) 495-2563</t>
  </si>
  <si>
    <t>42398</t>
  </si>
  <si>
    <t xml:space="preserve">Active Member as of 03 Jul 1980 </t>
  </si>
  <si>
    <t xml:space="preserve">Independent Practice as of 30 Jul 1990 </t>
  </si>
  <si>
    <t>Croatian, English, Serbian, Yugoslav</t>
  </si>
  <si>
    <t>University of Belgrade, 1963</t>
  </si>
  <si>
    <t>Psychiatry Department,Toronto East General Hospital,825 Coxwell Avenue,Toronto ON  M4C 3E7</t>
  </si>
  <si>
    <t>(416) 469-6580 Ext. 6208</t>
  </si>
  <si>
    <t>First certificate of registration issued: Postgraduate Education Certificate||Effective:   01 Jul 1975
Expired: Terms and conditions of certificate of registration||Expiry:      30 Jun 1980
Subsequent certificate of registration Issued: Hospital Practice Certificate||Effective:   03 Jul 1980
Transfer of class of registration to: Independent Practice Certificate||Effective:   30 Jul 1990</t>
  </si>
  <si>
    <t>Dr. Mesaros Medicine Professional Corporation</t>
  </si>
  <si>
    <t>Issued Date:  Nov 25 2009</t>
  </si>
  <si>
    <t>Dr. J. Mesaros (CPSO# 42398)</t>
  </si>
  <si>
    <t>Psychiatry Department,Toronto East General Hospital,825 Coxwell Avenue,Toronto ON  M4C 3E7,(416) 469-6580</t>
  </si>
  <si>
    <t>91611</t>
  </si>
  <si>
    <t xml:space="preserve">Active Member as of 03 Nov 2015 </t>
  </si>
  <si>
    <t xml:space="preserve">Restricted as of 03 Nov 2015 </t>
  </si>
  <si>
    <t>Mackenzie Richmond Hill Hospital,10 Trench St,Richmond Hill ON  L4C 4Z3</t>
  </si>
  <si>
    <t>9058831212</t>
  </si>
  <si>
    <t>Psychiatry||Effective: 05 Aug 2015||RCPSC Specialist</t>
  </si>
  <si>
    <t>The University of Western Ontario, 01 Jul 2009  to 30 Jun 2010|PostGrad Yr 1 - Psychiatry
The University of Western Ontario, 01 Jul 2010  to 30 Jun 2011|PostGrad Yr 2 - Psychiatry
The University of Western Ontario, 01 Jul 2011  to 30 Jun 2012|PostGrad Yr 3 - Psychiatry
The University of Western Ontario, 01 Jul 2012  to 14 Jul 2012|PostGrad Yr 3 - Psychiatry
The University of Western Ontario, 15 Jul 2012  to 30 Jun 2013|PostGrad Yr 4 - Psychiatry
The University of Western Ontario, 01 Jul 2013  to 30 Jun 2014|PostGrad Yr 4 - Psychiatry
The University of Western Ontario, 01 Jul 2014  to 30 Jun 2015|PostGrad Yr 5 - Psychiatry
The University of Western Ontario, 01 Jul 2015  to 05 Aug 2015|PostGrad Yr 5 - Psychiatry</t>
  </si>
  <si>
    <t>First certificate of registration issued: Postgraduate Education Certificate||Effective:   01 Jul 2009
Expired: Terms and conditions of certificate of registration||Expiry:      05 Aug 2015
Subsequent certificate of registration issued: Restricted certificate||Effective:   03 Nov 2015
Terms and conditions amended by Registration Committee||Effective:   20 Apr 2017
Terms and conditions amended by Registration Committee||Effective:   18 Oct 2017
Terms and conditions amended by Registration Committee||Effective:   29 May 2018
Expiry date attached to certificate of registration||Expiry Date: 28 Nov 2019</t>
  </si>
  <si>
    <t>Doctor J.C. Lai Medicine Professional Corporation</t>
  </si>
  <si>
    <t>Issued Date:  Jan 02 2018</t>
  </si>
  <si>
    <t>Dr. J. Lai (CPSO# 91611)</t>
  </si>
  <si>
    <t>Mackenzie Richmond Hill Hospital,10 Trench Street,Richmond Hill ON  L4C 4Z3,(905) 883-1212</t>
  </si>
  <si>
    <t>61830</t>
  </si>
  <si>
    <t xml:space="preserve">Active Member as of 19 Dec 1989 </t>
  </si>
  <si>
    <t xml:space="preserve">Independent Practice as of 19 Dec 1989 </t>
  </si>
  <si>
    <t>29 Bayswater Avenue,Ottawa ON  K1Y 2E5</t>
  </si>
  <si>
    <t>(613) 792-1222</t>
  </si>
  <si>
    <t>(613) 792-1620</t>
  </si>
  <si>
    <t>First certificate of registration issued: Independent Practice Certificate||Effective:   19 Dec 1989</t>
  </si>
  <si>
    <t>88254</t>
  </si>
  <si>
    <t xml:space="preserve">Active Member as of 05 May 2008 </t>
  </si>
  <si>
    <t>The University of British Columbia, 2003</t>
  </si>
  <si>
    <t>Victoria Hospital,Room A2 652,800 Commissioners Road East,London ON  N6A 5W9</t>
  </si>
  <si>
    <t>(519) 685-8500 Ext. 34944</t>
  </si>
  <si>
    <t>(519) 667-6657</t>
  </si>
  <si>
    <t>University Hospital,339 Windemere Road,London ON  N6A 5A5,Canada,Phone:(519) 685-8500 Ext. 75910,County:County of Middlesex,Electoral District:02</t>
  </si>
  <si>
    <t>The University of Western Ontario, 05 May 2008  to 30 Jun 2008|Elective Trainee - Psychiatry</t>
  </si>
  <si>
    <t>First certificate of registration issued: Postgraduate Education Certificate||Effective:   05 May 2008
Transfer of class of registration to: Independent Practice Certificate||Effective:   30 Jun 2008</t>
  </si>
  <si>
    <t>88710</t>
  </si>
  <si>
    <t>University of Calgary, 2008</t>
  </si>
  <si>
    <t>Mount Sinai Hospital,Department of Psychiatry,Room 3-206,700 University Avenue,Toronto ON  M5G 1Z5</t>
  </si>
  <si>
    <t>Toronto Sleep Institute,Suite 507,586 Eglinton Avenue East,Toronto ON  M4P 1P2,Canada,Phone:(416) 488-6980,County:City of Toronto,Electoral District:10</t>
  </si>
  <si>
    <t>Dr. Jennifer Hirsch Medicine Professional Corporation</t>
  </si>
  <si>
    <t>Issued Date:  Nov 10 2015</t>
  </si>
  <si>
    <t>Dr. J. Hirsch (CPSO# 88710)</t>
  </si>
  <si>
    <t>Mount Sinai Hospital,Department of Psychiatry,Room 3-206,700 University Avenue,Toronto ON  M5G 1Z5,(416) 586-4800
Unit 507,Unit 507,586 Eglinton Avenue East,Toronto ON  M4P 1P2,(416) 488-6980
390 Steeles Avenue West,390 Steeles Avenue West,Thornhill ON  L4J 6X2,(905) 709-9696
250 College Street,250 College Street,Toronto ON  M5T 1R8,(416) 595-6000</t>
  </si>
  <si>
    <t>73654</t>
  </si>
  <si>
    <t xml:space="preserve">Active Member as of 10 May 2005 </t>
  </si>
  <si>
    <t xml:space="preserve">Independent Practice as of 10 May 2005 </t>
  </si>
  <si>
    <t>McMaster Children's Hospital,Hamilton Health Sciences,1200 Main St. W.,Hamilton ON  L8N 3Z5</t>
  </si>
  <si>
    <t>(905) 521-2100 Ext. 76035</t>
  </si>
  <si>
    <t>The University of Western Ontario, 01 Jul 1999  to 30 Jun 2000|PostGrad Yr 1 - Psychiatry
The University of Western Ontario, 01 Jul 2000  to 30 Jun 2001|PostGrad Yr 2 - Psychiatry
The University of Western Ontario, 01 Jul 2001  to 30 Jun 2002|PostGrad Yr 3 - Psychiatry
The University of Western Ontario, 01 Jul 2002  to 30 Jun 2003|PostGrad Yr 4 - Psychiatry
The University of Western Ontario, 01 Jul 2003  to 30 Jun 2004|PostGrad Yr 5 - Psychiatry</t>
  </si>
  <si>
    <t>First certificate of registration issued: Postgraduate Education Certificate||Effective:   01 Jul 1999
Expired: Terms and conditions of certificate of registration||Expiry:      30 Jun 2004
Subsequent certificate of registration Issued: Independent Practice Certificate||Effective:   10 May 2005</t>
  </si>
  <si>
    <t>Jennifer L. Couturier Medicine Professional Corporation</t>
  </si>
  <si>
    <t>Issued Date:  Oct 07 2013</t>
  </si>
  <si>
    <t>Dr. J. Couturier (CPSO# 73654)</t>
  </si>
  <si>
    <t>McMaster Children's Hospital,Hamilton Health Sciences,1200 Main Street West,Hamilton ON  L8N 3Z5,(905) 521-2100</t>
  </si>
  <si>
    <t>89207</t>
  </si>
  <si>
    <t xml:space="preserve">Active Member as of 29 Jun 2016 </t>
  </si>
  <si>
    <t xml:space="preserve">Independent Practice as of 29 Jun 2016 </t>
  </si>
  <si>
    <t>4163225433</t>
  </si>
  <si>
    <t>University of Toronto, 01 Jul 2008  to 30 Jun 2009|PostGrad Yr 1 - Psychiatry
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Psychiatry
University of Toronto, 01 Jul 2014  to 30 Jun 2015|PostGrad Yr 5 - Psychiatry</t>
  </si>
  <si>
    <t>First certificate of registration issued: Postgraduate Education Certificate||Effective:   01 Jul 2008
Expired: Terms and conditions of certificate of registration||Expiry:      30 Jun 2015
Subsequent certificate of registration Issued: Independent Practice Certificate||Effective:   29 Jun 2016</t>
  </si>
  <si>
    <t>Jennifer Fink Medicine Professional Corporation</t>
  </si>
  <si>
    <t>Issued Date:  Sep 30 2016</t>
  </si>
  <si>
    <t>Dr. J. Fink (CPSO# 89207)</t>
  </si>
  <si>
    <t>3080 Yonge street,Suite 5016,Toronto ON  M4N 3N1,(416) 550-4757</t>
  </si>
  <si>
    <t>88709</t>
  </si>
  <si>
    <t xml:space="preserve">Independent Practice as of 31 Oct 2014 </t>
  </si>
  <si>
    <t>East Region Mental Health Services,2757 King Street East,Hamilton ON  L8G 5E4</t>
  </si>
  <si>
    <t>(905) 573-4801</t>
  </si>
  <si>
    <t>Psychiatry||Effective: 31 Oct 2014||RCPSC Specialist</t>
  </si>
  <si>
    <t>McMaster University, 01 Jul 2008  to 30 Jun 2009|PostGrad Yr 1 - Psychiatry
McMaster University, 01 Jul 2009  to 30 Jun 2010|PostGrad Yr 2 - Psychiatry
McMaster University, 01 Jul 2010  to 01 May 2011|PostGrad Yr 2 - Psychiatry
McMaster University, 02 May 2011  to 01 May 2012|PostGrad Yr 3 - Psychiatry
McMaster University, 02 May 2012  to 01 May 2013|PostGrad Yr 4 - Psychiatry
McMaster University, 02 May 2013  to 31 Oct 2013|PostGrad Yr 4 - Psychiatry
McMaster University, 01 Nov 2013  to 30 Jun 2014|PostGrad Yr 5 - Psychiatry
McMaster University, 01 Jul 2014  to 31 Oct 2014|PostGrad Yr 5 - Psychiatry</t>
  </si>
  <si>
    <t>First certificate of registration issued: Postgraduate Education Certificate||Effective:   01 Jul 2008
Transfer of class of registration to: Independent Practice Certificate||Effective:   31 Oct 2014</t>
  </si>
  <si>
    <t>Jennifer Ford Medicine Professional Corporation</t>
  </si>
  <si>
    <t>Issued Date:  Jan 28 2015</t>
  </si>
  <si>
    <t>Dr. J. Ford (CPSO# 88709)</t>
  </si>
  <si>
    <t>87305</t>
  </si>
  <si>
    <t xml:space="preserve">Independent Practice as of 18 Mar 2013 </t>
  </si>
  <si>
    <t>Montfort Hospital:Ottawa
Ottawa Hospital,Civic Site:Ottawa
Ottawa Hospital,General Site:Ottawa
Timmins and District Hospital:Timmins</t>
  </si>
  <si>
    <t>Psychiatry||Effective: 30 Jun 2012||RCPSC Specialist
Geriatric Psychiatry||Effective: 26 Sep 2013||RCPSC Specialist</t>
  </si>
  <si>
    <t>University of Ottawa, 01 Jul 2007  to 30 Jun 2008|PostGrad Yr 1 - Psychiatry
University of Ottawa, 01 Jul 2008  to 30 Jun 2009|PostGrad Yr 2 - Psychiatry
University of Ottawa, 01 Jul 2009  to 30 Jun 2010|PostGrad Yr 3 - Psychiatry
University of Ottawa, 01 Jul 2010  to 30 Jun 2011|PostGrad Yr 4 - Psychiatry
University of Ottawa, 01 Jul 2011  to 30 Jun 2012|PostGrad Yr 5 - Psychiatry
University of Ottawa, 01 Jul 2012  to 30 Jun 2013|PostGrad Yr 6 - Geriatric Psychiatry</t>
  </si>
  <si>
    <t>First certificate of registration issued: Postgraduate Education Certificate||Effective:   01 Jul 2007
Transfer of class of registration to: Independent Practice Certificate||Effective:   18 Mar 2013</t>
  </si>
  <si>
    <t>88809</t>
  </si>
  <si>
    <t>Women's College Hospital,76 Grenville Street,7th floor,Toronto ON  M5S 1B2</t>
  </si>
  <si>
    <t>Manitoba</t>
  </si>
  <si>
    <t>University of Toronto, 01 Jul 2008  to 30 Jun 2009|PostGrad Yr 1 - Psychiatry
University of Toronto, 01 Jul 2009  to 30 Jun 2010|PostGrad Yr 2 - Psychiatry
University of Toronto, 01 Jul 2010  to 30 Jun 2011|PostGrad Yr 3 - Psychiatry
University of Toronto, 01 Jul 2011  to 30 Jun 2012|PostGrad Yr 4 - Psychiatry
University of Toronto, 01 Jul 2012  to 30 Jun 2013|PostGrad Yr 5 - Psychiatry
University of Toronto, 01 Aug 2013  to 30 Jun 2014|Clinical Fellow - Psychiatry
University of Toronto, 01 Jul 2014  to 31 Jul 2014|Clinical Fellow - Psychiatry</t>
  </si>
  <si>
    <t>J. Hensel Medicine Professional Corporation</t>
  </si>
  <si>
    <t>Issued Date:  Dec 02 2015</t>
  </si>
  <si>
    <t>Dr. J. Hensel (CPSO# 88809)</t>
  </si>
  <si>
    <t>Women's College Hospital,76 Grenville Street,7th Floor,Toronto ON  M5S 1B2,(416) 323-6230</t>
  </si>
  <si>
    <t>86485</t>
  </si>
  <si>
    <t xml:space="preserve">Active Member as of 10 Jul 2013 </t>
  </si>
  <si>
    <t xml:space="preserve">Independent Practice as of 10 Jul 2013 </t>
  </si>
  <si>
    <t>Ontario Shores Centre,For Mental Health Sciences,700 Gordon Street,Whitby ON  L1N 5S9</t>
  </si>
  <si>
    <t>McMaster University, 01 Jul 2007  to 30 Jun 2008|PostGrad Yr 1 - Psychiatry
McMaster University, 01 Jul 2008  to 30 Jun 2009|PostGrad Yr 2 - Psychiatry
McMaster University, 01 Jul 2009  to 30 Jun 2010|PostGrad Yr 3 - Psychiatry
McMaster University, 01 Jul 2010  to 30 Jun 2011|PostGrad Yr 4 - Psychiatry
McMaster University, 01 Jul 2011  to 30 Jun 2012|PostGrad Yr 5 - Psychiatry
University of Toronto, 01 Jul 2012  to 30 Jun 2013|PostGrad Yr 6 - Psychiatry</t>
  </si>
  <si>
    <t>First certificate of registration issued: Postgraduate Education Certificate||Effective:   01 Jul 2007
Expired: Terms and conditions of certificate of registration||Expiry:      30 Jun 2013
Subsequent certificate of registration Issued: Independent Practice Certificate||Effective:   10 Jul 2013</t>
  </si>
  <si>
    <t>Jennifer M. Pytyck Medicine Professional Corporation</t>
  </si>
  <si>
    <t>Issued Date:  Jan 08 2014</t>
  </si>
  <si>
    <t>Dr. J. Pytyck (CPSO# 86485)</t>
  </si>
  <si>
    <t>Ontario Shores Centre for Mental Health Sciences,Suite 7-2,700 Gordon Street,Whitby ON  L1N 5S9,(905) 430-4055</t>
  </si>
  <si>
    <t>100270</t>
  </si>
  <si>
    <t>Medical University of the Americas, 2013</t>
  </si>
  <si>
    <t>Providence Care Hospital,Department of Psychiatry,Suite D2.050.B,752 King Street West,Kingston ON  K7L 4X3</t>
  </si>
  <si>
    <t>(613) 548-5580</t>
  </si>
  <si>
    <t>Ontario Shores Centre for Mental,Health Sciences,700 Gordon Street,Whitby ON  L1N 5S9,Canada,Phone:(905) 430-4055,County:Regional Municipality of Durham,Electoral District:05</t>
  </si>
  <si>
    <t>Kingston Health Sciences Centre:Kingston
Ontario Shores Centre for Mental Health Sciences:Whitby
Providence Care Hospital:Kingston</t>
  </si>
  <si>
    <t>Queen's University, 01 Jul 2013  to 22 Sep 2013|Assessment Verification Period - Psychiatry
Queen's University, 23 Sep 2013  to 30 Jun 2014|PostGrad Yr 1 - Psychiatry
Queen's University, 01 Jul 2014  to 30 Jun 2015|PostGrad Yr 2 - Psychiatry
Queen's University, 01 Jul 2015  to 30 Jun 2016|PostGrad Yr 3 - Psychiatry
Queen's University, 01 Jul 2016  to 30 Jun 2017|PostGrad Yr 4 - Psychiatry
Queen's University, 01 Jul 2017  to 30 Jun 2018|PostGrad Yr 5 - Psychiatry</t>
  </si>
  <si>
    <t>First certificate of registration issued: Pre Entry Assessment Program Certificate||Effective:   01 Jul 2013
Transfer of class of registration to: Postgraduate Education Certificate||Effective:   23 Sep 2013
Expired: Terms and conditions of certificate of registration||Expiry:      09 Nov 2016
Subsequent certificate of registration issued: Restricted certificate||Effective:   09 Nov 2016
Terms and conditions amended by Registration Committee||Effective:   31 May 2017
Expired: Terms and conditions imposed on certificate by Registration Committee||Effective:   30 Jun 2018
Subsequent certificate of registration Issued: Independent Practice Certificate||Effective:   30 Jun 2018</t>
  </si>
  <si>
    <t>82868</t>
  </si>
  <si>
    <t>University of Alberta, 2005</t>
  </si>
  <si>
    <t>Centre For Addiction and,Mental Health,80 Workman Way,4th floor,Toronto ON  M6J 1H4</t>
  </si>
  <si>
    <t>(416) 535-8501 Ext. 39364</t>
  </si>
  <si>
    <t>(416) 583-1205</t>
  </si>
  <si>
    <t>Sten Myrehaug Medicine Professional Corporation</t>
  </si>
  <si>
    <t>Issued Date:  Jul 13 2011</t>
  </si>
  <si>
    <t>Dr. S. Myrehaug (CPSO# 82867),Dr. J. Nguyen (CPSO# 82868)</t>
  </si>
  <si>
    <t>Centre for Addiction and Mental Health,80 Workman Way,Toronto ON  M6J 1H4,(416) 535-8501
Sunnybrook Health Sciences Centre,Sunnybrook Health Sciences Centre,Department of Radiation Oncology,2075 Bayview Avenue,Toronto ON  M4N 3M5,(416) 480-4834</t>
  </si>
  <si>
    <t>53920</t>
  </si>
  <si>
    <t xml:space="preserve">Independent Practice as of 17 Jun 1986 </t>
  </si>
  <si>
    <t>7 Short Hills Avenue,Short Hills NJ  07078,United States</t>
  </si>
  <si>
    <t>(973) 376-0202</t>
  </si>
  <si>
    <t>USA - New Jersey</t>
  </si>
  <si>
    <t>University of Toronto, 11 Jun 1984  to 17 Jun 1985|Other - Comprehensive Internship
University of Toronto, 01 Jul 1985  to 30 Jun 1986|Resident 2 - Family Medicine
University of Toronto, 11 Apr 1988  to 11 Apr 1989|Resident 1 - Psychiatry
University of Toronto, 12 Apr 1989  to 31 Mar 1990|Resident 2 - Psychiatry
University of Toronto, 01 Apr 1990  to 31 Dec 1990|Resident 3 - Psychiatry
University of Toronto, 01 Jan 1991  to 30 Jun 1991|Resident 4 - Psychiatry
University of Toronto, 01 Sep 1991  to 30 Jun 1992|Clinical Fellow - Psychiatry
University of Toronto, 01 Jul 1992  to 30 Jun 1993|Clinical Fellow - Psychiatry</t>
  </si>
  <si>
    <t>First certificate of registration issued: Postgraduate Education Certificate||Effective:   11 Jun 1984
Transfer of class of registration to: Independent Practice Certificate||Effective:   17 Jun 1986</t>
  </si>
  <si>
    <t>80831</t>
  </si>
  <si>
    <t xml:space="preserve">Active Member as of 27 Jul 2009 </t>
  </si>
  <si>
    <t xml:space="preserve">Independent Practice as of 27 Jul 2009 </t>
  </si>
  <si>
    <t>Toronto General Hospital,Department of Psychiatry,Eight Eaton North Rm. 238b,200 Elizabeth Street,Toronto ON  M5G 2C4</t>
  </si>
  <si>
    <t>(416) 340-4825</t>
  </si>
  <si>
    <t>University of Toronto, 01 Jul 2004  to 30 Jun 2005|PostGrad Yr 1 - Psychiatry
University of Toronto, 01 Jul 2005  to 30 Jun 2006|PostGrad Yr 2 - Psychiatry
University of Toronto, 01 Jul 2006  to 30 Jun 2007|PostGrad Yr 3 - Psychiatry
University of Toronto, 01 Jul 2007  to 30 Jun 2008|PostGrad Yr 4 - Psychiatry
University of Toronto, 01 Jul 2008  to 30 Jun 2009|PostGrad Yr 5 - Psychiatry
University of Toronto, 08 Sep 2009  to 30 Jun 2010|Clinical Fellow - Psychiatry
University of Toronto, 01 Jul 2010  to 30 Sep 2010|Clinical Fellow - Psychiatry</t>
  </si>
  <si>
    <t>First certificate of registration issued: Postgraduate Education Certificate||Effective:   01 Jul 2004
Expired: Terms and conditions of certificate of registration||Expiry:      30 Jun 2009
Subsequent certificate of registration Issued: Independent Practice Certificate||Effective:   27 Jul 2009</t>
  </si>
  <si>
    <t>63686</t>
  </si>
  <si>
    <t xml:space="preserve">Active Member as of 17 Jun 1991 </t>
  </si>
  <si>
    <t xml:space="preserve">Independent Practice as of 30 Jun 1992 </t>
  </si>
  <si>
    <t>Queen's University, 1991</t>
  </si>
  <si>
    <t>St Josephs Healthcare,Room D-018,100 West 5th Street,Hamilton ON  L8N 3K7</t>
  </si>
  <si>
    <t>(905) 522-1155 Ext. 32907</t>
  </si>
  <si>
    <t>(905) 521-6059</t>
  </si>
  <si>
    <t>The Hamilton Clinic,200 Main Street East (lower level),Hamilton ON  L8N 1H3,Canada,Phone:(905) 523-4567,Fax:(905) 523-4533,County:Regional Municipality of Hamilton-Wentworth,Electoral District:04</t>
  </si>
  <si>
    <t>Hamilton Health Sciences Centre McMaster &amp; Childrens Hosp,McMaster &amp; Children's Hospital:Hamilton
Hamilton Health Sciences,General Site:Hamilton
Hamilton Health Sciences,Juravinski Hospital and Cancer Centre:Hamilton
St Joseph's Centre for Mountain Health Services:Hamilton
St Joseph's Healthcare System,Hamilton:Hamilton</t>
  </si>
  <si>
    <t>McMaster University, 01 Jul 1995  to 30 Jun 1996|Resident 4 - Psychiatry</t>
  </si>
  <si>
    <t>First certificate of registration issued: Postgraduate Education Certificate||Effective:   17 Jun 1991
Transfer of class of registration to: Independent Practice Certificate||Effective:   30 Jun 1992</t>
  </si>
  <si>
    <t>Dr. Jennifer Brasch Medicine Professional Corporation</t>
  </si>
  <si>
    <t>Issued Date:  Jan 03 2006</t>
  </si>
  <si>
    <t>Dr. J. Brasch (CPSO# 63686)</t>
  </si>
  <si>
    <t>St Josephs Healthcare,Room D-018,100 West 5th Street,Hamilton ON  L8N 3K7,(905) 522-1155</t>
  </si>
  <si>
    <t>88432</t>
  </si>
  <si>
    <t xml:space="preserve">Active Member as of 05 Feb 2014 </t>
  </si>
  <si>
    <t xml:space="preserve">Independent Practice as of 05 Feb 2014 </t>
  </si>
  <si>
    <t>Niagara Health,St Catharines Site,1200 Fourth Avenue,St Catharines ON  L2S 0A9</t>
  </si>
  <si>
    <t>(905) 378-4647 Ext. 53804</t>
  </si>
  <si>
    <t>Niagara Health,Greater Niagara General Site,5546 Portage Road,Niagara Falls ON  L2E 6X2,Canada,Phone:(905) 378-4647 Ext. 53804,Fax:(905) 323-7598,County:Regional Municipality of Niagara,Electoral District:04
MedSleep,Suite 204,6453 Morrison Street,Niagara Falls ON  L2E 7H1,Canada,Phone:(905) 374-6453,Fax:(888) 905-6992,County:Regional Municipality of Niagara,Electoral District:04
Niagara Region Mental Health,3550 Schmon Parkway, Suite 2,P.O.Box 1052,Thorold ON  L2V 4T7,Canada,Phone:9059882854,Fax:9056849798,County:Regional Municipality of Niagara,Electoral District:04
Niagara College,Niagara-on-the-Lake Campus,135 Taylor Road,Niagara-on-the-lake ON  L0S 1J0,Canada,Phone:(905) 641-2252 Ext. 4449,Fax:(905) 988-4321,County:Regional Municipality of Niagara,Electoral District:04</t>
  </si>
  <si>
    <t>Psychiatry||Effective: 28 Dec 2013||RCPSC Specialist</t>
  </si>
  <si>
    <t>The University of Western Ontario, 01 Jul 2008  to 30 Jun 2009|PostGrad Yr 1 - Psychiatry
The University of Western Ontario, 01 Jul 2009  to 30 Jun 2010|PostGrad Yr 2 - Psychiatry
The University of Western Ontario, 01 Jul 2010  to 30 Jun 2011|PostGrad Yr 3 - Psychiatry
The University of Western Ontario, 01 Jul 2011  to 30 Jun 2012|PostGrad Yr 4 - Psychiatry
The University of Western Ontario, 01 Jul 2012  to 30 Jun 2013|PostGrad Yr 5 - Psychiatry
The University of Western Ontario, 01 Jul 2013  to 28 Dec 2013|PostGrad Yr 5 - Psychiatry</t>
  </si>
  <si>
    <t>First certificate of registration issued: Postgraduate Education Certificate||Effective:   01 Jul 2008
Expired: Terms and conditions of certificate of registration||Expiry:      28 Dec 2013
Subsequent certificate of registration Issued: Independent Practice Certificate||Effective:   05 Feb 2014</t>
  </si>
  <si>
    <t>Tiffney Medicine Professional Corporation</t>
  </si>
  <si>
    <t>Issued Date:  Jun 27 2014</t>
  </si>
  <si>
    <t>Dr. J. Tiffney (CPSO# 88432)</t>
  </si>
  <si>
    <t>Niagara Health System,St Catharines Site,1200 Fourth Avenue,St Catharines ON  L2S 0A9,(905) 378-4647
Niagara Health System,Niagara Health System,Greater Niagara General Site,5546 Portage Road,Niagara Falls ON  L2E 6X2,(905) 378-4647
Niagara Snoring and Sleep Centre,Niagara Snoring and Sleep Centre,Suite 204,6453 Morrison Street,Niagara Falls ON  L2E 7H1,(905) 374-6453
135 Taylor Road,135 Taylor Road,Niagara-on-the-lake ON  L0S 1J0,(905) 641-2252
2 - 3550 Schmon Parkway,2 - 3550 Schmon Parkway,Thorold ON  L2V 4T7,(905) 988-2854</t>
  </si>
  <si>
    <t>96109</t>
  </si>
  <si>
    <t xml:space="preserve">Active Member as of 11 Nov 2016 </t>
  </si>
  <si>
    <t xml:space="preserve">Independent Practice as of 11 Nov 2016 </t>
  </si>
  <si>
    <t>University of Alberta, 2011</t>
  </si>
  <si>
    <t>UHN Toronto Western Hospital,399 Bathurst Street,Toronto ON  M5T 2S8</t>
  </si>
  <si>
    <t>(416) 603-5800</t>
  </si>
  <si>
    <t>Anishnawbe Health Toronto,179 Gerrard Street East,Toronto ON  M5A 2E5,Canada,Phone:4169202605,County:City of Toronto,Electoral District:10</t>
  </si>
  <si>
    <t>First certificate of registration issued: Postgraduate Education Certificate||Effective:   01 Jul 2011
Expired: Terms and conditions of certificate of registration||Expiry:      30 Jun 2016
Subsequent certificate of registration Issued: Independent Practice Certificate||Effective:   11 Nov 2016</t>
  </si>
  <si>
    <t>Jeremy Riva-Cambrin Medicine Professional Corporation</t>
  </si>
  <si>
    <t>Issued Date:  Aug 02 2018</t>
  </si>
  <si>
    <t>Dr. J. Riva-Cambrin (CPSO# 96109)</t>
  </si>
  <si>
    <t>UHN Toronto Western Hospital,399 Bathurst Street,Toronto ON  M5T 2S8,(416) 603-5800
Anishnawbe Health Toronto,Anishnawbe Health Toronto,179 Gerrard Street East,Toronto ON  M5A 2E5,(416) 920-2605</t>
  </si>
  <si>
    <t>95830</t>
  </si>
  <si>
    <t xml:space="preserve">Active Member as of 29 Jun 2011 </t>
  </si>
  <si>
    <t xml:space="preserve">Restricted as of 29 Jun 2011 </t>
  </si>
  <si>
    <t>Columbia University, 2002</t>
  </si>
  <si>
    <t>Oakville Trafalgar Hospital,3001 Hospital Gate,Oakville, ON,L6M0L8,Oakville ON  L6J 3L8</t>
  </si>
  <si>
    <t>(905) 845-2571 Ext. 5632</t>
  </si>
  <si>
    <t>Psychiatry||Effective: 29 Jun 2011||CPSO Recognized Specialist</t>
  </si>
  <si>
    <t>First certificate of registration issued: Restricted certificate||Effective:   29 Jun 2011
Terms and conditions imposed on certificate by Registration Committee||Effective:   29 Jun 2011
Expiry date attached to certificate of registration.||Expiry Date: 28 Dec 2012
Terms and conditions amended by Registration Committee||Effective:   28 Nov 2013
Terms and conditions amended by Registration Committee||Effective:   02 May 2014
Terms and conditions amended by Registration Committee||Effective:   09 Dec 2014
Expiry date removed from certificate of registration.||Effective:   10 Dec 2014</t>
  </si>
  <si>
    <t>Pyle Medicine Professional Corporation</t>
  </si>
  <si>
    <t>Issued Date:  May 23 2007</t>
  </si>
  <si>
    <t>Dr. J. Butler (CPSO# 95830),Dr. H. Pyle (CPSO# 26697)</t>
  </si>
  <si>
    <t>Suite 117,1060 Speers Road,Oakville ON  L6L 2X4,(905) 845-8884</t>
  </si>
  <si>
    <t>91458</t>
  </si>
  <si>
    <t>North York General Hospital,Branson Site,555 Finch Avenue West,1-South, Room 114,Toronto ON  M2R 1N5</t>
  </si>
  <si>
    <t>(416) 633-9420 Ext. 6006</t>
  </si>
  <si>
    <t>(416) 635-2521</t>
  </si>
  <si>
    <t>Partial Hospitalization Program,North York General Hospital,4001 Leslie Street,7-South, Day Hospital,Toronto ON  M2K 1E1,Canada,Phone:(416) 756-6723,Fax:(416) 756-6427,County:City of Toronto,Electoral District:10</t>
  </si>
  <si>
    <t>110767</t>
  </si>
  <si>
    <t xml:space="preserve">Active Member as of 19 Aug 2016 </t>
  </si>
  <si>
    <t xml:space="preserve">Independent Practice as of 19 Aug 2016 </t>
  </si>
  <si>
    <t>University of Sherbrooke, 1997</t>
  </si>
  <si>
    <t>Joliette Hospital,1000 Boulevard Sainte Anne,Saint-Charles-Borromee QC  J6E 6J2</t>
  </si>
  <si>
    <t>(450) 759-8222</t>
  </si>
  <si>
    <t>First certificate of registration issued: Independent Practice Certificate||Effective:   19 Aug 2016</t>
  </si>
  <si>
    <t>24105</t>
  </si>
  <si>
    <t xml:space="preserve">Active Member as of 20 Aug 1971 </t>
  </si>
  <si>
    <t xml:space="preserve">Independent Practice as of 20 Aug 1971 </t>
  </si>
  <si>
    <t>Suite 122,400 Walmer Road,Toronto ON  M5P 2X7</t>
  </si>
  <si>
    <t>(416) 968-0209</t>
  </si>
  <si>
    <t>Toronto East General Hospital,825 Coxwell Avenue,Toronto ON  M4C 3E7,Canada,Phone:(416) 469-6580 Ext. 6210,Fax:(416) 469-6805,County:City of Toronto,Electoral District:10</t>
  </si>
  <si>
    <t>Psychiatry||Effective: 18 Nov 1974||RCPSC Specialist</t>
  </si>
  <si>
    <t>First certificate of registration issued: Postgraduate Education Certificate||Effective:   25 Jul 1969
Transfer of class of registration to: Independent Practice Certificate||Effective:   20 Aug 1971</t>
  </si>
  <si>
    <t>18678</t>
  </si>
  <si>
    <t xml:space="preserve">Active Member as of 17 Jun 1963 </t>
  </si>
  <si>
    <t xml:space="preserve">Independent Practice as of 17 Jun 1963 </t>
  </si>
  <si>
    <t>First certificate of registration issued: Independent Practice Certificate||Effective:   17 Jun 1963</t>
  </si>
  <si>
    <t>22790</t>
  </si>
  <si>
    <t xml:space="preserve">Active Member as of 19 Jun 1970 </t>
  </si>
  <si>
    <t xml:space="preserve">Independent Practice as of 19 Jun 1970 </t>
  </si>
  <si>
    <t>Centre for Addiction and Mental,Health,Room 305,250 College Street,Toronto ON  M5T 1R8</t>
  </si>
  <si>
    <t>(416) 979-4279</t>
  </si>
  <si>
    <t>(416) 979-4730</t>
  </si>
  <si>
    <t>First certificate of registration issued: Postgraduate Education Certificate||Effective:   15 Jun 1969
Transfer of class of registration to: Independent Practice Certificate||Effective:   19 Jun 1970</t>
  </si>
  <si>
    <t>21992</t>
  </si>
  <si>
    <t xml:space="preserve">Active Member as of 01 Mar 2014 </t>
  </si>
  <si>
    <t xml:space="preserve">Independent Practice as of 08 Aug 2016 </t>
  </si>
  <si>
    <t>Suite 1022,790 Bay Street,Toronto ON  M5G 1N8</t>
  </si>
  <si>
    <t>(416) 922-7723</t>
  </si>
  <si>
    <t>First certificate of registration issued: Postgraduate Education Certificate||Effective:   30 Oct 1968
Transfer of class of registration to: Independent Practice Certificate||Effective:   24 Jun 1969
Expired: Resigned from membership.||Expiry:      30 Jun 1979
Subsequent certificate of registration Issued: Independent Practice Certificate||Effective:   06 Mar 1981
Transfer of class of certificate to: Restricted certificate||Effective:   18 Nov 2013
Terms and conditions imposed on certificate||Effective:   18 Nov 2013
Suspension of registration imposed: Discipline Committee||Effective:   01 Dec 2013
Suspension of registration removed||Effective:   01 Mar 2014
Transfer of class of registration to: Independent Practice Certificate||Effective:   08 Aug 2016</t>
  </si>
  <si>
    <t>92879</t>
  </si>
  <si>
    <t xml:space="preserve">Independent Practice as of 31 May 2016 </t>
  </si>
  <si>
    <t>University of Ottawa, 2010</t>
  </si>
  <si>
    <t>Hamiton Program for Schizophrenia,20 Hughson Street South,Suite 405,Hamilton ON  L8N 2A1</t>
  </si>
  <si>
    <t>(905) 525-2832</t>
  </si>
  <si>
    <t>905-546-0055</t>
  </si>
  <si>
    <t>100 West 5th Street,Harbour North 2,Hamilton ON  L8N 3K7,Canada,Phone:905-522-1155 Ext. 36294,Fax:905-381-5602,County:Regional Municipality of Hamilton-Wentworth,Electoral District:04</t>
  </si>
  <si>
    <t>Psychiatry||Effective: 31 May 2016||RCPSC Specialist</t>
  </si>
  <si>
    <t>McMaster University, 01 Jul 2010  to 30 Jun 2011|PostGrad Yr 1 - Psychiatry
McMaster University, 01 Jul 2011  to 30 Jun 2012|PostGrad Yr 2 - Psychiatry
McMaster University, 01 Jul 2012  to 31 Mar 2013|PostGrad Yr 2 - Psychiatry
McMaster University, 01 Apr 2013  to 30 Jun 2013|PostGrad Yr 3 - Psychiatry
McMaster University, 01 Jul 2013  to 31 Mar 2014|PostGrad Yr 3 - Psychiatry
McMaster University, 01 Apr 2014  to 30 Jun 2014|PostGrad Yr 4 - Psychiatry
McMaster University, 01 Jul 2014  to 31 Mar 2015|PostGrad Yr 4 - Psychiatry
McMaster University, 01 Apr 2015  to 30 Jun 2015|PostGrad Yr 5 - Psychiatry
McMaster University, 01 Jul 2015  to 31 Mar 2016|PostGrad Yr 5 - Psychiatry
McMaster University, 01 Apr 2016  to 31 May 2016|PostGrad Yr 5 - Psychiatry</t>
  </si>
  <si>
    <t>First certificate of registration issued: Postgraduate Education Certificate||Effective:   01 Jul 2010
Transfer of class of registration to: Independent Practice Certificate||Effective:   31 May 2016</t>
  </si>
  <si>
    <t>93730</t>
  </si>
  <si>
    <t xml:space="preserve">Independent Practice as of 09 Feb 2018 </t>
  </si>
  <si>
    <t>St Josephs Healthcare Hamilton,West 5th Campus,Geriatrics Room D183,100 West 5th Street,Hamilton ON  L8N3K7</t>
  </si>
  <si>
    <t>9055221155</t>
  </si>
  <si>
    <t>Hamilton Health Sciences,General Site:Hamilton
Hamilton Health Sciences,Juravinski Hospital and Cancer Centre:Hamilton
St Joseph's Healthcare System,Hamilton:Hamilton</t>
  </si>
  <si>
    <t>Psychiatry||Effective: 20 Aug 2016||RCPSC Specialist</t>
  </si>
  <si>
    <t>McMaster University, 01 Jul 2010  to 30 Jun 2011|PostGrad Yr 1 - Psychiatry
McMaster University, 01 Jul 2011  to 30 Jun 2012|PostGrad Yr 2 - Psychiatry
McMaster University, 01 Jul 2012  to 30 Jun 2013|PostGrad Yr 3 - Psychiatry
McMaster University, 01 Jul 2013  to 30 Sep 2013|PostGrad Yr 3 - Psychiatry
McMaster University, 01 Oct 2013  to 30 Jun 2014|PostGrad Yr 3 - Psychiatry
McMaster University, 01 Jul 2014  to 30 Jun 2015|PostGrad Yr 4 - Psychiatry
McMaster University, 01 Jul 2015  to 30 Jun 2016|PostGrad Yr 5 - Geriatric Psychiatry
McMaster University, 01 Jul 2016  to 20 Aug 2016|PostGrad Yr 5 - Geriatric Psychiatry
McMaster University, 21 Aug 2016  to 30 Jun 2017|PostGrad Yr 6 - Geriatric Psychiatry
McMaster University, 01 Jul 2017  to 19 Feb 2018|PostGrad Yr 6 - Geriatric Psychiatry</t>
  </si>
  <si>
    <t>First certificate of registration issued: Postgraduate Education Certificate||Effective:   01 Jul 2010
Transfer of class of registration to: Independent Practice Certificate||Effective:   09 Feb 2018</t>
  </si>
  <si>
    <t>Alexander Rabinovich Medicine Professional Corporation</t>
  </si>
  <si>
    <t>Issued Date:  Sep 13 2010</t>
  </si>
  <si>
    <t>Dr. J. Waserman (CPSO# 93730),Dr. A. Rabinovich (CPSO# 80696)</t>
  </si>
  <si>
    <t>1508 Upper James Street,Hamilton ON  L9B 1K3,(905) 385-4261
114 - 50 Dundurn Street South,114 - 50 Dundurn Street South,Hamilton ON  L8P 4W3,(289) 389-8181
114 - 50 Dundurn Street South,114 - 50 Dundurn Street South,Hamilton ON  L8P 4W3,(289) 389-818</t>
  </si>
  <si>
    <t>Jessica E. Waserman Medicine Professional Corporation</t>
  </si>
  <si>
    <t>Issued Date:  Jan 07 2016</t>
  </si>
  <si>
    <t>Dr. J. Waserman (CPSO# 93730)</t>
  </si>
  <si>
    <t>HHS McMaster University Medical Centre,Department of Psychiatry,1200 Main Street West,Hamilton ON  L8N 3Z5,(905) 525-2100</t>
  </si>
  <si>
    <t>100438</t>
  </si>
  <si>
    <t xml:space="preserve">Active Member as of 08 Aug 2018 </t>
  </si>
  <si>
    <t xml:space="preserve">Independent Practice as of 08 Aug 2018 </t>
  </si>
  <si>
    <t>Mount Sinai Hospital,600 University Avenue,9th Floor,Toronto ON  M5G 1X5</t>
  </si>
  <si>
    <t>416-586-4800 Ext. 4568</t>
  </si>
  <si>
    <t>Psychiatry||Effective: 06 Aug 2018||RCPSC Specialist</t>
  </si>
  <si>
    <t>University of Toronto, 01 Jul 2013  to 30 Jun 2014|PostGrad Yr 1 - Psychiatry
University of Toronto, 01 Jul 2014  to 30 Jun 2015|PostGrad Yr 2 - Psychiatry
University of Toronto, 01 Jul 2015  to 30 Jun 2016|PostGrad Yr 3 - Psychiatry
University of Toronto, 01 Jul 2016  to 30 Jun 2017|PostGrad Yr 4 - Psychiatry
University of Toronto, 01 Jul 2017  to 06 Aug 2017|PostGrad Yr 4 - Psychiatry
University of Toronto, 07 Aug 2017  to 30 Jun 2018|PostGrad Yr 5 - Psychiatry
University of Toronto, 01 Jul 2018  to 06 Aug 2018|PostGrad Yr 5 - Psychiatry</t>
  </si>
  <si>
    <t>First certificate of registration issued: Postgraduate Education Certificate||Effective:   01 Jul 2013
Expired: Terms and conditions of certificate of registration||Expiry:      06 Aug 2018
Subsequent certificate of registration Issued: Independent Practice Certificate||Effective:   08 Aug 2018</t>
  </si>
  <si>
    <t>93735</t>
  </si>
  <si>
    <t xml:space="preserve">Active Member as of 29 Sep 2016 </t>
  </si>
  <si>
    <t xml:space="preserve">Independent Practice as of 29 Sep 2016 </t>
  </si>
  <si>
    <t>CAMH - 100 Stokes St. 3rd floor,Toronto ON  M6J 1H4</t>
  </si>
  <si>
    <t>416-595-6821</t>
  </si>
  <si>
    <t>First certificate of registration issued: Postgraduate Education Certificate||Effective:   01 Jul 2010
Expired: Terms and conditions of certificate of registration||Expiry:      30 Jun 2015
Subsequent certificate of registration Issued: Independent Practice Certificate||Effective:   29 Sep 2016</t>
  </si>
  <si>
    <t>113585</t>
  </si>
  <si>
    <t xml:space="preserve">Independent Practice as of 11 Jul 2018 </t>
  </si>
  <si>
    <t>Medical University of the Americas, 2012</t>
  </si>
  <si>
    <t>Waypoint Centre for Mental Health,500 Church Street,Penetanguishene, ON,L9M 1G3,Penetanguishene ON  L9M 1G3</t>
  </si>
  <si>
    <t>University of Toronto, 01 Aug 2017  to 30 Jun 2018|Clinical Fellow - Psychiatry
University of Toronto, 01 Jul 2018  to 31 Jul 2018|Clinical Fellow - Psychiatry</t>
  </si>
  <si>
    <t>First certificate of registration issued: Postgraduate Education Certificate||Effective:   01 Aug 2017
Transfer of class of registration to: Independent Practice Certificate||Effective:   11 Jul 2018</t>
  </si>
  <si>
    <t>79123</t>
  </si>
  <si>
    <t xml:space="preserve">Active Member as of 05 Aug 2008 </t>
  </si>
  <si>
    <t xml:space="preserve">Independent Practice as of 05 Aug 2008 </t>
  </si>
  <si>
    <t>North York General Hospital,Branson Division 5th Floor,Child &amp; Adolescent Psychiatry,555 Finch Avenue West,Toronto ON  M2R 1N5</t>
  </si>
  <si>
    <t>(416) 632-8703</t>
  </si>
  <si>
    <t>(416) 632-8704</t>
  </si>
  <si>
    <t>First certificate of registration issued: Postgraduate Education Certificate||Effective:   01 Jul 2003
Expired: Terms and conditions of certificate of registration||Expiry:      30 Jun 2008
Subsequent certificate of registration Issued: Independent Practice Certificate||Effective:   05 Aug 2008</t>
  </si>
  <si>
    <t>29861</t>
  </si>
  <si>
    <t xml:space="preserve">Active Member as of 24 Apr 1978 </t>
  </si>
  <si>
    <t xml:space="preserve">Independent Practice as of 24 Apr 1978 </t>
  </si>
  <si>
    <t>Irish Conjoint Board, 1974</t>
  </si>
  <si>
    <t>2168 Beaumont Road,Ottawa ON  K1H 5V3</t>
  </si>
  <si>
    <t>(613) 739-1059</t>
  </si>
  <si>
    <t>(613) 737-7053</t>
  </si>
  <si>
    <t>First certificate of registration issued: Independent Practice Certificate||Effective:   24 Apr 1978</t>
  </si>
  <si>
    <t>76106</t>
  </si>
  <si>
    <t>Suite 108,235 St Clair Avenue West,Toronto ON  M4V 1R4</t>
  </si>
  <si>
    <t>647-648-6095</t>
  </si>
  <si>
    <t>(647) 484-1909</t>
  </si>
  <si>
    <t>70025</t>
  </si>
  <si>
    <t xml:space="preserve">Independent Practice as of 14 Feb 2002 </t>
  </si>
  <si>
    <t>St Joseph's Healthcare,Centre for Mountain Health Services,P O Box 585,100 West 5th,Hamilton ON  L9C 3N5</t>
  </si>
  <si>
    <t>(905) 522-1155 Ext. 36602</t>
  </si>
  <si>
    <t>Psychiatry||Effective: 30 Sep 2001||RCPSC Specialist</t>
  </si>
  <si>
    <t>McMaster University, 01 Jul 1996  to 30 Jun 1997|PostGrad Yr 1 - Psychiatry
McMaster University, 01 Jul 1997  to 30 Jun 1998|PostGrad Yr 2 - Psychiatry
McMaster University, 01 Jul 1998  to 30 Jun 1999|PostGrad Yr 3 - Psychiatry
McMaster University, 01 Jul 1999  to 30 Sep 1999|PostGrad Yr 3 - Psychiatry
McMaster University, 01 Oct 1999  to 30 Sep 2000|PostGrad Yr 4 - Psychiatry
McMaster University, 01 Oct 2000  to 30 Jun 2001|PostGrad Yr 5 - Psychiatry
McMaster University, 01 Jul 2001  to 31 Mar 2002|PostGrad Yr 5 - Psychiatry</t>
  </si>
  <si>
    <t>First certificate of registration issued: Postgraduate Education Certificate||Effective:   01 Jul 1996
Transfer of class of registration to: Independent Practice Certificate||Effective:   14 Feb 2002</t>
  </si>
  <si>
    <t>J Corey Medicine Professional Corporation</t>
  </si>
  <si>
    <t>Issued Date:  Mar 09 2016</t>
  </si>
  <si>
    <t>Dr. J. Corey (CPSO# 70025)</t>
  </si>
  <si>
    <t>100 West 5th Street,Hamilton ON  L8N 3Y7,(905) 522-1155
St Joseph's Healthcare,St Joseph's Healthcare,Centre for Mountain Health Services,P.O. Box 585,100 West 5th Street,Hamilton ON  L9C 3N5,(905) 541-7780</t>
  </si>
  <si>
    <t>21432</t>
  </si>
  <si>
    <t>30 Mohawk Road,London ON  N6G 2P5</t>
  </si>
  <si>
    <t>(519) 642-2152</t>
  </si>
  <si>
    <t>Psychiatry||Effective: 01 Jan 1972||RCPSC Specialist</t>
  </si>
  <si>
    <t>51681</t>
  </si>
  <si>
    <t xml:space="preserve">Independent Practice as of 23 Jul 1984 </t>
  </si>
  <si>
    <t>187 James st south,Hamilton ON  L8P 3A8</t>
  </si>
  <si>
    <t>(905) 521-1952</t>
  </si>
  <si>
    <t>(905) 521-9058</t>
  </si>
  <si>
    <t>200 Division st,Welland ON  L3B 4A2,Canada,Phone:905 688 2854,Fax:9056849798,County:Regional Municipality of Niagara,Electoral District:04</t>
  </si>
  <si>
    <t>Hamilton Health Sciences,General Site:Hamilton
Niagara Health System Ontario Street Site:St Catharines
St Joseph's Healthcare System,Hamilton:Hamilton</t>
  </si>
  <si>
    <t>First certificate of registration issued: Postgraduate Education Certificate||Effective:   01 Jul 1980
Transfer of class of registration to: Independent Practice Certificate||Effective:   23 Jul 1984</t>
  </si>
  <si>
    <t>24609</t>
  </si>
  <si>
    <t xml:space="preserve">Active Member as of 19 Jun 1972 </t>
  </si>
  <si>
    <t xml:space="preserve">Independent Practice as of 19 Jun 1972 </t>
  </si>
  <si>
    <t>Waypoint Centre for Mental Health,Care (Mental Health Centre Penetang,Sans Souci Program,500 Church Street,Penetanguishene ON  L9M 1G3</t>
  </si>
  <si>
    <t>(705) 549-3181 Ext. 2845</t>
  </si>
  <si>
    <t>(705) 549-6180</t>
  </si>
  <si>
    <t>First certificate of registration issued: Postgraduate Education Certificate||Effective:   15 Jun 1971
Transfer of class of registration to: Independent Practice Certificate||Effective:   19 Jun 1972</t>
  </si>
  <si>
    <t>96686</t>
  </si>
  <si>
    <t xml:space="preserve">Active Member as of 10 Aug 2011 </t>
  </si>
  <si>
    <t xml:space="preserve">Independent Practice as of 10 Aug 2011 </t>
  </si>
  <si>
    <t>Spartan Health Sciences University, 2001</t>
  </si>
  <si>
    <t>76 Nottawasaga Street,Orillia ON  L3V3J4</t>
  </si>
  <si>
    <t>705 329-5846</t>
  </si>
  <si>
    <t>Psychiatry||Effective: 04 May 2010||RCPSC Specialist</t>
  </si>
  <si>
    <t>First certificate of registration issued: Independent Practice Certificate||Effective:   10 Aug 2011</t>
  </si>
  <si>
    <t>56244</t>
  </si>
  <si>
    <t xml:space="preserve">Active Member as of 01 Aug 1985 </t>
  </si>
  <si>
    <t xml:space="preserve">Independent Practice as of 01 Aug 1985 </t>
  </si>
  <si>
    <t>McGill University, 1973</t>
  </si>
  <si>
    <t>(613) 230-5550</t>
  </si>
  <si>
    <t>First certificate of registration issued: Independent Practice Certificate||Effective:   01 Aug 1985</t>
  </si>
  <si>
    <t>63227</t>
  </si>
  <si>
    <t xml:space="preserve">Active Member as of 26 Oct 1990 </t>
  </si>
  <si>
    <t xml:space="preserve">Independent Practice as of 26 Oct 1990 </t>
  </si>
  <si>
    <t>North York General Hospital,Branson Division,555 Finch Avenue West,North York ON  M2R 1N5</t>
  </si>
  <si>
    <t>(416) 635-2410</t>
  </si>
  <si>
    <t>First certificate of registration issued: Independent Practice Certificate||Effective:   26 Oct 1990</t>
  </si>
  <si>
    <t>Joan M. Tucker Medicine Professional Corporation</t>
  </si>
  <si>
    <t>Issued Date:  Jan 09 2015</t>
  </si>
  <si>
    <t>Dr. J. Tucker (CPSO# 63227)</t>
  </si>
  <si>
    <t>North York General Hospital,Branson Division,Suite 117,555 Finch Avenue West,Toronto ON  M2R 1N5,(416) 635-2410</t>
  </si>
  <si>
    <t>73460</t>
  </si>
  <si>
    <t xml:space="preserve">Active Member as of 10 Mar 2006 </t>
  </si>
  <si>
    <t xml:space="preserve">Independent Practice as of 10 Mar 2006 </t>
  </si>
  <si>
    <t>Memorial University of Newfoundland, 1998</t>
  </si>
  <si>
    <t>Womens College Hospital,Department of Psychiatry,76 Grenville Street,Toronto ON  M5S 1B2</t>
  </si>
  <si>
    <t>Ryerson Medical Centre,W181 West Kerr Hall,350 Victoria Street,Toronto ON  M5B 2K3,Canada,Phone:(416) 979-5070,County:City of Toronto,Electoral District:10
Ryerson Medical Centre,W181 West Kerr Hall,350 Victoria Street,Toronto ON  M5B 2K3,Canada,Phone:(416) 979-5070,County:City of Toronto,Electoral District:10</t>
  </si>
  <si>
    <t>University of Toronto, 01 Jul 1999  to 30 Jun 2000|PostGrad Yr 1 - Family Medicine
University of Toronto, 01 Jul 2000  to 11 Feb 2001|PostGrad Yr 2 - Family Medicine
University of Toronto, 12 Feb 2001  to 30 Jun 2001|PostGrad Yr 2 - Psychiatry
University of Toronto, 01 Jul 2001  to 30 Jun 2002|PostGrad Yr 2 - Psychiatry
University of Toronto, 01 Jul 2002  to 30 Jun 2003|PostGrad Yr 3 - Psychiatry
University of Toronto, 01 Jul 2003  to 31 Dec 2003|PostGrad Yr 4 - Psychiatry
University of Toronto, 01 Jan 2004  to 30 Jun 2004|PostGrad Yr 5 - Psychiatry
University of Toronto, 01 Jul 2004  to 31 Dec 2004|PostGrad Yr 5 - Psychiatry
University of Toronto, 01 Jan 2005  to 11 Mar 2005|Clinical Fellow - Psychiatry</t>
  </si>
  <si>
    <t>First certificate of registration issued: Postgraduate Education Certificate||Effective:   01 Jul 1999
Expired: Terms and conditions of certificate of registration||Expiry:      11 Mar 2005
Subsequent certificate of registration Issued: Independent Practice Certificate||Effective:   10 Mar 2006</t>
  </si>
  <si>
    <t>94034</t>
  </si>
  <si>
    <t xml:space="preserve">Active Member as of 15 Jul 2016 </t>
  </si>
  <si>
    <t xml:space="preserve">Independent Practice as of 15 Jul 2016 </t>
  </si>
  <si>
    <t>Main East Medical,685 Main Street East,Hamilton ON  L8M 1K4</t>
  </si>
  <si>
    <t>289-396-2316</t>
  </si>
  <si>
    <t>St. Joseph's Healthcare Hamilton,West 5th Campus,100 West 5th Street,Psychotherapy Centre,Hamilton ON  L9C 0E3,Canada,Phone:(905) 522-1155 Ext. 39881,County:Regional Municipality of Hamilton-Wentworth,Electoral District:04</t>
  </si>
  <si>
    <t>McMaster University, 01 Jul 2010  to 30 Jun 2011|PostGrad Yr 1 - Psychiatry
McMaster University, 01 Jul 2011  to 30 Jun 2012|PostGrad Yr 2 - Psychiatry
McMaster University, 01 Jul 2012  to 30 Jun 2013|PostGrad Yr 3 - Psychiatry
McMaster University, 01 Jul 2013  to 30 Jun 2014|PostGrad Yr 4 - Psychiatry
McMaster University, 01 Jul 2014  to 30 Jun 2015|PostGrad Yr 5 - Psychiatry
McMaster University, 01 Jul 2015  to 30 Jun 2016|PostGrad Yr 5 - Psychiatry</t>
  </si>
  <si>
    <t>First certificate of registration issued: Postgraduate Education Certificate||Effective:   01 Jul 2010
Expired: Terms and conditions of certificate of registration||Expiry:      30 Jun 2016
Subsequent certificate of registration Issued: Independent Practice Certificate||Effective:   15 Jul 2016</t>
  </si>
  <si>
    <t>Jarecki Medicine Professional Corporation</t>
  </si>
  <si>
    <t>Issued Date:  Oct 12 2016</t>
  </si>
  <si>
    <t>Dr. J. Jarecki (CPSO# 94034)</t>
  </si>
  <si>
    <t>St Joseph's Healthcare Hamilton,Cleghorn Early Intervention Clinic,100 West 5th Street,Hamilton ON  L8N 3K7,(905) 522-1155
685 Main Street East,685 Main Street East,Hamilton ON  L8M 1K4,(289) 396-2316</t>
  </si>
  <si>
    <t>79072</t>
  </si>
  <si>
    <t xml:space="preserve">Active Member as of 03 Feb 2009 </t>
  </si>
  <si>
    <t xml:space="preserve">Independent Practice as of 03 Feb 2009 </t>
  </si>
  <si>
    <t>Gwiazda, Joanna Karolina (used until: 27 Jan 2009 )</t>
  </si>
  <si>
    <t>Queen's University, 01 Jul 2003  to 30 Jun 2004|PostGrad Yr 1 - Psychiatry
Queen's University, 01 Jul 2004  to 30 Jun 2005|PostGrad Yr 2 - Psychiatry</t>
  </si>
  <si>
    <t>First certificate of registration issued: Postgraduate Education Certificate||Effective:   01 Jul 2003
Expired: Terms and conditions of certificate of registration||Expiry:      30 Jun 2005
Subsequent certificate of registration Issued: Independent Practice Certificate||Effective:   03 Feb 2009</t>
  </si>
  <si>
    <t>J. Kis Medicine Professional Corporation</t>
  </si>
  <si>
    <t>Issued Date:  Dec 15 2010</t>
  </si>
  <si>
    <t>Dr. J. Kis (CPSO# 79072)</t>
  </si>
  <si>
    <t>84682</t>
  </si>
  <si>
    <t>Sunnybrook Health Sciences Centre,Department of Psychiatry,2075 Bayview Avenue, Suite FG29,Toronto ON  M4N 3M5</t>
  </si>
  <si>
    <t>Joanna Mansfield Medicine Professional Corporation</t>
  </si>
  <si>
    <t>Issued Date:  Jun 22 2011</t>
  </si>
  <si>
    <t>Dr. J. Mansfield (CPSO# 84682)</t>
  </si>
  <si>
    <t>Sunnybrook Health Sciences Centre,Department of Psychiatry,Suite FG29,2075 Bayview Avenue,Toronto ON  M4N 3M5,(416) 480-5677</t>
  </si>
  <si>
    <t>59494</t>
  </si>
  <si>
    <t xml:space="preserve">Independent Practice as of 19 Jun 1989 </t>
  </si>
  <si>
    <t>Trillium Health Partners,Mississauga site,100 Queensway West,Mississauga L5B 1B8,Mississauga ON  L5B 1B8</t>
  </si>
  <si>
    <t>905-848-7100</t>
  </si>
  <si>
    <t>University of Toronto, 13 Jun 1988  to 12 Jun 1989|Other - Rotating Internship
University of Ottawa, 01 Jul 1992  to 30 Jun 1993|Resident 1 - Psychiatry
University of Ottawa, 01 Jul 1993  to 30 Jun 1994|Resident 2 - Psychiatry
University of Ottawa, 01 Jul 1994  to 30 Jun 1995|Resident 3 - Psychiatry
University of Ottawa, 01 Jul 1995  to 30 Jun 1996|Resident 4 - Psychiatry</t>
  </si>
  <si>
    <t>First certificate of registration issued: Postgraduate Education Certificate||Effective:   13 Jun 1988
Transfer of class of registration to: Independent Practice Certificate||Effective:   19 Jun 1989</t>
  </si>
  <si>
    <t>Dominic Rosso Medicine Professional Corporation</t>
  </si>
  <si>
    <t>Dr. J. Grenier (CPSO# 59494),Dr. D. Rosso (CPSO# 62250)</t>
  </si>
  <si>
    <t>100 Queensway West,Mississauga ON  L5B 1B8,(905) 848-7549</t>
  </si>
  <si>
    <t>56705</t>
  </si>
  <si>
    <t xml:space="preserve">Active Member as of 20 May 1986 </t>
  </si>
  <si>
    <t xml:space="preserve">Independent Practice as of 20 May 1986 </t>
  </si>
  <si>
    <t>St. Joseph's Health Centre,7G - 134 - 30 The Queensway,Toronto ON  M6R 1B5</t>
  </si>
  <si>
    <t>(416) 530-4134</t>
  </si>
  <si>
    <t>St Joseph's Health Centre,Toronto:Toronto
University Health Network,Toronto General Hospital Site:Toronto
University Health Network,Toronto Western Hospital Site:Toronto</t>
  </si>
  <si>
    <t>First certificate of registration issued: Independent Practice Certificate||Effective:   20 May 1986</t>
  </si>
  <si>
    <t>68342</t>
  </si>
  <si>
    <t>Queen's University, 1994</t>
  </si>
  <si>
    <t>4141 E Dickenson Place,Denver CO  80222,United States</t>
  </si>
  <si>
    <t>(303) 504-6565</t>
  </si>
  <si>
    <t>(303) 321-1040</t>
  </si>
  <si>
    <t>4455 E. 12th. Ave.,Denver CO  80220,United States,Phone:720-232-6133,Fax:303-504-7992,County:Electoral District</t>
  </si>
  <si>
    <t>USA - Colorado</t>
  </si>
  <si>
    <t>86561</t>
  </si>
  <si>
    <t>Unit 403,265 Yorkland Boulevard,Toronto ON  M2J 1S5</t>
  </si>
  <si>
    <t>(416) 229-2399</t>
  </si>
  <si>
    <t>(416) 229-9771</t>
  </si>
  <si>
    <t>South Bruce Grey Health Centre,Walkerton Site:Walkerton</t>
  </si>
  <si>
    <t>Joel Shapiro Medicine Professional Corporation</t>
  </si>
  <si>
    <t>Issued Date:  Nov 28 2013</t>
  </si>
  <si>
    <t>Dr. J. Shapiro (CPSO# 86561)</t>
  </si>
  <si>
    <t>400 - 164 Eglinton Avenue East,Toronto ON  M4P 1G4,(416) 921-2273
Unit 403,Unit 403,265 Yorkland Boulevard,Toronto ON  M2J 1S5,(416) 229-2399</t>
  </si>
  <si>
    <t>79344</t>
  </si>
  <si>
    <t xml:space="preserve">Active Member as of 01 Jun 2015 </t>
  </si>
  <si>
    <t xml:space="preserve">Independent Practice as of 01 Jun 2015 </t>
  </si>
  <si>
    <t>Psychiatry||Effective: 30 Jun 2008||RCPSC Specialist
Forensic Psychiatry||Effective: 26 Sep 2013||RCPSC Specialist</t>
  </si>
  <si>
    <t>University of Ottawa, 01 Jul 2003  to 30 Jun 2004|PostGrad Yr 1 - Psychiatry
University of Ottawa, 01 Jul 2004  to 30 Jun 2005|PostGrad Yr 2 - Psychiatry
University of Ottawa, 01 Jul 2005  to 30 Jun 2006|PostGrad Yr 3 - Psychiatry
University of Ottawa, 01 Jul 2006  to 30 Jun 2007|PostGrad Yr 4 - Psychiatry
University of Ottawa, 01 Jul 2007  to 30 Jun 2008|PostGrad Yr 5 - Psychiatry</t>
  </si>
  <si>
    <t>First certificate of registration issued: Postgraduate Education Certificate||Effective:   01 Jul 2003
Expired: Terms and conditions of certificate of registration||Expiry:      30 Jun 2008
Subsequent certificate of registration Issued: Independent Practice Certificate||Effective:   01 Jun 2015</t>
  </si>
  <si>
    <t>J. C. Watts Medicine Professional Corporation</t>
  </si>
  <si>
    <t>Issued Date:  Mar 29 2017</t>
  </si>
  <si>
    <t>Dr. J. Watts (CPSO# 79344)</t>
  </si>
  <si>
    <t>33681</t>
  </si>
  <si>
    <t xml:space="preserve">Active Member as of 28 Jan 1987 </t>
  </si>
  <si>
    <t xml:space="preserve">Independent Practice as of 28 Jan 1987 </t>
  </si>
  <si>
    <t>250 Harding Boulevard,Suite 301,Richmond Hill ON  L4C 9M7</t>
  </si>
  <si>
    <t>(905) 884-5387</t>
  </si>
  <si>
    <t>Mackenzie Health,10 Trench Street,Richmond Hill ON  L4C 4Z3,Canada,Phone:(905) 883-1212,County:Regional Municipality of York,Electoral District:05</t>
  </si>
  <si>
    <t>First certificate of registration issued: Postgraduate Education Certificate||Effective:   15 Jun 1981
Transfer of class of registration to: Independent Practice Certificate||Effective:   20 Aug 1982
Expired: Resigned from membership.||Expiry:      01 Jul 1985
Subsequent certificate of registration Issued: Independent Practice Certificate||Effective:   28 Jan 1987</t>
  </si>
  <si>
    <t>Joel N. Eisen Medicine Professional Corporation</t>
  </si>
  <si>
    <t>Issued Date:  Feb 14 2006</t>
  </si>
  <si>
    <t>Dr. J. Eisen (CPSO# 33681)</t>
  </si>
  <si>
    <t>301 - 250 Harding Boulevard West,Richmond Hill ON  L4C 9M7,(905) 884-5387</t>
  </si>
  <si>
    <t>51467</t>
  </si>
  <si>
    <t xml:space="preserve">Independent Practice as of 11 Sep 1984 </t>
  </si>
  <si>
    <t>Eli Lilly Canada,3650 Danforth Avenue,Toronto ON  M1N 2E8</t>
  </si>
  <si>
    <t>(416) 930-7466</t>
  </si>
  <si>
    <t>(416) 699-7352</t>
  </si>
  <si>
    <t>First certificate of registration issued: Postgraduate Education Certificate||Effective:   15 Jun 1981
Transfer of class of registration to: Independent Practice Certificate||Effective:   11 Sep 1984</t>
  </si>
  <si>
    <t>Lieff Medicine Professional Corporation</t>
  </si>
  <si>
    <t>Issued Date:  Sep 25 2009</t>
  </si>
  <si>
    <t>Dr. S. Lieff (CPSO# 51920),Dr. J. Raskin (CPSO# 51467)</t>
  </si>
  <si>
    <t>Baycrest Hospital,Department of Psychiatry,Suite 4E44A,3560 Bathurst Street,Toronto ON  M6A 2E1,(416) 785-2500</t>
  </si>
  <si>
    <t>21963</t>
  </si>
  <si>
    <t xml:space="preserve">Active Member as of 23 Jun 1969 </t>
  </si>
  <si>
    <t xml:space="preserve">Independent Practice as of 23 Jun 1969 </t>
  </si>
  <si>
    <t>Suite L1 012,60 Murray Street,Toronto ON  M5T 3L9</t>
  </si>
  <si>
    <t>416 586 5262</t>
  </si>
  <si>
    <t>416 586 3231</t>
  </si>
  <si>
    <t>Baycrest Hospital:Toronto
Centre of Addiction &amp; Mental Health,- College Street Site:Toronto
Mount Sinai Hospital:Toronto</t>
  </si>
  <si>
    <t>Psychiatry||Effective: 19 Nov 1973||RCPSC Specialist</t>
  </si>
  <si>
    <t>First certificate of registration issued: Postgraduate Education Certificate||Effective:   01 Jul 1968
Transfer of class of registration to: Independent Practice Certificate||Effective:   23 Jun 1969</t>
  </si>
  <si>
    <t>Joel Sadavoy Medicine Professional Corporation</t>
  </si>
  <si>
    <t>Issued Date:  Oct 17 2008</t>
  </si>
  <si>
    <t>Dr. J. Sadavoy (CPSO# 21963)</t>
  </si>
  <si>
    <t>Mount Sinai Hospital,Lebovic Building,L1 - 012,60 Murray Steret,Toronto ON  M5T 3L9,(416) 586-5262</t>
  </si>
  <si>
    <t>77643</t>
  </si>
  <si>
    <t>Nadeau, Johane Murielle (used until: 23 Jun 2002 )</t>
  </si>
  <si>
    <t>University of Ottawa, 2002</t>
  </si>
  <si>
    <t>Royal Ottawa Health Care Group,1145 Carling Avenue,Ottawa ON  K1Z 7K4</t>
  </si>
  <si>
    <t>Brockville General Hospital:Brockville
Ottawa Hospital,Civic Site:Ottawa
Ottawa Hospital,General Site:Ottawa
Ottawa Hospital,Riverside Site:Ottawa
Royal Ottawa Health Care Group:Ottawa
Royal Ottawa Health Care Group,Brockville Mental Health Centre:Brockville</t>
  </si>
  <si>
    <t>Psychiatry||Effective: 30 Jun 2007||RCPSC Specialist
Geriatric Psychiatry||Effective: 21 Sep 2015||RCPSC Specialist</t>
  </si>
  <si>
    <t>University of Ottawa, 01 Jul 2002  to 30 Jun 2003|PostGrad Yr 1 - Psychiatry
University of Ottawa, 01 Jul 2003  to 30 Jun 2004|PostGrad Yr 2 - Psychiatry
University of Ottawa, 01 Jul 2004  to 30 Jun 2005|PostGrad Yr 3 - Psychiatry
University of Ottawa, 01 Jul 2005  to 30 Jun 2006|PostGrad Yr 4 - Psychiatry
University of Ottawa, 01 Jul 2006  to 30 Jun 2007|PostGrad Yr 5 - Psychiatry
University of Ottawa, 02 Jul 2007  to 21 Dec 2007|Clinical Fellow - Psychiatry</t>
  </si>
  <si>
    <t>Johane Nadeau Medicine Professional Corporation</t>
  </si>
  <si>
    <t>Issued Date:  Jun 22 2010</t>
  </si>
  <si>
    <t>Dr. J. Nadeau (CPSO# 77643)</t>
  </si>
  <si>
    <t>Royal Ottawa Mental Health Centre,Department of Geriatric Psychiatry,1145 Carling Avenue,Ottawa ON  K1Z 7K4,(613) 722-6521</t>
  </si>
  <si>
    <t>69240</t>
  </si>
  <si>
    <t>Hotel Dieu Hospital,Brock 5,166 Brock St,Kingston ON  K7L 5G2</t>
  </si>
  <si>
    <t>613-544-3400 Ext. 2508</t>
  </si>
  <si>
    <t>19919</t>
  </si>
  <si>
    <t xml:space="preserve">Active Member as of 08 May 1972 </t>
  </si>
  <si>
    <t xml:space="preserve">Independent Practice as of 08 May 1972 </t>
  </si>
  <si>
    <t>Suite 201,3313 Yonge Street,Toronto ON  M4N 2L9</t>
  </si>
  <si>
    <t>(416) 925-7791</t>
  </si>
  <si>
    <t>First certificate of registration issued: Independent Practice Certificate||Effective:   23 Jun 1966
Expired: Resigned from membership.||Expiry:      15 Sep 1969
Subsequent certificate of registration Issued: Independent Practice Certificate||Effective:   05 May 1972</t>
  </si>
  <si>
    <t>64316</t>
  </si>
  <si>
    <t xml:space="preserve">Active Member as of 08 Jul 1991 </t>
  </si>
  <si>
    <t xml:space="preserve">Independent Practice as of 24 Oct 1995 </t>
  </si>
  <si>
    <t>University of Witwatersrand, 1972</t>
  </si>
  <si>
    <t>Limestone City Sleep Laboratory,920 Princess St,Suite 110,Kingston ON  K7L 1H1</t>
  </si>
  <si>
    <t>(613) 547-9172</t>
  </si>
  <si>
    <t>(613) 547-9910</t>
  </si>
  <si>
    <t>First certificate of registration issued: Academic Practice Certificate||Effective:   08 Jul 1991
Transfer of class of registration to: Independent Practice Certificate||Effective:   24 Oct 1995</t>
  </si>
  <si>
    <t>J. Carlile Medicine Professional Corporation</t>
  </si>
  <si>
    <t>J.B. Carlile Medicine Professional Corporation</t>
  </si>
  <si>
    <t>Inactive: Jul  3 2018</t>
  </si>
  <si>
    <t>Issued Date:  Jul 10 2018</t>
  </si>
  <si>
    <t>Dr. J. Carlile (CPSO# 64316)</t>
  </si>
  <si>
    <t>Limestone City Sleep Laboratory,110 - 920 Princess Street,Kingston ON  K7L 1H1,(613) 547-9173</t>
  </si>
  <si>
    <t>16279</t>
  </si>
  <si>
    <t xml:space="preserve">Active Member as of 12 Jul 1957 </t>
  </si>
  <si>
    <t xml:space="preserve">Independent Practice as of 12 Jul 1957 </t>
  </si>
  <si>
    <t>St. Joseph's Healthcare - Hamilton,Community Psychiatry Service,West 5th Campus,100 West 5th Ave.,Hamilton ON  L9C 3N6</t>
  </si>
  <si>
    <t>(905) 522-1155 Ext. 36040</t>
  </si>
  <si>
    <t>(905) 521 6059</t>
  </si>
  <si>
    <t>Psychiatry||Effective: 12 Nov 1963||RCPSC Specialist</t>
  </si>
  <si>
    <t>First certificate of registration issued: Independent Practice Certificate||Effective:   12 Jul 1957</t>
  </si>
  <si>
    <t>73893</t>
  </si>
  <si>
    <t xml:space="preserve">Active Member as of 25 Jul 2005 </t>
  </si>
  <si>
    <t xml:space="preserve">Independent Practice as of 25 Jul 2005 </t>
  </si>
  <si>
    <t>Suite 115,13311 Yonge Street,Richmond Hill ON  L4E 3L6</t>
  </si>
  <si>
    <t>(905) 773-2362</t>
  </si>
  <si>
    <t>(905) 773-8499</t>
  </si>
  <si>
    <t>Queen's University, 01 Jul 1999  to 30 Jun 2000|PostGrad Yr 1 - Psychiatry
Queen's University, 01 Jul 2000  to 30 Jun 2001|PostGrad Yr 2 - Psychiatry
Queen's University, 01 Jul 2001  to 30 Jun 2002|PostGrad Yr 3 - Psychiatry
Queen's University, 01 Jul 2002  to 30 Jun 2003|PostGrad Yr 4 - Psychiatry
Queen's University, 01 Jul 2003  to 30 Jun 2004|PostGrad Yr 5 - Psychiatry
Queen's University, 01 Oct 2004  to 30 Jun 2005|Clinical Fellow - Psychiatry</t>
  </si>
  <si>
    <t>First certificate of registration issued: Postgraduate Education Certificate||Effective:   01 Jul 1999
Expired: Terms and conditions of certificate of registration||Expiry:      30 Jun 2004
Subsequent certificate of registration Issued: Postgraduate Education Certificate||Effective:   13 Oct 2004
Expired: Terms and conditions of certificate of registration||Expiry:      30 Jun 2005
Subsequent certificate of registration Issued: Independent Practice Certificate||Effective:   25 Jul 2005</t>
  </si>
  <si>
    <t>Dr. John Chi Cheong Chan Medicine Professional Corporation</t>
  </si>
  <si>
    <t>Issued Date:  Apr 10 2006</t>
  </si>
  <si>
    <t>Dr. J. Chan (CPSO# 73893)</t>
  </si>
  <si>
    <t>Suite 115,13311 Yonge Street,Richmond Hill ON  L4E 3L6,(905) 773-2362
190 - 34 Berczy Street,190 - 34 Berczy Street,Aurora ON  L4G 1W9,(905) 841-6611</t>
  </si>
  <si>
    <t>50520</t>
  </si>
  <si>
    <t xml:space="preserve">Independent Practice as of 05 Jun 1984 </t>
  </si>
  <si>
    <t>Toronto Rehabilitation Institute,University Centre,550 University Avenue,Toronto ON  M5G 2A2</t>
  </si>
  <si>
    <t>(416) 597-3422</t>
  </si>
  <si>
    <t>Center for Addiction and Mental,Health,250 College Street,Toronto ON  M5G 1R8,Canada,Phone:(416) 535-8501 Ext. 7350,County:City of Toronto,Electoral District:10
378 Glengrove Avenue West,Toronto ON  M5N 1W5,Canada,Phone:(416) 487-3116,County:City of Toronto,Electoral District:10
Northumberland Health Care,Corporation,Community Health Program,975 Elgin Street,Cobourg ON  K9A 5J3,Canada,Phone:(905) 377-9891,Fax:(905) 377-9895,County:County of Northumberland,Electoral District:06</t>
  </si>
  <si>
    <t>Campbellford Memorial Hospital:Campbellford
Centre of Addiction &amp; Mental Health,- College Street Site:Toronto
Northumberland Hills Hospital,Cobourg District General Site:Cobourg
Peterborough Regional Health Centre:Peterborough
University Health Network,Toronto Rehabilitation Institute:Toronto</t>
  </si>
  <si>
    <t>University of Toronto, 15 Jun 1981  to 15 Jun 1982|Other - Rotating Internship
University of Toronto, 01 Jul 1982  to 30 Jun 1983|Resident 1 - Neurosurgery
University of Toronto, 01 Jul 1983  to 30 Jun 1984|Resident 2 - Neurosurgery
University of Toronto, 01 Jul 1985  to 30 Jun 1986|Research Fellows - Otolaryngology - Head and Neck Surgery
University of Toronto, 01 Jul 1986  to 30 Jun 1987|Resident 3 - Otolaryngology - Head and Neck Surgery
McMaster University, 01 Jul 1987  to 30 Jun 1988|Resident 1 - Psychiatry
McMaster University, 01 Jul 1988  to 30 Jun 1989|Resident 2 - Psychiatry
University of Toronto, 01 Jul 1989  to 31 Jul 1989|Resident 2 - Psychiatry
University of Toronto, 01 Aug 1989  to 30 Jun 1990|Resident 3 - Psychiatry
University of Toronto, 01 Jul 1990  to 30 Jun 1991|Resident 4 - Psychiatry</t>
  </si>
  <si>
    <t>First certificate of registration issued: Postgraduate Education Certificate||Effective:   15 Jun 1981
Transfer of class of registration to: Independent Practice Certificate||Effective:   05 Jun 1984</t>
  </si>
  <si>
    <t>John C. Farewell Medicine Professional Corporation</t>
  </si>
  <si>
    <t>Issued Date:  Dec 02 2008</t>
  </si>
  <si>
    <t>Dr. J. Farewell (CPSO# 50520),Dr. C. Rettl (CPSO# 53926)</t>
  </si>
  <si>
    <t>1011 Elgin Street West,Cobourg ON  K9A 5J4,(905) 377-9891
Suite 809,Suite 809,250 College Street,Toronto ON  M5T 1R8,(416) 535-8501
1 Hospital Drive,1 Hospital Drive,Peterborough ON  K9J 8M1,(705) 876-5028
146 Oliver Road,146 Oliver Road,Campbellford ON  K0L 1L0,(705) 653-2015
8th Floor,8th Floor,550 University Avenue,Toronto ON  M5G 2A2,(416) 597-3442
378 Glengrove Avenue West,378 Glengrove Avenue West,Toronto ON  M5N 1W5,(416) 919-3804</t>
  </si>
  <si>
    <t>78596</t>
  </si>
  <si>
    <t xml:space="preserve">Active Member as of 30 Sep 2002 </t>
  </si>
  <si>
    <t xml:space="preserve">Independent Practice as of 30 Sep 2002 </t>
  </si>
  <si>
    <t>Department of Psychiatry,Grand River Hospital,835 King Street West,PO Box 9056, Station C,Kitchener ON  N2G 1G3</t>
  </si>
  <si>
    <t>(519) 749-4300 Ext. 3891</t>
  </si>
  <si>
    <t>(519) 749-4301</t>
  </si>
  <si>
    <t>First certificate of registration issued: Independent Practice Certificate||Effective:   30 Sep 2002</t>
  </si>
  <si>
    <t>Dr. John D. Heintzman Medicine Professional Corporation</t>
  </si>
  <si>
    <t>Issued Date:  Apr 18 2011</t>
  </si>
  <si>
    <t>Dr. J. Heintzman (CPSO# 78596)</t>
  </si>
  <si>
    <t>Department of Psychiatry,Grand River Hospital,835 King Street West,P O Box 9056 Station C,Kitchener ON  N2G 1G3,(519) 749-4300</t>
  </si>
  <si>
    <t>95972</t>
  </si>
  <si>
    <t>Dalhousie University, 2011</t>
  </si>
  <si>
    <t>1200 Main St W,Hamilton ON  L8N 3Z5</t>
  </si>
  <si>
    <t>905-522-1155</t>
  </si>
  <si>
    <t>267 MacNab Street North (back unit),Hamilton ON  L8L 1K2,Canada,County:Regional Municipality of Hamilton-Wentworth,Electoral District:04</t>
  </si>
  <si>
    <t>Hamilton Health Sciences,General Site:Hamilton</t>
  </si>
  <si>
    <t>McMaster University, 01 Jul 2011  to 30 Jun 2012|PostGrad Yr 1 - Psychiatry
McMaster University, 01 Jul 2012  to 30 Jun 2013|PostGrad Yr 2 - Psychiatry
McMaster University, 01 Jul 2013  to 30 Jun 2014|PostGrad Yr 3 - Psychiatry
McMaster University, 01 Jul 2014  to 30 Jun 2015|PostGrad Yr 4 - Psychiatry
McMaster University, 01 Jul 2015  to 30 Jun 2016|PostGrad Yr 5 - Psychiatry</t>
  </si>
  <si>
    <t>First certificate of registration issued: Postgraduate Education Certificate||Effective:   01 Jul 2011
Expired: Terms and conditions of certificate of registration||Expiry:      01 Oct 2014
Subsequent certificate of registration issued: Restricted certificate||Effective:   01 Oct 2014
Terms and conditions amended by Registration Committee||Effective:   30 Jun 2015
Expired: Terms and conditions imposed on certificate by Registration Committee||Effective:   30 Jun 2016
Subsequent certificate of registration Issued: Independent Practice Certificate||Effective:   30 Jun 2016</t>
  </si>
  <si>
    <t>John David Henneberry-Fudge Medicine Professional Corporation</t>
  </si>
  <si>
    <t>Dr. J. Henneberry-Fudge (CPSO# 95972)</t>
  </si>
  <si>
    <t>McMaster University,Department of Psychiatry,1200 Main Street West,Hamilton ON  L8S 4L8,(905) 522-1155
50 Charlton Avenue East,50 Charlton Avenue East,Hamilton ON  L8N 4A6
237 Barton Street East,237 Barton Street East,Hamilton ON  L8L 2X2
711 Concession Street,711 Concession Street,Hamilton ON  L8V 1C3</t>
  </si>
  <si>
    <t>77526</t>
  </si>
  <si>
    <t>Queen's University, 2002</t>
  </si>
  <si>
    <t>P.O. 9056,835 King Street West,Kitchener ON  N2G 1G3</t>
  </si>
  <si>
    <t>(519) 749-4300 Ext. 2144</t>
  </si>
  <si>
    <t>Grand River Hospital Corporation,Kitchener Waterloo Site:Kitchener
St Mary's General Hospital,Kitchener:Kitchener</t>
  </si>
  <si>
    <t>McMaster University, 01 Jul 2002  to 30 Jun 2003|PostGrad Yr 1 - Psychiatry
McMaster University, 01 Jul 2003  to 30 Jun 2004|PostGrad Yr 2 - Psychiatry
McMaster University, 01 Jul 2004  to 30 Jun 2005|PostGrad Yr 3 - Psychiatry
McMaster University, 01 Jul 2005  to 30 Jun 2006|PostGrad Yr 4 - Psychiatry
McMaster University, 01 Jul 2006  to 30 Jun 2007|PostGrad Yr 5 - Psychiatry</t>
  </si>
  <si>
    <t>Dr. J.D. Vanderkooy Medicine Professional Corporation</t>
  </si>
  <si>
    <t>Issued Date:  Jul 23 2012</t>
  </si>
  <si>
    <t>Dr. J. Vanderkooy (CPSO# 77526)</t>
  </si>
  <si>
    <t>835 King Street West,PO 9056,Kitchener ON  N2G 1G3,(519) 573-7479</t>
  </si>
  <si>
    <t>27706</t>
  </si>
  <si>
    <t xml:space="preserve">Active Member as of 01 Jan 1983 </t>
  </si>
  <si>
    <t xml:space="preserve">Independent Practice as of 01 Jan 1983 </t>
  </si>
  <si>
    <t>Queen's University, 1974</t>
  </si>
  <si>
    <t>2181 Queen Street East,# 303 A,Toronto,Toronto ON  M4E 1E5</t>
  </si>
  <si>
    <t>(416) 231-3637</t>
  </si>
  <si>
    <t>(416) 231-4774</t>
  </si>
  <si>
    <t>Psychiatry||Effective: 29 Nov 1982||RCPSC Specialist</t>
  </si>
  <si>
    <t>First certificate of registration issued: Postgraduate Education Certificate||Effective:   17 Jun 1974
Expired: Terms and conditions of certificate of registration||Expiry:      15 Jun 1975
Subsequent certificate of registration Issued: Independent Practice Certificate||Effective:   13 Aug 1975
Expired: Resigned from membership.||Expiry:      07 Sep 1979
Subsequent certificate of registration Issued: Independent Practice Certificate||Effective:   01 Jan 1983</t>
  </si>
  <si>
    <t>53563</t>
  </si>
  <si>
    <t xml:space="preserve">Active Member as of 21 Sep 1983 </t>
  </si>
  <si>
    <t xml:space="preserve">Independent Practice as of 21 Sep 1983 </t>
  </si>
  <si>
    <t>University of Saskatchewan, 1977</t>
  </si>
  <si>
    <t>323 Bay St. South,Hamilton ON  L8N 3J7</t>
  </si>
  <si>
    <t>(905) 730-1879</t>
  </si>
  <si>
    <t>289 812-4036</t>
  </si>
  <si>
    <t>1685 Main St. West - #210,Hamilton ON  L8S1G5,Canada,Phone:905-730-1879,County:Regional Municipality of Hamilton-Wentworth,Electoral District:04</t>
  </si>
  <si>
    <t>First certificate of registration issued: Independent Practice Certificate||Effective:   21 Sep 1983</t>
  </si>
  <si>
    <t>74125</t>
  </si>
  <si>
    <t>University of Alberta, 1991</t>
  </si>
  <si>
    <t>Childrens's Hospital,of Eastern Ontario,401 Smyth Road,Ottawa ON  K1H 8L1</t>
  </si>
  <si>
    <t>Psychiatry||Effective: 20 Nov 1997||RCPSC Specialist
Child and Adolescent Psychiatry||Effective: 26 Sep 2013||RCPSC Specialist</t>
  </si>
  <si>
    <t>First certificate of registration issued: Independent Practice Certificate||Effective:   09 Jul 1999
Expired: Resigned from membership.||Expiry:      01 Jun 2004
Subsequent certificate of registration Issued: Independent Practice Certificate||Effective:   30 Jun 2016</t>
  </si>
  <si>
    <t>John D. McLennan Medicine Professional Corporation</t>
  </si>
  <si>
    <t>Issued Date:  Nov 30 2016</t>
  </si>
  <si>
    <t>Dr. J. McLennan (CPSO# 74125)</t>
  </si>
  <si>
    <t>29602</t>
  </si>
  <si>
    <t xml:space="preserve">Active Member as of 14 Sep 1977 </t>
  </si>
  <si>
    <t xml:space="preserve">Independent Practice as of 14 Sep 1977 </t>
  </si>
  <si>
    <t>National University of Ireland, 1972</t>
  </si>
  <si>
    <t>Suite 205,1246 Yonge Street,Toronto ON  M4T 1W5</t>
  </si>
  <si>
    <t>(416) 926-8944</t>
  </si>
  <si>
    <t>First certificate of registration issued: Independent Practice Certificate||Effective:   14 Sep 1977</t>
  </si>
  <si>
    <t>J.F. Thornton Medicine Professional Corporation</t>
  </si>
  <si>
    <t>Issued Date:  Oct 14 2010</t>
  </si>
  <si>
    <t>Dr. J. Thornton (CPSO# 29602)</t>
  </si>
  <si>
    <t>205 - 1246 Yonge Street,Toronto ON  M4T 1W5,(416) 926-8944
2000 Keele Street,2000 Keele Street,Toronto ON  M6M 3Y4,(416) 926-8944</t>
  </si>
  <si>
    <t>30565</t>
  </si>
  <si>
    <t xml:space="preserve">Active Member as of 15 Jun 1974 </t>
  </si>
  <si>
    <t xml:space="preserve">Independent Practice as of 15 Jan 1979 </t>
  </si>
  <si>
    <t>The University of Western Ontario, 1974</t>
  </si>
  <si>
    <t>Bluewater Health,89 Norman Street,Sarnia ON  N7T 6S3</t>
  </si>
  <si>
    <t>(519) 464-4500 Ext. 5304</t>
  </si>
  <si>
    <t>(519) 464-4516</t>
  </si>
  <si>
    <t>First certificate of registration issued: Postgraduate Education Certificate||Effective:   15 Jun 1974
Transfer of class of registration to: Independent Practice Certificate||Effective:   15 Jan 1979</t>
  </si>
  <si>
    <t>John F. Scholz Medicine Professional Corporation</t>
  </si>
  <si>
    <t>Dr. J. Scholz (CPSO# 30565)</t>
  </si>
  <si>
    <t>Bluewater Health,89 Norman Street,Sarnia ON  N7T 6S3,(519) 464-4500</t>
  </si>
  <si>
    <t>65355</t>
  </si>
  <si>
    <t xml:space="preserve">Independent Practice as of 22 Jun 1993 </t>
  </si>
  <si>
    <t>CAMH,80 Workman Way, room 5328,Toronto ON  M6J 1H4</t>
  </si>
  <si>
    <t>(416) 535-8501 Ext. 36473</t>
  </si>
  <si>
    <t>Centre for Addiction &amp; Mental Health,Queen Street Site:Toronto
Lady Dunn Health Centre:Wawa
St Michael's Hospital:Toronto</t>
  </si>
  <si>
    <t>University of Toronto, 01 Jul 1995  to 30 Jun 1996|Resident 3 - Psychiatry
University of Toronto, 01 Jul 1996  to 30 Jun 1997|Resident 4 - Psychiatry
University of Toronto, 01 Jul 1997  to 30 Jun 1998|Clinical Fellow - Psychiatry</t>
  </si>
  <si>
    <t>First certificate of registration issued: Postgraduate Education Certificate||Effective:   15 Jun 1992
Transfer of class of registration to: Independent Practice Certificate||Effective:   22 Jun 1993</t>
  </si>
  <si>
    <t>John H. Langley Medicine Professional Corporation</t>
  </si>
  <si>
    <t>Issued Date:  Nov 30 2007</t>
  </si>
  <si>
    <t>Dr. J. Langley (CPSO# 65355)</t>
  </si>
  <si>
    <t>St. Michael's Hospital,Room 17-006, Cardinal Carter Wing,30 Bond Street,Toronto ON  M5B 1W8,(416) 864-3084
Suite 5328,Suite 5328,80 Workman Way,Toronto ON  M6J 1H4</t>
  </si>
  <si>
    <t>68907</t>
  </si>
  <si>
    <t>(416) 535-8501 Ext. 2799</t>
  </si>
  <si>
    <t>(416) 583-1257</t>
  </si>
  <si>
    <t>Toronto East General Hospital,825 Coxwell Avenue,Toronto ON  M4C 3E7,Canada,Phone:(416) 469-6580 Ext. 3120,Fax:(416) 469-6805,County:City of Toronto,Electoral District:10</t>
  </si>
  <si>
    <t>97075</t>
  </si>
  <si>
    <t xml:space="preserve">Active Member as of 01 Dec 2011 </t>
  </si>
  <si>
    <t xml:space="preserve">Independent Practice as of 01 Dec 2011 </t>
  </si>
  <si>
    <t>Pennsylvania State University Coll of Me, 1978</t>
  </si>
  <si>
    <t>1800 8th Street East,Owen Sound ON  N4K 6M9</t>
  </si>
  <si>
    <t>519 376-2121 Ext. 2871</t>
  </si>
  <si>
    <t>First certificate of registration issued: Independent Practice Certificate||Effective:   01 Dec 2011</t>
  </si>
  <si>
    <t>30469</t>
  </si>
  <si>
    <t xml:space="preserve">Active Member as of 07 Nov 1978 </t>
  </si>
  <si>
    <t xml:space="preserve">Independent Practice as of 07 Nov 1978 </t>
  </si>
  <si>
    <t>University of Ottawa, 1977</t>
  </si>
  <si>
    <t>Seniors Mental Health Outreach Prgm,Suite 202,640 Cataraqui Woods Drive,Kingston ON  K7P 2Y5</t>
  </si>
  <si>
    <t>(613) 384-9088</t>
  </si>
  <si>
    <t>Almonte General Hospital:Almonte
Brockville General Hospital:Brockville
Kingston Health Sciences Centre:Kingston
Perth and Smiths Falls District Hospital,Great War Memorial Site-Perth:Perth
Providence Care Hospital:Kingston
Royal Ottawa Health Care Group,Brockville Mental Health Centre:Brockville</t>
  </si>
  <si>
    <t>First certificate of registration issued: Independent Practice Certificate||Effective:   07 Nov 1978</t>
  </si>
  <si>
    <t>J. Kenneth Le Clair Medicine Professional Corporation</t>
  </si>
  <si>
    <t>Issued Date:  Mar 19 2008</t>
  </si>
  <si>
    <t>Dr. J. Le Clair (CPSO# 30469)</t>
  </si>
  <si>
    <t>Seniors Mental Health Outreach Program,Suite 202,640 Cataraqui Woods Drive,Kingston ON  K7P 2Y5,(613) 384-9088</t>
  </si>
  <si>
    <t>31666</t>
  </si>
  <si>
    <t xml:space="preserve">Active Member as of 10 May 2018 </t>
  </si>
  <si>
    <t xml:space="preserve">Independent Practice as of 04 Aug 2018 </t>
  </si>
  <si>
    <t>University of Birmingham, 1975</t>
  </si>
  <si>
    <t>Suite 205,1 Centrepointe Dr,Ottawa ON  K2G 6E2</t>
  </si>
  <si>
    <t>(613) 786-3102</t>
  </si>
  <si>
    <t>(613) 234-4089</t>
  </si>
  <si>
    <t>First certificate of registration issued: Postgraduate Education Certificate||Effective:   08 Jul 1976
Transfer of class of registration to: Independent Practice Certificate||Effective:   25 Jun 1980
Transfer of class of certificate to: Restricted certificate||Effective:   10 Jan 2018
Terms and conditions imposed on certificate||Effective:   10 Jan 2018
Suspension of registration imposed: Discipline Committee||Effective:   10 Jan 2018
Suspension of registration removed||Effective:   10 May 2018
Transfer of class of registration to: Independent Practice Certificate||Effective:   04 Aug 2018</t>
  </si>
  <si>
    <t>Dr. John Dimock Medicine Professional Corporation</t>
  </si>
  <si>
    <t>Issued Date:  Apr 12 2013</t>
  </si>
  <si>
    <t>Dr. J. Dimock (CPSO# 31666)</t>
  </si>
  <si>
    <t>Suite 205,1 Centrepointe Drive,Ottawa ON  K2G 6E2,(613) 786-3102</t>
  </si>
  <si>
    <t>50300</t>
  </si>
  <si>
    <t xml:space="preserve">Independent Practice as of 27 Jan 1984 </t>
  </si>
  <si>
    <t>528 Dundas Street East,London ON  N6B 1W6</t>
  </si>
  <si>
    <t>(519) 645-1533</t>
  </si>
  <si>
    <t>(519) 645-1556</t>
  </si>
  <si>
    <t>First certificate of registration issued: Postgraduate Education Certificate||Effective:   15 Jun 1982
Transfer of class of registration to: Independent Practice Certificate||Effective:   27 Jan 1984</t>
  </si>
  <si>
    <t>John Craven Medicine Professional Corporation</t>
  </si>
  <si>
    <t>Dr. J. Craven (CPSO# 50300)</t>
  </si>
  <si>
    <t>528 Dundas Street East,London ON  N6B 1W6,(519) 645-1533</t>
  </si>
  <si>
    <t>42320</t>
  </si>
  <si>
    <t xml:space="preserve">Active Member as of 23 Feb 1978 </t>
  </si>
  <si>
    <t xml:space="preserve">Independent Practice as of 03 Jan 1991 </t>
  </si>
  <si>
    <t>University of Cape Town, 1971</t>
  </si>
  <si>
    <t>St Joseph's Healthcare Hamilton,100 West 5th Street Hamilton,Hamilton ON  L8N 3K7</t>
  </si>
  <si>
    <t>(905)5221155 Ext. 36404</t>
  </si>
  <si>
    <t>(905)3815606</t>
  </si>
  <si>
    <t>Saskatchewan
South Africa
United Kingdom</t>
  </si>
  <si>
    <t>First certificate of registration issued: Academic Practice Certificate||Effective:   23 Feb 1978
Transfer of class of registration to: Independent Practice Certificate||Effective:   03 Jan 1991</t>
  </si>
  <si>
    <t>John Bradford Medicine Professional Corporation</t>
  </si>
  <si>
    <t>Issued Date:  Dec 17 2010</t>
  </si>
  <si>
    <t>Dr. J. Bradford (CPSO# 42320)</t>
  </si>
  <si>
    <t>St. Joseph Healthcare Hamilton,100 W. 5th Street,Hamilton ON  L9C 0E3,(905) 522-1155</t>
  </si>
  <si>
    <t>59777</t>
  </si>
  <si>
    <t xml:space="preserve">Independent Practice as of 14 Aug 1989 </t>
  </si>
  <si>
    <t>710 Victoria Avenue East,Thunder Bay ON  P7C 5P7</t>
  </si>
  <si>
    <t>(807) 624-3400 Ext. 3457</t>
  </si>
  <si>
    <t>(807) 624-3401</t>
  </si>
  <si>
    <t>Sioux Lookout,Meno-Ya-Win Health Centre:Sioux Lookout
St Joseph's Care Group,Lakehead Psychiatric Hospital:Thunder Bay
Thunder Bay Regional Health Sciences Centre:Thunder Bay</t>
  </si>
  <si>
    <t>The University of Western Ontario, 01 Jul 1995  to 30 Jun 1996|Resident 3 - Psychiatry
The University of Western Ontario, 01 Jul 1996  to 30 Jun 1997|Resident 4 - Psychiatry</t>
  </si>
  <si>
    <t>First certificate of registration issued: Postgraduate Education Certificate||Effective:   15 Jun 1988
Transfer of class of registration to: Independent Practice Certificate||Effective:   14 Aug 1989</t>
  </si>
  <si>
    <t>John Haggarty Medicine Professional Corporation</t>
  </si>
  <si>
    <t>Issued Date:  Sep 10 2010</t>
  </si>
  <si>
    <t>Dr. J. Haggarty (CPSO# 59777)</t>
  </si>
  <si>
    <t>710 Victoria Avenue East,Thunder Bay ON  P7C 5P7,(807) 624-3400</t>
  </si>
  <si>
    <t>23120</t>
  </si>
  <si>
    <t xml:space="preserve">Active Member as of 11 Sep 1970 </t>
  </si>
  <si>
    <t xml:space="preserve">Independent Practice as of 11 Sep 1970 </t>
  </si>
  <si>
    <t>Suite 318,220 Duncan Mill Road,Don Mills ON  M3B 3J5</t>
  </si>
  <si>
    <t>(416) 391-5304</t>
  </si>
  <si>
    <t>(416) 391-5305</t>
  </si>
  <si>
    <t>Barbados
United Kingdom</t>
  </si>
  <si>
    <t>Psychiatry||Effective: 20 Nov 1969||RCPSC Specialist</t>
  </si>
  <si>
    <t>First certificate of registration issued: Postgraduate Education Certificate||Effective:   01 Jul 1964
Expired: Terms and conditions of certificate of registration||Expiry:      30 Jun 1967
Subsequent certificate of registration Issued: Independent Practice Certificate||Effective:   11 Sep 1970</t>
  </si>
  <si>
    <t>Dr. John Nkansah Medicine Professional Corporation</t>
  </si>
  <si>
    <t>Issued Date:  Nov 09 2006</t>
  </si>
  <si>
    <t>Dr. J. Nkansah (CPSO# 23120)</t>
  </si>
  <si>
    <t>318 - 220 Duncan Mill Road,Toronto ON  M3B 3J5,(416) 391-5304</t>
  </si>
  <si>
    <t>71279</t>
  </si>
  <si>
    <t xml:space="preserve">Independent Practice as of 07 Oct 2002 </t>
  </si>
  <si>
    <t>Ottawa Hospital - General Site,Department of Psychiatry Room 4423,501 Smyth Road,Ottawa ON  K1H 8L6</t>
  </si>
  <si>
    <t>(613) 737-8899 Ext. 78010</t>
  </si>
  <si>
    <t>(613) 739-6667</t>
  </si>
  <si>
    <t>University of Ottawa, 01 Jul 1997  to 30 Jun 1998|PostGrad Yr 1 - Psychiatry
University of Ottawa, 01 Jul 1998  to 30 Jun 1999|PostGrad Yr 2 - Psychiatry
University of Ottawa, 01 Jul 1999  to 30 Jun 2000|PostGrad Yr 3 - Psychiatry
University of Ottawa, 01 Jul 2000  to 30 Jun 2001|PostGrad Yr 4 - Psychiatry
University of Ottawa, 01 Jul 2001  to 30 Jun 2002|PostGrad Yr 5 - Psychiatry
University of Ottawa, 01 Jul 2002  to 25 Oct 2002|PostGrad Yr 5 - Psychiatry
University of Ottawa, 01 Nov 2002  to 01 Jun 2003|Clinical Fellow - Psychiatry</t>
  </si>
  <si>
    <t>First certificate of registration issued: Postgraduate Education Certificate||Effective:   01 Jul 1997
Transfer of class of registration to: Independent Practice Certificate||Effective:   07 Oct 2002</t>
  </si>
  <si>
    <t>63001</t>
  </si>
  <si>
    <t xml:space="preserve">Active Member as of 09 Aug 1990 </t>
  </si>
  <si>
    <t xml:space="preserve">Independent Practice as of 09 Aug 1990 </t>
  </si>
  <si>
    <t>University of Saskatchewan, 1983</t>
  </si>
  <si>
    <t>The Royal,1145 Carling Avenue,Ottawa ON  K1Z 7K4</t>
  </si>
  <si>
    <t>(613) 722-6521 Ext. 6360</t>
  </si>
  <si>
    <t>First certificate of registration issued: Independent Practice Certificate||Effective:   09 Aug 1990</t>
  </si>
  <si>
    <t>J.P. Fedoroff Medicine Professional Corporation</t>
  </si>
  <si>
    <t>Issued Date:  Sep 22 2010</t>
  </si>
  <si>
    <t>Dr. J. Fedoroff (CPSO# 63001)</t>
  </si>
  <si>
    <t>Royal Ottawa Hospital,1145 Carling Avenue,Ottawa ON  K2C 3R9,(613) 722-6521
535 Sutherland Avenue,535 Sutherland Avenue,Welland ON  L3B 5A4,(905) 735-0081</t>
  </si>
  <si>
    <t>22149</t>
  </si>
  <si>
    <t xml:space="preserve">Active Member as of 30 Mar 1976 </t>
  </si>
  <si>
    <t xml:space="preserve">Restricted as of 30 Mar 1976 </t>
  </si>
  <si>
    <t>McGill University, 1968</t>
  </si>
  <si>
    <t>Unit 2,255 Midland Avenue,Midland ON  L4R 3K3</t>
  </si>
  <si>
    <t>(705) 527-2754</t>
  </si>
  <si>
    <t>(705) 528-0004</t>
  </si>
  <si>
    <t>Georgian Bay General Hospital:Midland
Georgian Bay General Hospital,Penetanguishene Site:Penetanguishene</t>
  </si>
  <si>
    <t>McMaster University, 01 Jul 1990  to 30 Jun 1991|Resident 4 - Psychiatry</t>
  </si>
  <si>
    <t>First certificate of registration issued: Postgraduate Education Certificate||Effective:   01 Jul 1968
Expired: Terms and conditions of certificate of registration||Expiry:      24 Jun 1969
Subsequent certificate of registration Issued: Independent Practice Certificate||Effective:   11 Jul 1969
Transfer of class of certificate to: Restricted certificate||Effective:   30 Mar 1976</t>
  </si>
  <si>
    <t>24781</t>
  </si>
  <si>
    <t xml:space="preserve">Active Member as of 05 Jul 1972 </t>
  </si>
  <si>
    <t xml:space="preserve">Independent Practice as of 05 Jul 1972 </t>
  </si>
  <si>
    <t>The University of Western Ontario, 1971</t>
  </si>
  <si>
    <t>11 Helen St,Dundas ON  L9H 1N2</t>
  </si>
  <si>
    <t>(905) 627-6727</t>
  </si>
  <si>
    <t>First certificate of registration issued: Independent Practice Certificate||Effective:   05 Jul 1972</t>
  </si>
  <si>
    <t>22702</t>
  </si>
  <si>
    <t xml:space="preserve">Active Member as of 12 Jun 1970 </t>
  </si>
  <si>
    <t xml:space="preserve">Independent Practice as of 12 Jun 1970 </t>
  </si>
  <si>
    <t>Queen's University, 1969</t>
  </si>
  <si>
    <t>Psychiatry||Effective: 06 Jun 1984||RCPSC Specialist</t>
  </si>
  <si>
    <t>First certificate of registration issued: Postgraduate Education Certificate||Effective:   17 Jul 1969
Transfer of class of registration to: Independent Practice Certificate||Effective:   12 Jun 1970</t>
  </si>
  <si>
    <t>Smith-Pellettier Medicine Professional Corporation</t>
  </si>
  <si>
    <t>Inactive: Sep 10 2018</t>
  </si>
  <si>
    <t>50424</t>
  </si>
  <si>
    <t>University of Melbourne, 1977</t>
  </si>
  <si>
    <t>Unit 16,260 Parsons Avenue,North Bay ON  P1A 1T2</t>
  </si>
  <si>
    <t>(705) 478-5798</t>
  </si>
  <si>
    <t>(705) 478-5682</t>
  </si>
  <si>
    <t>777 garner rd east,Ancaster ON  L9K 1J4,Canada,Phone:705 4932423,County:Regional Municipality of Hamilton-Wentworth,Electoral District:04</t>
  </si>
  <si>
    <t>First certificate of registration issued: Postgraduate Education Certificate||Effective:   01 Jul 1981
Transfer of class of registration to: Independent Practice Certificate||Effective:   11 Mar 1985</t>
  </si>
  <si>
    <t>32602</t>
  </si>
  <si>
    <t xml:space="preserve">Independent Practice as of 01 Jul 1981 </t>
  </si>
  <si>
    <t>Department of Psychiatry (Box 400),The Ottawa Hospital,General Campus,501 Smyth Road,Ottawa ON  K1H 8L6</t>
  </si>
  <si>
    <t>Bruyere Continuing Care-Elisabeth Bruyere Site:Ottawa
Ottawa Hospital,Civic Site:Ottawa
Ottawa Hospital,General Site:Ottawa
Royal Ottawa Health Care Group:Ottawa</t>
  </si>
  <si>
    <t>First certificate of registration issued: Postgraduate Education Certificate||Effective:   16 Jun 1980
Transfer of class of registration to: Independent Practice Certificate||Effective:   01 Jul 1981</t>
  </si>
  <si>
    <t>J.R. Swenson Medicine Professional Corporation</t>
  </si>
  <si>
    <t>Dr. J. Swenson (CPSO# 32602)</t>
  </si>
  <si>
    <t>The Ottawa Hospital - General Campus,Department of Psychiatry,501 Smyth Road,Ottawa ON  K1H 8L6,(613) 737-8083
1053 Carling Avenue,1053 Carling Avenue,Ottawa ON  K1Y 4E9,(613) 798-5555</t>
  </si>
  <si>
    <t>28767</t>
  </si>
  <si>
    <t xml:space="preserve">Active Member as of 15 Sep 1976 </t>
  </si>
  <si>
    <t xml:space="preserve">Independent Practice as of 15 Sep 1976 </t>
  </si>
  <si>
    <t>Suite 912,123 Edward Street,Toronto ON  M5G 1E2</t>
  </si>
  <si>
    <t>(416) 598-4782</t>
  </si>
  <si>
    <t>First certificate of registration issued: Postgraduate Education Certificate||Effective:   16 Jun 1975
Transfer of class of registration to: Independent Practice Certificate||Effective:   15 Sep 1976</t>
  </si>
  <si>
    <t>68197</t>
  </si>
  <si>
    <t>Sunnybrook Health Sciences Centre,FG-62,2075 Bayview Avenue,Toronto ON  M4N 3M5</t>
  </si>
  <si>
    <t>(416) 480-6100 Ext. 3077</t>
  </si>
  <si>
    <t>Temiskaming Hospital,421 Shepherdson Road,Box 4040,New Liskeard ON  P0J 1P0,Canada,Phone:(705) 647-1088,Fax:(705) 647-4154,County:Territorial District of Timiskaming,Electoral District:08</t>
  </si>
  <si>
    <t>Hospital For Sick Children:Toronto
Sunnybrook Health Sciences Centre:Toronto
Temiskaming Hospital:New Liskeard</t>
  </si>
  <si>
    <t>University of Toronto, 01 Jul 1994  to 30 Jun 1995|PostGrad Yr 1 - Psychiatry
University of Toronto, 01 Jul 1995  to 30 Jun 1996|Resident 1 - Psychiatry
University of Toronto, 01 Jul 1996  to 30 Jun 1997|PostGrad Yr 3 - Psychiatry
University of Toronto, 01 Jul 1997  to 30 Jun 1998|PostGrad Yr 4 - Psychiatry
University of Toronto, 01 Jul 1998  to 30 Jun 1999|PostGrad Yr 5 - Psychiatry
University of Toronto, 01 Jul 1999  to 30 Jun 2000|Clinical Fellow - Psychiatry
University of Toronto, 01 Jul 2000  to 30 Jun 2001|Clinical Fellow - Psychiatry</t>
  </si>
  <si>
    <t>26611</t>
  </si>
  <si>
    <t xml:space="preserve">Active Member as of 26 Jun 1974 </t>
  </si>
  <si>
    <t xml:space="preserve">Independent Practice as of 26 Jun 1974 </t>
  </si>
  <si>
    <t>Providence Care Hospital,Level 2, Administration,752 King Street West,Postal Bag 603,Kingston ON  K7L 4X3</t>
  </si>
  <si>
    <t>(613) 544-4900 Ext. 53369</t>
  </si>
  <si>
    <t>(613) 544-6655</t>
  </si>
  <si>
    <t>Psychiatry||Effective: 10 Mar 1975||RCPSC Specialist</t>
  </si>
  <si>
    <t>First certificate of registration issued: Independent Practice Certificate||Effective:   26 Jun 1974</t>
  </si>
  <si>
    <t>65222</t>
  </si>
  <si>
    <t xml:space="preserve">Active Member as of 06 Jul 1993 </t>
  </si>
  <si>
    <t xml:space="preserve">Independent Practice as of 06 Jul 1993 </t>
  </si>
  <si>
    <t>Centre for Addiction and Mental,Health,1001 Queen St. W.,Toronto ON  M6J 1H4</t>
  </si>
  <si>
    <t>(416) 535-8501 Ext. 34302</t>
  </si>
  <si>
    <t>Psychiatry||Effective: 07 Jun 2001||RCPSC Specialist</t>
  </si>
  <si>
    <t>University of Toronto, 01 Jul 2001  to 30 Jun 2002|Clinical Fellow - Psychiatry
University of Toronto, 01 Jul 2002  to 30 Jun 2003|Clinical Fellow - Psychiatry</t>
  </si>
  <si>
    <t>First certificate of registration issued: Postgraduate Education Certificate||Effective:   15 Jun 1992
Expired: Terms and conditions of certificate of registration||Expiry:      14 Jun 1993
Subsequent certificate of registration Issued: Independent Practice Certificate||Effective:   06 Jul 1993</t>
  </si>
  <si>
    <t>John Strauss Medicine Professional Corporation</t>
  </si>
  <si>
    <t>Issued Date:  Dec 03 2015</t>
  </si>
  <si>
    <t>Dr. J. Strauss (CPSO# 65222)</t>
  </si>
  <si>
    <t>Centre for Addiction and Mental Health,1001 Queen Street West,Toronto ON  M6J 1H4,(416) 535-8501</t>
  </si>
  <si>
    <t>68928</t>
  </si>
  <si>
    <t xml:space="preserve">Active Member as of 28 Jun 2001 </t>
  </si>
  <si>
    <t xml:space="preserve">Independent Practice as of 28 Jun 2001 </t>
  </si>
  <si>
    <t>21 Bradford Street,Barrie ON  L4N 1W2</t>
  </si>
  <si>
    <t>(705) 726-5033</t>
  </si>
  <si>
    <t>(705) 726-4887</t>
  </si>
  <si>
    <t>University of Ottawa, 01 Jul 1995  to 30 Jun 1996|PostGrad Yr 1 - Psychiatry
University of Ottawa, 01 Jul 1996  to 30 Jun 1997|PostGrad Yr 2 - Psychiatry
University of Ottawa, 01 Jul 1997  to 30 Jun 1998|PostGrad Yr 3 - Psychiatry
University of Ottawa, 01 Jul 1998  to 30 Jun 1999|PostGrad Yr 4 - Psychiatry
University of Ottawa, 01 Jul 1999  to 31 Dec 1999|PostGrad Yr 5 - Psychiatry</t>
  </si>
  <si>
    <t>First certificate of registration issued: Postgraduate Education Certificate||Effective:   01 Jul 1995
Expired: Terms and conditions of certificate of registration||Expiry:      31 Dec 1999
Subsequent certificate of registration issued: Restricted certificate||Effective:   03 Jan 2000
Terms and conditions amended by Registration Committee||Effective:   22 Dec 2000
Terms and conditions amended by Registration Committee||Effective:   30 Jan 2001
Expired: Terms and conditions imposed on certificate by Registration Committee||Effective:   28 Jun 2001
Subsequent certificate of registration Issued: Independent Practice Certificate||Effective:   28 Jun 2001</t>
  </si>
  <si>
    <t>23687</t>
  </si>
  <si>
    <t xml:space="preserve">Active Member as of 29 Jun 1971 </t>
  </si>
  <si>
    <t xml:space="preserve">Independent Practice as of 29 Jun 1971 </t>
  </si>
  <si>
    <t>University of Vienna, 1963</t>
  </si>
  <si>
    <t>120 Eglinton Avenue East,Suite 710,Toronto ON  M4P 1E2</t>
  </si>
  <si>
    <t>(416) 932-9770</t>
  </si>
  <si>
    <t>Psychiatry||Effective: 18 Nov 1971||RCPSC Specialist</t>
  </si>
  <si>
    <t>First certificate of registration issued: Postgraduate Education Certificate||Effective:   01 Dec 1967
Expired: Terms and conditions of certificate of registration||Expiry:      30 Jun 1970
Subsequent certificate of registration Issued: Temporary Employment Practice Certificate||Effective:   28 Sep 1970
Transfer of class of registration to: Independent Practice Certificate||Effective:   29 Jun 1971</t>
  </si>
  <si>
    <t>Salvendy Medicine Professional Corporation</t>
  </si>
  <si>
    <t>Issued Date:  Jan 02 2013</t>
  </si>
  <si>
    <t>Dr. J. Salvendy (CPSO# 23687)</t>
  </si>
  <si>
    <t>Suite 710,120 Eglinton Avenue East,Toronto ON  M4P 1E2,(416) 932-9770</t>
  </si>
  <si>
    <t>25601</t>
  </si>
  <si>
    <t xml:space="preserve">Active Member as of 12 Jun 1973 </t>
  </si>
  <si>
    <t xml:space="preserve">Independent Practice as of 12 Jun 1973 </t>
  </si>
  <si>
    <t>53 Soudan Avenue,Toronto ON  M4S 1V5</t>
  </si>
  <si>
    <t>(416) 481-3001</t>
  </si>
  <si>
    <t>(416) 481-9095</t>
  </si>
  <si>
    <t>First certificate of registration issued: Independent Practice Certificate||Effective:   12 Jun 1973</t>
  </si>
  <si>
    <t>54835</t>
  </si>
  <si>
    <t xml:space="preserve">Active Member as of 27 Jul 1984 </t>
  </si>
  <si>
    <t xml:space="preserve">Independent Practice as of 16 Sep 1985 </t>
  </si>
  <si>
    <t>The Credit Valley Hospital,2200 Eglinton Avenue West,Mississauga ON  L5M 2N1</t>
  </si>
  <si>
    <t>First certificate of registration issued: Academic Practice Certificate||Effective:   27 Jul 1984
Transfer of class of registration to: Independent Practice Certificate||Effective:   16 Sep 1985</t>
  </si>
  <si>
    <t>82050</t>
  </si>
  <si>
    <t xml:space="preserve">Active Member as of 25 Nov 2004 </t>
  </si>
  <si>
    <t xml:space="preserve">Independent Practice as of 25 Nov 2004 </t>
  </si>
  <si>
    <t>McGill University, 1997</t>
  </si>
  <si>
    <t>Physician Health Program,Ontario Medical Association,150 Bloor Street West,Suite 900,Toronto ON  M5S 3C1</t>
  </si>
  <si>
    <t>416-340-2981</t>
  </si>
  <si>
    <t>416-340-2860</t>
  </si>
  <si>
    <t>2 Jane Street,Suite 500,Toronto ON  M6S 4W3,Canada,Phone:416-619-4994,Fax:416-619-5984,County:City of Toronto,Electoral District:10
St Michael's Hospital,17th Floor,30 Bond Street,Toronto ON  M5B 1W8,Canada,Phone:(416) 864-3082,Fax:(416) 864-5480,County:City of Toronto,Electoral District:10</t>
  </si>
  <si>
    <t>St Michael's Hospital:Toronto
University Health Network,Toronto General Hospital Site:Toronto
University Health Network,Toronto Western Hospital Site:Toronto</t>
  </si>
  <si>
    <t>First certificate of registration issued: Independent Practice Certificate||Effective:   25 Nov 2004</t>
  </si>
  <si>
    <t>90317</t>
  </si>
  <si>
    <t xml:space="preserve">Active Member as of 03 Oct 2016 </t>
  </si>
  <si>
    <t xml:space="preserve">Restricted as of 03 Oct 2016 </t>
  </si>
  <si>
    <t>University of Edinburgh, 1993</t>
  </si>
  <si>
    <t>St Joseph's Healthcare Hamilton,West 5th Campus,100 West 5th St,Hamilton ON  L8N 3K7</t>
  </si>
  <si>
    <t>Psychiatry||Effective: 03 Oct 2016||CPSO Recognized Specialist</t>
  </si>
  <si>
    <t>First certificate of registration issued: Restricted certificate||Effective:   01 Apr 2009
Terms and conditions imposed on certificate by Registration Committee||Effective:   01 Apr 2009
Expiry date attached to certificate of registration.||Expiry Date: 16 Mar 2012
Terms and conditions amended by Registration Committee||Effective:   31 Mar 2014
Terms and conditions amended by Registration Committee||Effective:   01 Jul 2014
Expired: Terms and conditions imposed on certificate by Registration Committee||Effective:   02 May 2016
Subsequent certificate of registration issued: Restricted certificate||Effective:   03 Oct 2016
Terms and conditions amended by Registration Committee||Effective:   24 Jan 2017
Terms and conditions amended by Registration Committee||Effective:   02 May 2017
Terms and conditions amended by Registration Committee||Effective:   03 May 2017</t>
  </si>
  <si>
    <t>Jonathan Crowson Medicine Professional Corporation</t>
  </si>
  <si>
    <t>Issued Date:  Jan 16 2014</t>
  </si>
  <si>
    <t>Dr. J. Crowson (CPSO# 90317)</t>
  </si>
  <si>
    <t>St. Joesphs Healthcare Hamilton,Centre for Mountain Health Services,Division of Geriatric Psychiatry,100 West 5th Street,Hamilton ON  L8N 3K7,(905) 522-1155</t>
  </si>
  <si>
    <t>52752</t>
  </si>
  <si>
    <t xml:space="preserve">Active Member as of 01 Oct 2005 </t>
  </si>
  <si>
    <t xml:space="preserve">Independent Practice as of 29 Jun 1984 </t>
  </si>
  <si>
    <t>The University of Western Ontario, 1983</t>
  </si>
  <si>
    <t>3080 Yonge Street,Suite 3026,Toronto ON  M4N 3N1</t>
  </si>
  <si>
    <t>(416) 932-9096</t>
  </si>
  <si>
    <t>University of Toronto, 13 Jun 1983  to 11 Jun 1984|Other - Rotating Internship
University of Toronto, 01 Jul 1985  to 30 Jun 1986|Resident 1 - Psychiatry
University of Toronto, 01 Jul 1986  to 30 Jun 1987|Resident 2 - Psychiatry
University of Toronto, 01 Jul 1987  to 30 Jun 1988|Resident 3 - Psychiatry
University of Toronto, 01 Jul 1988  to 30 Jun 1989|Resident 4 - Psychiatry</t>
  </si>
  <si>
    <t>First certificate of registration issued: Postgraduate Education Certificate||Effective:   13 Jun 1983
Transfer of class of registration to: Independent Practice Certificate||Effective:   29 Jun 1984
Suspension of registration imposed: Discipline Committee||Effective:   01 Aug 2005
Suspension of registration removed||Effective:   01 Oct 2005</t>
  </si>
  <si>
    <t>92935</t>
  </si>
  <si>
    <t xml:space="preserve">Independent Practice as of 27 Aug 2015 </t>
  </si>
  <si>
    <t>Queen's University, 2010</t>
  </si>
  <si>
    <t>CAMH Queen Street,1001 Queen Street West,Room 6207,Toronto ON  M6J 1H4</t>
  </si>
  <si>
    <t>416-535-8501 Ext. 33743</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</si>
  <si>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Paediatric Psychiatry
University of Toronto, 01 Jul 2015  to 30 Jun 2016|PostGrad Yr 6 - Paediatric Psychiatry
University of Toronto, 01 Jul 2016  to 30 Jun 2017|PostGrad Yr 6 - Paediatric Psychiatry</t>
  </si>
  <si>
    <t>First certificate of registration issued: Postgraduate Education Certificate||Effective:   01 Jul 2010
Transfer of class of registration to: Independent Practice Certificate||Effective:   27 Aug 2015</t>
  </si>
  <si>
    <t>95572</t>
  </si>
  <si>
    <t>Toronto Rehabilitation Institute,10th floor Room 10-127,550 University Ave,Toronto ON  M5G 2A2</t>
  </si>
  <si>
    <t>(416) 597-3422 Ext. 3769</t>
  </si>
  <si>
    <t>(416) 597-7128</t>
  </si>
  <si>
    <t>University Health Network,Lyndhurst Centre:Toronto
University Health Network,Toronto General Hospital Site:Toronto
University Health Network,Toronto Rehabilitation Institute:Toronto
University Health Network,Toronto Western Hospital Site:Toronto</t>
  </si>
  <si>
    <t>University of Toronto, 01 Jul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Psychiatry
University of Toronto, 01 Jul 2016  to 30 Jun 2017|Clinical Fellow - Psychiatry</t>
  </si>
  <si>
    <t>92213</t>
  </si>
  <si>
    <t xml:space="preserve">Active Member as of 20 Oct 2009 </t>
  </si>
  <si>
    <t xml:space="preserve">Restricted as of 20 Oct 2009 </t>
  </si>
  <si>
    <t>Trillium Health Partners,Child &amp; Adolescent Mental Health,Credit Valley Hospital,2200 Eglinton Avenue West,Mississauga ON  L5M 2N1</t>
  </si>
  <si>
    <t>(905) 813-4421</t>
  </si>
  <si>
    <t>(905) 813-1594</t>
  </si>
  <si>
    <t>Roncesvalles Psychology Clinic,120 Roncesvalles Avenue,Toronto ON  M6R 2L1,Canada,Phone:416-531-5152,Fax:647-689-2739,County:City of Toronto,Electoral District:10</t>
  </si>
  <si>
    <t>Psychiatry||Effective: 20 Oct 2009||CPSO Recognized Specialist
Child and Adolescent Psychiatry||Effective: 07 Mar 2013||CPSO Recognized Specialist</t>
  </si>
  <si>
    <t>First certificate of registration issued: Restricted certificate||Effective:   20 Oct 2009
Terms and conditions imposed on certificate by Registration Committee||Effective:   20 Oct 2009
Expiry date attached to certificate of registration.||Expiry Date: 19 Apr 2011
Terms and conditions amended by Registration Committee||Effective:   11 Feb 2011
Expiry date removed from certificate of registration.||Effective:   11 Feb 2011
Terms and conditions amended by Registration Committee||Effective:   07 Mar 2013
Terms and conditions amended by Registration Committee||Effective:   15 Sep 2016</t>
  </si>
  <si>
    <t>27416</t>
  </si>
  <si>
    <t xml:space="preserve">Active Member as of 23 Jun 1975 </t>
  </si>
  <si>
    <t xml:space="preserve">Independent Practice as of 23 Jun 1975 </t>
  </si>
  <si>
    <t>Ennis Medical,Professional Corporation,Suite 134,400 Walmer Road,Toronto ON  M5P 2X7</t>
  </si>
  <si>
    <t>(416) 922-8370</t>
  </si>
  <si>
    <t>(416) 922-1148</t>
  </si>
  <si>
    <t>Health and Wellness Centre,University of Toronto,Koffler Student Services Centre,Main Floor, 214 College Street,Toronto ON  M5T 2Z9,Canada,Phone:(416) 978-8030,Fax:(416) 978-7341,County:City of Toronto,Electoral District:10</t>
  </si>
  <si>
    <t>First certificate of registration issued: Independent Practice Certificate||Effective:   23 Jun 1975</t>
  </si>
  <si>
    <t>Ennis Medicine Professional Corporation</t>
  </si>
  <si>
    <t>Issued Date:  Apr 04 2006</t>
  </si>
  <si>
    <t>Dr. J. Ennis (CPSO# 27416)</t>
  </si>
  <si>
    <t>134 - 400 Walmer Road,Toronto ON  M5P 2X7,(416) 922-8370</t>
  </si>
  <si>
    <t>76143</t>
  </si>
  <si>
    <t>Queen's University, 2001</t>
  </si>
  <si>
    <t>The Royal Ottawa Hospital,Forensic Psychiatry,1145 Carling Avenue,Ottawa ON  K1Z 7K4</t>
  </si>
  <si>
    <t>(613) 722-6521 Ext. 6361</t>
  </si>
  <si>
    <t>Secure Treatment Unit,P.O. Box 1050,1804 Highway 2 East,Brockville ON  K6V 5W7,Canada,Phone:613-345-1461,County:County of Leeds and Grenville,Electoral District:06
Brockville Mental Health Centre,Forensic Treatment Unit,1804 Highway 2 East,P O 1050,Brockville ON  K6V 5T1,Canada,Phone:(613) 345-1461,County:County of Leeds and Grenville,Electoral District:06</t>
  </si>
  <si>
    <t>Psychiatry||Effective: 30 Jun 2006||RCPSC Specialist
Forensic Psychiatry||Effective: 23 Sep 2014||RCPSC Specialist</t>
  </si>
  <si>
    <t>University of Toronto, 01 Jul 2001  to 30 Sep 2001|PostGrad Yr 1 - Family Medicine
Queen's University, 01 Oct 2001  to 30 Jun 2002|PostGrad Yr 1 - Psychiatry
Queen's University, 01 Jul 2002  to 30 Jun 2003|PostGrad Yr 2 - Psychiatry
Queen's University, 01 Jul 2003  to 21 Sep 2003|PostGrad Yr 2 - Psychiatry
Queen's University, 22 Sep 2003  to 21 Sep 2004|PostGrad Yr 3 - Psychiatry
Queen's University, 22 Sep 2004  to 30 Jun 2005|PostGrad Yr 4 - Psychiatry
Queen's University, 01 Jul 2005  to 30 Jun 2006|PostGrad Yr 5 - Psychiatry
University of Ottawa, 01 Jul 2006  to 30 Jun 2007|Clinical Fellow - Psychiatry</t>
  </si>
  <si>
    <t>Dr. Jonathan Gray Medicine Professional Corporation</t>
  </si>
  <si>
    <t>Issued Date:  Dec 12 2007</t>
  </si>
  <si>
    <t>Dr. J. Gray (CPSO# 76143)</t>
  </si>
  <si>
    <t>PO Box 1050,1804 Highway 2 East,Brockville ON  K6V 5T1,(613) 345-1461
The Royal Ottawa Hospital,The Royal Ottawa Hospital,1145 Carling Avenue,Ottawa ON  K1Z 7K4,(613) 722-6521</t>
  </si>
  <si>
    <t>83026</t>
  </si>
  <si>
    <t>University of Calgary, 2005</t>
  </si>
  <si>
    <t>rTMS Clinic,Room 7M 415,399 Bathurst Street,Toronto ON  M5T 2S8</t>
  </si>
  <si>
    <t>(416) 603-5667</t>
  </si>
  <si>
    <t>(416) 603-5292</t>
  </si>
  <si>
    <t>Centre of Addiction &amp; Mental Health,- College Street Site:Toronto
University Health Network,Toronto Western Hospital Site:Toronto</t>
  </si>
  <si>
    <t>Dr. Jonathan Downar Medicine Professional Corporation</t>
  </si>
  <si>
    <t>Dr. J. Downar (CPSO# 83026)</t>
  </si>
  <si>
    <t>Toronto Western Hospital,Neuropsychiatry Clinic,Room 7M-415,399 Bathurst Street,Toronto ON  M5T 2S8,(416) 603-5667</t>
  </si>
  <si>
    <t>67193</t>
  </si>
  <si>
    <t xml:space="preserve">Active Member as of 09 Jul 1993 </t>
  </si>
  <si>
    <t>Royal College of Surgeons in Ireland, 1990</t>
  </si>
  <si>
    <t>Centre for Addiction,and Mental Health,4th floor, Building 3,1001 Queen St West,Toronto ON  M6J 1H4</t>
  </si>
  <si>
    <t>(416) 535-8501 Ext. 34389</t>
  </si>
  <si>
    <t>(416) 780-1957</t>
  </si>
  <si>
    <t>Centre for Addiction,and Mental Health,250 College Street,Toronto ON  M5T 1R8,Canada,Phone:(416) 535-8501 Ext. 34389,Fax:(416) 780-1957,County:City of Toronto,Electoral District:10
1920 Yonge St, Suite 200,Toronto,Ontario,Toronto ON  M4S 3E2,Canada,Phone:(416) 572-7500,Fax:(416) 572-7501,County:City of Toronto,Electoral District:10</t>
  </si>
  <si>
    <t>Psychiatry||Effective: 21 Nov 1997||RCPSC Specialist</t>
  </si>
  <si>
    <t>First certificate of registration issued: Independent Practice Certificate||Effective:   09 Jul 1993</t>
  </si>
  <si>
    <t>Dr. J. Rootenberg Medicine Professional Corporation</t>
  </si>
  <si>
    <t>Issued Date:  Nov 28 2012</t>
  </si>
  <si>
    <t>Dr. J. Rootenberg (CPSO# 67193)</t>
  </si>
  <si>
    <t>Centre for Addiction and Mental Health,6th Floor,250 College Street,Toronto ON  M5T 1R8,(416) 535-8501
Suite 200,Suite 200,455 Spadina Avenue,Toronto ON  M5S 2G8,(416) 535-8501
Unit 3-4,Unit 3-4,1001 Queen Street West,Toronto ON  M6J 1H4,(416) 535-8501
Suite 200,Suite 200,1920 Yonge Street,Toronto ON  M4S 3E2,(416) 572-7500</t>
  </si>
  <si>
    <t>54222</t>
  </si>
  <si>
    <t xml:space="preserve">Independent Practice as of 25 Sep 1985 </t>
  </si>
  <si>
    <t>Mount Sinai Hospital,600 University Avenue,Suite 1285-B,Toronto ON  M5G 1X5</t>
  </si>
  <si>
    <t>(416) 586-4800 Ext. 4557</t>
  </si>
  <si>
    <t>Centre of Addiction &amp; Mental Health,- College Street Site:Toronto
Mount Sinai Hospital:Toronto
University Health Network,Princess Margaret Hospital-Ontario Cancer Institute:Toronto</t>
  </si>
  <si>
    <t>University of Toronto, 11 Jun 1984  to 17 Jun 1985|Other - Internal Medicine
University of Toronto, 01 Jul 1985  to 30 Jun 1986|Resident 2 - Psychiatry
University of Toronto, 01 Jul 1986  to 30 Jun 1987|Resident 3 - Psychiatry
University of Toronto, 01 Jul 1987  to 30 Jun 1988|Resident 4 - Psychiatry
University of Toronto, 01 Jul 1988  to 30 Jun 1989|Resident 4 - Psychiatry
University of Toronto, 01 Jul 1989  to 30 Jun 1990|Clinical Fellow - Psychiatry</t>
  </si>
  <si>
    <t>First certificate of registration issued: Postgraduate Education Certificate||Effective:   11 Jun 1984
Transfer of class of registration to: Independent Practice Certificate||Effective:   25 Sep 1985</t>
  </si>
  <si>
    <t>Dr. Jonathan Joel Hunter Medicine Professional Corporation</t>
  </si>
  <si>
    <t>Issued Date:  Sep 11 2006</t>
  </si>
  <si>
    <t>Dr. J. Hunter (CPSO# 54222)</t>
  </si>
  <si>
    <t>Mount Sinai Hospital,600 University Avenue,Suite 1285-B,Toronto ON  M5G 1X5,(416) 586-4800</t>
  </si>
  <si>
    <t>81692</t>
  </si>
  <si>
    <t xml:space="preserve">Active Member as of 04 Jul 2007 </t>
  </si>
  <si>
    <t xml:space="preserve">Independent Practice as of 04 Jul 2007 </t>
  </si>
  <si>
    <t>Tufts University, 1989</t>
  </si>
  <si>
    <t>Brantford General Hospital,Mental Health Services East Wing,200 Terrace Hill Street,Brantford ON  N3R 1G9</t>
  </si>
  <si>
    <t>(519) 751-5885</t>
  </si>
  <si>
    <t>(519) 751-5898</t>
  </si>
  <si>
    <t>Psychiatry||Effective: 24 Apr 2006||RCPSC Specialist</t>
  </si>
  <si>
    <t>First certificate of registration issued: Restricted certificate||Effective:   14 Jul 2004
Terms and conditions imposed on certificate by Registration Committee||Effective:   14 Jul 2004
Expiry date attached to certificate of registration.||Expiry Date: 13 Jul 2007
Expired: Terms and conditions imposed on certificate by Registration Committee||Effective:   04 Jul 2007
Subsequent certificate of registration Issued: Independent Practice Certificate||Effective:   04 Jul 2007</t>
  </si>
  <si>
    <t>Dr. J. K. Briskin Medicine Professional Corporation</t>
  </si>
  <si>
    <t>Issued Date:  Dec 05 2005</t>
  </si>
  <si>
    <t>Dr. J. Briskin (CPSO# 81692)</t>
  </si>
  <si>
    <t>Brant Community Healthcare System,The Brant General - Department of Psychiatry,200 Terrace Hill Street,E Wing,Brantford ON  N3R 1G9,(519) 751-5885</t>
  </si>
  <si>
    <t>32985</t>
  </si>
  <si>
    <t xml:space="preserve">Active Member as of 30 Nov 1981 </t>
  </si>
  <si>
    <t xml:space="preserve">Independent Practice as of 30 Nov 1981 </t>
  </si>
  <si>
    <t>(613) 230-3323</t>
  </si>
  <si>
    <t>First certificate of registration issued: Independent Practice Certificate||Effective:   30 Nov 1981</t>
  </si>
  <si>
    <t>53764</t>
  </si>
  <si>
    <t xml:space="preserve">Active Member as of 20 Mar 1984 </t>
  </si>
  <si>
    <t xml:space="preserve">Independent Practice as of 20 Mar 1984 </t>
  </si>
  <si>
    <t>Oxford University, 1971</t>
  </si>
  <si>
    <t>Canadian Forces Health,Services Centre, Montfort Site,MGeneral George R Pearkes Bldg,101 Colonel By Drive,Ottawa ON  K1A 0K2</t>
  </si>
  <si>
    <t>93 Waverley Street,Ottawa ON  K2P 0V1,Canada,Phone:(613) 235-4700,Fax:(613) 235-4700,County:Regional Municipality of Ottawa-Carleton,Electoral District:07</t>
  </si>
  <si>
    <t>First certificate of registration issued: Independent Practice Certificate||Effective:   20 Mar 1984</t>
  </si>
  <si>
    <t>J. Pulman Medicine Professional Corporation</t>
  </si>
  <si>
    <t>Issued Date:  Sep 14 2010</t>
  </si>
  <si>
    <t>Dr. J. Pulman (CPSO# 53764)</t>
  </si>
  <si>
    <t>713 Montreal Road,Ottawa ON  K1T 0T2,(613) 945-1085
93 Waverley Street,93 Waverley Street,Ottawa ON  K2P 0V1,(613) 232-4700
National Defence Headquarters,National Defence Headquarters,101 Colonel By Drive,Ottawa ON  K1A 0K2,(613) 945-1085</t>
  </si>
  <si>
    <t>32461</t>
  </si>
  <si>
    <t>McGill University, 1979</t>
  </si>
  <si>
    <t>St. Joseph's Community Health,Centre,East Region Mental Health Services,2757 King Street East,Hamilton ON  L8G 5E4</t>
  </si>
  <si>
    <t>(905) 573-4801 Ext. 8017</t>
  </si>
  <si>
    <t>(905) 573-4802</t>
  </si>
  <si>
    <t>Dr. L. Solomon,1483 Main Street West,Hamilton ON  L8S 1E1,Canada,Phone:(905) 523-1616,County:Regional Municipality of Hamilton-Wentworth,Electoral District:04
Carlisle Medical Centre,1493 Centre Rd. SS2,Carlisle ON  L0R 1H2,Canada,Phone:(905) 689-3301,County:Regional Municipality of Hamilton-Wentworth,Electoral District:04
Rosedale Medical Group,280 Queenston Road,Hamilton ON  L8K 1H1,Canada,Phone:(905) 547-0508,Fax:(905) 547-6865,County:Regional Municipality of Hamilton-Wentworth,Electoral District:04</t>
  </si>
  <si>
    <t>Family Medicine||Effective: 01 Jul 1981||CFPC Specialist
Psychiatry||Effective: 04 Jun 1984||RCPSC Specialist</t>
  </si>
  <si>
    <t>First certificate of registration issued: Independent Practice Certificate||Effective:   11 Jun 1981</t>
  </si>
  <si>
    <t>52143</t>
  </si>
  <si>
    <t xml:space="preserve">Independent Practice as of 02 Apr 1987 </t>
  </si>
  <si>
    <t>National Autonomous University of Mexico, 1978</t>
  </si>
  <si>
    <t>393 King Street East,Toronto ON  M5A 1L3</t>
  </si>
  <si>
    <t>(416) 535-8501 Ext. 77667</t>
  </si>
  <si>
    <t>First certificate of registration issued: Postgraduate Education Certificate||Effective:   07 Jul 1980
Transfer of class of registration to: Independent Practice Certificate||Effective:   02 Apr 1987</t>
  </si>
  <si>
    <t>50830</t>
  </si>
  <si>
    <t xml:space="preserve">Active Member as of 02 May 1985 </t>
  </si>
  <si>
    <t xml:space="preserve">Independent Practice as of 02 May 1985 </t>
  </si>
  <si>
    <t>National Autonomous University of Mexico, 1976</t>
  </si>
  <si>
    <t>Suite 103,3600 North 23rd Street,McAllen TX  78501,United States</t>
  </si>
  <si>
    <t>(956) 682-4401</t>
  </si>
  <si>
    <t>(956) 684-9081</t>
  </si>
  <si>
    <t>USA - Arizona
USA - Florida
USA - Louisiana
USA - Texas</t>
  </si>
  <si>
    <t>First certificate of registration issued: Postgraduate Education Certificate||Effective:   01 Jul 1980
Expired: Terms and conditions of certificate of registration||Expiry:      30 Jun 1984
Subsequent certificate of registration Issued: Independent Practice Certificate||Effective:   02 May 1985</t>
  </si>
  <si>
    <t>66879</t>
  </si>
  <si>
    <t>St Joseph's Health Centre,Toronto ON  M6R 1B5</t>
  </si>
  <si>
    <t>(416) 530-6780</t>
  </si>
  <si>
    <t>University of Toronto, 01 Jul 1993  to 30 Jun 1994|PostGrad Yr 1 - Psychiatry
University of Toronto, 01 Jul 1994  to 30 Jun 1995|Resident 1 - Psychiatry
University of Toronto, 01 Jul 1995  to 30 Jun 1996|Resident 2 - Psychiatry
University of Toronto, 01 Jul 1996  to 30 Jun 1997|Resident 3 - Psychiatry
University of Toronto, 01 Jul 1997  to 30 Jun 1998|Resident 4 - Psychiatry
University of Toronto, 01 Jul 1998  to 30 Jun 1999|Clinical Fellow - Psychiatry</t>
  </si>
  <si>
    <t>J. Silveira Medicine Professional Corporation</t>
  </si>
  <si>
    <t>Issued Date:  Oct 26 2011</t>
  </si>
  <si>
    <t>Dr. J. Silveira (CPSO# 66879)</t>
  </si>
  <si>
    <t>St Joseph's Health Centre,30 The Queensway,Suite 5G-129,Toronto ON  M6R 1B5,(416) 530-6780</t>
  </si>
  <si>
    <t>63545</t>
  </si>
  <si>
    <t xml:space="preserve">Active Member as of 29 May 1991 </t>
  </si>
  <si>
    <t xml:space="preserve">Independent Practice as of 29 May 1991 </t>
  </si>
  <si>
    <t>University of Montreal, 1984</t>
  </si>
  <si>
    <t>IUSMM,7401 Hochelaga,Montreal QC  H1N 3M5</t>
  </si>
  <si>
    <t>(514) 251-4000</t>
  </si>
  <si>
    <t>Psychiatry||Effective: 30 May 1988||RCPSC Specialist</t>
  </si>
  <si>
    <t>First certificate of registration issued: Independent Practice Certificate||Effective:   29 May 1991</t>
  </si>
  <si>
    <t>71215</t>
  </si>
  <si>
    <t>The Youthdale Child and Adolescent,Sleep Centre,227 Victoria St Lower Level 2,Toronto ON  M5B 1T8</t>
  </si>
  <si>
    <t>The Sleep and Altertness Clinic,790 Bay Street, Suite #800,Toronto ON  M5G 1N8,Canada,Phone:(647) 479-2156 Ext. 201,County:City of Toronto,Electoral District:10
208-390 Steeles Av W,Thornhill ON  L4J 6X2,Canada,Phone:905-709-9696,Fax:905-709-9764,County:Regional Municipality of York,Electoral District:05
OATC Brampton,14 Nelson St, Units A and B,Brampton ON  L6X 1B7,Canada,Phone:(905) 450-6679,Fax:(905) 450-7741,County:Regional Municipality of Peel,Electoral District:05
OATC Danforth,1154 Danforth Ave,Toronto ON  M4J 1M3,Canada,Phone:(647) 748-8780,Fax:(647) 748-8783,County:City of Toronto,Electoral District:10</t>
  </si>
  <si>
    <t>University of Toronto, 01 Jul 1997  to 30 Jun 1998|PostGrad Yr 1 - Psychiatry
University of Toronto, 01 Jul 1998  to 30 Jun 1999|PostGrad Yr 2 - Psychiatry
University of Toronto, 01 Jul 1999  to 30 Jun 2000|PostGrad Yr 3 - Psychiatry
University of Toronto, 01 Jul 2000  to 30 Jun 2001|PostGrad Yr 4 - Psychiatry
University of Toronto, 01 Jul 2001  to 30 Jun 2002|PostGrad Yr 5 - Psychiatry
University of Toronto, 01 Jul 2002  to 30 Jun 2003|Clinical Fellow - Psychiatry</t>
  </si>
  <si>
    <t>J. Barbera Medicine Professional Corporation</t>
  </si>
  <si>
    <t>Issued Date:  Sep 19 2013</t>
  </si>
  <si>
    <t>Dr. J. Barbera (CPSO# 71215)</t>
  </si>
  <si>
    <t>The Youthdale Child and Adolescent Sleep Centre,227 Victoria Street,Lower Level 2,Toronto ON  M5B 1T8,(416) 703-0505
The Sleep &amp; Alertness Clinic,The Sleep &amp; Alertness Clinic,790 Bay Street,Suite 950,Toronto ON  M5G 1N8,(647) 479-2156
Units A + B,Units A + B,14 Nelson Street,Brampton ON  L6X 1B7,(905) 450-6679
The Toronto Sleep Institute,The Toronto Sleep Institute,208 - 390 Steeles Avenue West,Thornhill ON  L4J 6X2,(905) 709-9696</t>
  </si>
  <si>
    <t>24915</t>
  </si>
  <si>
    <t xml:space="preserve">Active Member as of 24 Jul 1972 </t>
  </si>
  <si>
    <t xml:space="preserve">Independent Practice as of 24 Jul 1972 </t>
  </si>
  <si>
    <t>University of London, 1966</t>
  </si>
  <si>
    <t>4430 Bathurst Street,Suite 501,Toronto ON  M3H 3S3</t>
  </si>
  <si>
    <t>(416) 630-8775</t>
  </si>
  <si>
    <t>First certificate of registration issued: Postgraduate Education Certificate||Effective:   01 Jul 1972
Transfer of class of registration to: Independent Practice Certificate||Effective:   24 Jul 1972</t>
  </si>
  <si>
    <t>60695</t>
  </si>
  <si>
    <t xml:space="preserve">Independent Practice as of 31 Jul 1990 </t>
  </si>
  <si>
    <t>St. Josephs Healthcare Hamilton,Mountain Health Services,100 West 5th Street,P O Box 585,Hamilton ON  L8N 3K7</t>
  </si>
  <si>
    <t>(905) 522-1155 Ext. 39410</t>
  </si>
  <si>
    <t>(905) 381-5605</t>
  </si>
  <si>
    <t>McMaster University, 01 Jul 1989  to 30 Jun 1990|Other - Comprehensive Internship
McMaster University, 01 Jul 1990  to 30 Jun 1991|Resident 1 - Psychiatry
McMaster University, 01 Jul 1991  to 30 Jun 1992|Resident 2 - Psychiatry
McMaster University, 01 Jul 1992  to 30 Jun 1993|Resident 4 - Psychiatry</t>
  </si>
  <si>
    <t>First certificate of registration issued: Postgraduate Education Certificate||Effective:   01 Jul 1989
Transfer of class of registration to: Independent Practice Certificate||Effective:   31 Jul 1990</t>
  </si>
  <si>
    <t>Dr. Joseph Ferencz Medicine Professional Corporation</t>
  </si>
  <si>
    <t>Dr. J. Ferencz (CPSO# 60695)</t>
  </si>
  <si>
    <t>St. Josephs Healthcare Hamilton,Mountain Health Services,100 West 5th Street,P.O. Box 585,Hamilton ON  L8N 3K7,(905) 522-1155</t>
  </si>
  <si>
    <t>65087</t>
  </si>
  <si>
    <t xml:space="preserve">Independent Practice as of 20 Jul 1992 </t>
  </si>
  <si>
    <t>Parkwood Hospital,Operation Stress Inquiry Clinic,550 Wellington Road,London ON  N6C 0A7</t>
  </si>
  <si>
    <t>(519) 685-4292 Ext. 42399</t>
  </si>
  <si>
    <t>(519) 685-4585</t>
  </si>
  <si>
    <t>Anxiety Treatment &amp; Research Clinic,St. Joseph's Healthcare Hamilton,West 5th Site,100 West 5th Street  Hamilton, ON,Hamilton ON  L8P 3B6,Canada,Phone:(905) 522-1155 Ext. 34964,County:Regional Municipality of Hamilton-Wentworth,Electoral District:04</t>
  </si>
  <si>
    <t>St Joseph's Health Care,London - Parkwood Hospital:London
St Joseph's Healthcare System,Hamilton:Hamilton</t>
  </si>
  <si>
    <t>First certificate of registration issued: Postgraduate Education Certificate||Effective:   01 Jul 1992
Transfer of class of registration to: Independent Practice Certificate||Effective:   20 Jul 1992</t>
  </si>
  <si>
    <t>Dr. J. Donald Richardson Medicine Professional Corporation</t>
  </si>
  <si>
    <t>Issued Date:  Nov 15 2006</t>
  </si>
  <si>
    <t>Dr. J. Richardson (CPSO# 65087)</t>
  </si>
  <si>
    <t>Parkwood Hospital,Operation Stress Inquiry Clinic,550 Wellington Road,London ON  N6C 0A7,(519) 685-4292
Anxiety Treatment &amp; Research Clinic,Anxiety Treatment &amp; Research Clinic,St. Joseph's Healthcare Hamilton,West 5th Site,100 West 5th Street,Hamilton ON  L8P 3B6,(905) 522-1155</t>
  </si>
  <si>
    <t>23973</t>
  </si>
  <si>
    <t xml:space="preserve">Active Member as of 06 Aug 1971 </t>
  </si>
  <si>
    <t xml:space="preserve">Independent Practice as of 06 Aug 1971 </t>
  </si>
  <si>
    <t>University of Melbourne, 1964</t>
  </si>
  <si>
    <t>1 St. Clair Avenue East,Suite 606,Toronto ON  M4T 2V7</t>
  </si>
  <si>
    <t>(416) 961-2282</t>
  </si>
  <si>
    <t>Psychiatry||Effective: 01 Jan 1970||RCPSC Specialist</t>
  </si>
  <si>
    <t>First certificate of registration issued: Postgraduate Education Certificate||Effective:   01 Jul 1968
Transfer of class of registration to: Independent Practice Certificate||Effective:   06 Aug 1971</t>
  </si>
  <si>
    <t>Joseph Feldmann Medicine Professional Corporation</t>
  </si>
  <si>
    <t>Issued Date:  Aug 15 2008</t>
  </si>
  <si>
    <t>Dr. J. Feldmann (CPSO# 23973)</t>
  </si>
  <si>
    <t>Suite 606,1 St. Clair Avenue East,Toronto ON  M4T 2V7,(416) 961-2282</t>
  </si>
  <si>
    <t>26471</t>
  </si>
  <si>
    <t xml:space="preserve">Active Member as of 12 Jun 1974 </t>
  </si>
  <si>
    <t xml:space="preserve">Independent Practice as of 12 Jun 1974 </t>
  </si>
  <si>
    <t>Centre For Addiction,And Mental Health,Child, Youth And Family Program,80 Workman Way,Toronto ON  M6J 1H4</t>
  </si>
  <si>
    <t>(416) 535-8501 Ext. 36813</t>
  </si>
  <si>
    <t>Centre of Addiction &amp; Mental Health,- College Street Site:Toronto
Hospital For Sick Children:Toronto</t>
  </si>
  <si>
    <t>First certificate of registration issued: Independent Practice Certificate||Effective:   12 Jun 1974</t>
  </si>
  <si>
    <t>Dr. Joseph Beitchman Medicine Professional Corporation</t>
  </si>
  <si>
    <t>Issued Date:  Nov 25 2008</t>
  </si>
  <si>
    <t>Dr. J. Beitchman (CPSO# 26471)</t>
  </si>
  <si>
    <t>Centre for Addiction and Mental Health,Child, Youth and Family Program,80 Workman Way,Toronto ON  M6J 1H4,(416) 535-8501</t>
  </si>
  <si>
    <t>23625</t>
  </si>
  <si>
    <t xml:space="preserve">Active Member as of 22 Jun 1971 </t>
  </si>
  <si>
    <t xml:space="preserve">Independent Practice as of 22 Jun 1971 </t>
  </si>
  <si>
    <t>English, Hebrew, Yiddish</t>
  </si>
  <si>
    <t>Suite 201,441 Clark Avenue West,Thornhill ON  L4J 6W8</t>
  </si>
  <si>
    <t>(905) 882-8103</t>
  </si>
  <si>
    <t>First certificate of registration issued: Postgraduate Education Certificate||Effective:   16 Jun 1970
First certificate of registration issued: Independent Practice Certificate||Effective:   22 Jun 1971</t>
  </si>
  <si>
    <t>Joseph Wohlgelernter Medicine Professional Corporation</t>
  </si>
  <si>
    <t>Issued Date:  Sep 09 2009</t>
  </si>
  <si>
    <t>Dr. J. Wohlgelernter (CPSO# 23625)</t>
  </si>
  <si>
    <t>Suite 201,441 Clark Avenue West,Thornhill ON  L4J 6W8,(905) 882-8103</t>
  </si>
  <si>
    <t>23337</t>
  </si>
  <si>
    <t xml:space="preserve">Active Member as of 16 Dec 1970 </t>
  </si>
  <si>
    <t xml:space="preserve">Independent Practice as of 16 Dec 1970 </t>
  </si>
  <si>
    <t>University of Dublin, 1963</t>
  </si>
  <si>
    <t>Center for Addiction,and Mental Health,250 College Street,Toronto ON  M5T 1R8</t>
  </si>
  <si>
    <t>(416) 979-6863</t>
  </si>
  <si>
    <t>Psychiatry||Effective: 19 Nov 1970||RCPSC Specialist</t>
  </si>
  <si>
    <t>First certificate of registration issued: Postgraduate Education Certificate||Effective:   01 Jul 1964
Expired: Terms and conditions of certificate of registration||Expiry:      30 Jun 1966
Subsequent certificate of registration Issued: Temporary Employment Practice Certificate||Effective:   17 Jul 1969
Transfer of class of registration to: Independent Practice Certificate||Effective:   16 Dec 1970</t>
  </si>
  <si>
    <t>51852</t>
  </si>
  <si>
    <t xml:space="preserve">Active Member as of 04 Jan 1983 </t>
  </si>
  <si>
    <t xml:space="preserve">Independent Practice as of 10 Feb 1983 </t>
  </si>
  <si>
    <t>University of Sherbrooke, 1976</t>
  </si>
  <si>
    <t>Programme psychiatrique du nord de,l'Ontario,Suite 5457,1145 Carling avenue Ottawa,Ottawa ON  K1Z 7K4</t>
  </si>
  <si>
    <t>(613) 722-6521 Ext. 5829</t>
  </si>
  <si>
    <t>First certificate of registration issued: Postgraduate Education Certificate||Effective:   18 Jul 1979
Expired: Terms and conditions of certificate of registration||Expiry:      30 Jun 1982
Subsequent certificate of registration Issued: Postgraduate Education Certificate||Effective:   04 Jan 1983
Transfer of class of registration to: Independent Practice Certificate||Effective:   10 Feb 1983</t>
  </si>
  <si>
    <t>P.F. Tessier Medicine Professional Corporation</t>
  </si>
  <si>
    <t>Issued Date:  Mar 31 2008</t>
  </si>
  <si>
    <t>Dr. J. Tessier (CPSO# 51852)</t>
  </si>
  <si>
    <t>Programme Psychiatrique du nord de L'Ontario,1145 Carling Avenue,Suite 5457,Ottawa ON  K1Z 7K4,(613) 722-6521
1525 rue Annonciation nord,1525 rue Annonciation nord,Riviere Rouge QC  J0T 1T0,(819) 275-2118
2561 Chemin de la Lievre Sud,2561 Chemin de la Lievre Sud,Mont Laurier QC  J9L 3G3,(819) 623-1234</t>
  </si>
  <si>
    <t>26740</t>
  </si>
  <si>
    <t xml:space="preserve">Active Member as of 15 Jul 1974 </t>
  </si>
  <si>
    <t xml:space="preserve">Independent Practice as of 15 Jul 1974 </t>
  </si>
  <si>
    <t>University of Ottawa, 1973</t>
  </si>
  <si>
    <t>Ottawa Hospital, General Campus,Suite 4424,501 Smyth Road,Ottawa ON  K1H 8L6</t>
  </si>
  <si>
    <t>First certificate of registration issued: Postgraduate Education Certificate||Effective:   15 Jun 1973
Transfer of class of registration to: Independent Practice Certificate||Effective:   15 Jul 1974</t>
  </si>
  <si>
    <t>93857</t>
  </si>
  <si>
    <t>Humber River Hospital,1235 Wilson Avenue,Toronto ON  M3M 0B2</t>
  </si>
  <si>
    <t>416-242-1000</t>
  </si>
  <si>
    <t>McMaster University, 01 Jul 2010  to 30 Jun 2011|PostGrad Yr 1 - Anesthesiology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t>
  </si>
  <si>
    <t>Park Medicine Professional Corporation</t>
  </si>
  <si>
    <t>Issued Date:  Jan 19 2016</t>
  </si>
  <si>
    <t>Dr. J. Park (CPSO# 93857)</t>
  </si>
  <si>
    <t>Humber River Hospital,1235 Wilson Avenue,Toronto ON  M3M 0B2,(416) 242-1000</t>
  </si>
  <si>
    <t>97854</t>
  </si>
  <si>
    <t>4163236230</t>
  </si>
  <si>
    <t>93367</t>
  </si>
  <si>
    <t xml:space="preserve">Independent Practice as of 21 Oct 2016 </t>
  </si>
  <si>
    <t>LHSC Victoria Hospital,Department of Psychiatry,North Tower Room B8-44,800 Commissioners Road East,London ON  N6A 5W9</t>
  </si>
  <si>
    <t>Psychiatry||Effective: 30 Jun 2015||RCPSC Specialist
Child and Adolescent Psychiatry||Effective: 26 Sep 2017||RCPSC Specialist</t>
  </si>
  <si>
    <t>The University of Western Ontario, 01 Jul 2010  to 30 Jun 2011|PostGrad Yr 1 - Psychiatry
The University of Western Ontario, 01 Jul 2011  to 30 Jun 2012|PostGrad Yr 2 - Psychiatry
The University of Western Ontario, 01 Jul 2012  to 30 Jun 2013|PostGrad Yr 3 - Psychiatry
The University of Western Ontario, 01 Jul 2013  to 30 Jun 2014|PostGrad Yr 4 - Psychiatry
The University of Western Ontario, 01 Jul 2014  to 30 Jun 2015|PostGrad Yr 5 - Child and Adolescent Psychiatry
The University of Western Ontario, 01 Jul 2015  to 30 Jun 2016|PostGrad Yr 6 - Child and Adolescent Psychiatry
The University of Western Ontario, 01 Jul 2016  to 06 Nov 2016|PostGrad Yr 6 - Child and Adolescent Psychiatry
The University of Western Ontario, 07 Nov 2016  to 18 Nov 2016|PostGrad Yr 6 - Child and Adolescent Psychiatry</t>
  </si>
  <si>
    <t>First certificate of registration issued: Postgraduate Education Certificate||Effective:   01 Jul 2010
Transfer of class of registration to: Independent Practice Certificate||Effective:   21 Oct 2016</t>
  </si>
  <si>
    <t>Dr. J. Abramson Medicine Professional Corporation</t>
  </si>
  <si>
    <t>Issued Date:  Nov 23 2016</t>
  </si>
  <si>
    <t>Dr. J. Abramson (CPSO# 93367)</t>
  </si>
  <si>
    <t>LHSC Victoria Hospital,Department of Psychiatry,800 Commissioners Road East,North Tower Room B8 44,London ON  N6A 5W9,(519) 685-8500</t>
  </si>
  <si>
    <t>61374</t>
  </si>
  <si>
    <t xml:space="preserve">Active Member as of 18 Sep 1991 </t>
  </si>
  <si>
    <t xml:space="preserve">Independent Practice as of 18 Sep 1991 </t>
  </si>
  <si>
    <t>Ottawa Anxiety and Trauma Clinic,Billings Bridge Plaza,Suite 202,2277 Riverside Drive,Ottawa ON  K1H 7X6</t>
  </si>
  <si>
    <t>(613) 737-1194 Ext. 227</t>
  </si>
  <si>
    <t>(613) 737-5884</t>
  </si>
  <si>
    <t>Psychiatry||Effective: 15 Dec 2004||RCPSC Specialist</t>
  </si>
  <si>
    <t>University of Ottawa, 01 Jan 1998  to 31 Dec 1998|PostGrad Yr 2 - Psychiatry
University of Ottawa, 01 Jan 1999  to 30 Jun 1999|PostGrad Yr 2 - Psychiatry
University of Ottawa, 01 Jul 1999  to 14 Feb 2000|PostGrad Yr 2 - Psychiatry
University of Ottawa, 15 Feb 2000  to 14 Feb 2001|PostGrad Yr 3 - Psychiatry
University of Ottawa, 15 Feb 2001  to 30 Jun 2001|PostGrad Yr 4 - Psychiatry
University of Ottawa, 01 Jul 2001  to 30 Jun 2002|PostGrad Yr 4 - Psychiatry
University of Ottawa, 01 Jul 2003  to 31 Jul 2003|PostGrad Yr 4 - Psychiatry
University of Ottawa, 01 Aug 2003  to 30 Jun 2004|PostGrad Yr 5 - Psychiatry
University of Ottawa, 01 Jul 2004  to 15 Dec 2004|PostGrad Yr 5 - Psychiatry
University of Ottawa, 06 Sep 2005  to 05 Sep 2006|Clinical Fellow - Family Medicine
University of Ottawa, 06 Sep 2006  to 11 May 2007|Clinical Fellow - Family Medicine (Enhanced Skills)</t>
  </si>
  <si>
    <t>First certificate of registration issued: Postgraduate Education Certificate||Effective:   27 Jun 1989
Expired: Terms and conditions of certificate of registration||Expiry:      14 Jun 1990
Subsequent certificate of registration Issued: Independent Practice Certificate||Effective:   18 Sep 1991</t>
  </si>
  <si>
    <t>Dr. Joy A. Zeglinski Medicine Professional Corporation</t>
  </si>
  <si>
    <t>Issued Date:  Mar 07 2014</t>
  </si>
  <si>
    <t>Dr. J. Zeglinski (CPSO# 61374)</t>
  </si>
  <si>
    <t>Ottawa Anxiety and Trauma Clinic,Billings Bridge Plaza,2277 Riverside Drive,Suite 202,Ottawa ON  K1H 7X6,(613) 737-1194</t>
  </si>
  <si>
    <t>64685</t>
  </si>
  <si>
    <t xml:space="preserve">Active Member as of 04 Nov 1991 </t>
  </si>
  <si>
    <t xml:space="preserve">Independent Practice as of 04 Nov 1991 </t>
  </si>
  <si>
    <t>Ontario Medical Association,Physician Health Program,150 Bloor Street West, Suite 900,Toronto ON  M5S 3C1</t>
  </si>
  <si>
    <t>(416) 340-2954</t>
  </si>
  <si>
    <t>(416) 340-2860</t>
  </si>
  <si>
    <t>St. Michael's Hospital,Department of Psychiatry,17th floor Cardinal Carter Wing,30 Bond St.,Toronto ON  M5B 1W8,Canada,Phone:(416) 864-6060 Ext. 5418,Fax:(416) 864-5480,County:City of Toronto,Electoral District:10</t>
  </si>
  <si>
    <t>University of Ottawa, 01 Jul 1995  to 30 Jun 1996|Resident 4 - Psychiatry
University of Ottawa, 01 Jul 1996  to 31 Dec 1996|Resident 4 - Psychiatry</t>
  </si>
  <si>
    <t>First certificate of registration issued: Independent Practice Certificate||Effective:   04 Nov 1991</t>
  </si>
  <si>
    <t>23907</t>
  </si>
  <si>
    <t xml:space="preserve">Active Member as of 21 Jul 1971 </t>
  </si>
  <si>
    <t xml:space="preserve">Independent Practice as of 21 Jul 1971 </t>
  </si>
  <si>
    <t>Suite 306,3910 Bathurst Street,Toronto ON  M3H 5Z3</t>
  </si>
  <si>
    <t>(416) 756-2114</t>
  </si>
  <si>
    <t>First certificate of registration issued: Postgraduate Education Certificate||Effective:   29 Jul 1969
Transfer of class of registration to: Independent Practice Certificate||Effective:   21 Jul 1971</t>
  </si>
  <si>
    <t>25264</t>
  </si>
  <si>
    <t xml:space="preserve">Active Member as of 10 Oct 1972 </t>
  </si>
  <si>
    <t xml:space="preserve">Independent Practice as of 10 Oct 1972 </t>
  </si>
  <si>
    <t>1211 Bathurst Street,Toronto ON  M5R 3H3</t>
  </si>
  <si>
    <t>(416) 928-0372</t>
  </si>
  <si>
    <t>(416) 484-9809</t>
  </si>
  <si>
    <t>21 Donwoods Drive,Toronto ON  M4N 2E9,Canada,Phone:(416) 484-9999,Fax:(416) 484-9809,County:City of Toronto,Electoral District:10</t>
  </si>
  <si>
    <t>First certificate of registration issued: Independent Practice Certificate||Effective:   10 Oct 1972</t>
  </si>
  <si>
    <t>Judith Hamilton Medicine Professional Corporation</t>
  </si>
  <si>
    <t>Dr. J. Hamilton (CPSO# 25264)</t>
  </si>
  <si>
    <t>1211 Bathurst Street,Toronto ON  M5R 3H3,(416) 928-0372
21 Donwoods Drive,21 Donwoods Drive,Toronto ON  M4N 2E9,(416) 424-9999</t>
  </si>
  <si>
    <t>33449</t>
  </si>
  <si>
    <t xml:space="preserve">Active Member as of 02 Jul 1982 </t>
  </si>
  <si>
    <t>The University of Manitoba, 1976</t>
  </si>
  <si>
    <t>Unit 203,453A Eglinton Avenue West,Toronto ON  M5N 1A7</t>
  </si>
  <si>
    <t>(416) 920-1838</t>
  </si>
  <si>
    <t>First certificate of registration issued: Independent Practice Certificate||Effective:   02 Jul 1982</t>
  </si>
  <si>
    <t>86799</t>
  </si>
  <si>
    <t>North York General Hospital,Mental Health Department, 8 North,4001 Leslie Street,North York ON  M2K 1E1</t>
  </si>
  <si>
    <t>(416) 756-6655</t>
  </si>
  <si>
    <t>Judy Lin Medicine Professional Corporation</t>
  </si>
  <si>
    <t>Issued Date:  Jun 19 2014</t>
  </si>
  <si>
    <t>Dr. J. Lin (CPSO# 86799)</t>
  </si>
  <si>
    <t>North York General Hospital,4001 Leslie Street,8 North,Toronto ON  M2K 1E1,(416) 756-6655</t>
  </si>
  <si>
    <t>62569</t>
  </si>
  <si>
    <t xml:space="preserve">Independent Practice as of 21 Jan 1992 </t>
  </si>
  <si>
    <t>McMaster University, 01 Jul 1990  to 30 Jun 1991|Other - Comprehensive Internship
McMaster University, 01 Jul 1991  to 30 Jun 1992|Resident 1 - Psychiatry
McMaster University, 01 Jul 1992  to 30 Jun 1993|Resident 2 - Psychiatry
McMaster University, 01 Jul 1993  to 30 Jun 1994|Resident 4 - Psychiatry</t>
  </si>
  <si>
    <t>First certificate of registration issued: Postgraduate Education Certificate||Effective:   01 Jul 1990
Transfer of class of registration to: Independent Practice Certificate||Effective:   21 Jan 1992</t>
  </si>
  <si>
    <t>Jeffrey Weitz Medicine Professional Corporation</t>
  </si>
  <si>
    <t>Issued Date:  Dec 07 2012</t>
  </si>
  <si>
    <t>Dr. J. Masterson (CPSO# 62569),Dr. J. Weitz (CPSO# 43956)</t>
  </si>
  <si>
    <t>Thrombosis and Atherosclerosis,Research Institute,237 Barton Street East,Suite C5-123,Hamilton ON  L8L 2X2,(905) 574-8550
Juravinski Hospital,Juravinski Hospital,711 Concession Street,Hamilton ON  L8V 1C3,(905) 389-4411</t>
  </si>
  <si>
    <t>99985</t>
  </si>
  <si>
    <t>University of Saskatchewan, 2009</t>
  </si>
  <si>
    <t>Providence Care,Mental Health Services,Department of Psychiatry,752 King Street West,Kingston ON  K7L 4X3</t>
  </si>
  <si>
    <t>(613) 544-4900 Ext. 53503</t>
  </si>
  <si>
    <t>Brockville General Hospital:Brockville
Kingston Health Sciences Centre:Kingston
Providence Care Hospital:Kingston
Quinte Healthcare,Belleville General Site:Belleville</t>
  </si>
  <si>
    <t>Queen's University, 01 Apr 2013  to 30 Jun 2013|Elective Trainee - Psychiatry
Queen's University, 01 Jul 2014  to 30 Jun 2015|Clinical Fellow - Psychiatry</t>
  </si>
  <si>
    <t>First certificate of registration issued: Postgraduate Education Certificate||Effective:   01 Apr 2013
Expired: Terms and conditions of certificate of registration||Expiry:      30 Jun 2013
Subsequent certificate of registration Issued: Independent Practice Certificate||Effective:   30 Jun 2014</t>
  </si>
  <si>
    <t>Dr. Julia Kirkham Medicine Professional Corporation</t>
  </si>
  <si>
    <t>Dr. J. Kirkham (CPSO# 99985)</t>
  </si>
  <si>
    <t>Kingston General Hospital,76 Stuart Street,Kingston ON  K7L 2V7,(613) 548-3232
Providence Care,Providence Care,Mental Health Services,Department of Psychiatry,752 King Street West,Kingston ON  K7M 9A7,(613) 544-4900
Brockville General Hospital,Brockville General Hospital,75 Charles Street,Brockville ON  K6V 1S8,(613) 345-5645</t>
  </si>
  <si>
    <t>100913</t>
  </si>
  <si>
    <t xml:space="preserve">Active Member as of 24 Jul 2018 </t>
  </si>
  <si>
    <t xml:space="preserve">Independent Practice as of 24 Jul 2018 </t>
  </si>
  <si>
    <t>Centre for Addiction and Mental,Health,Department of Psychiatry,250 College St,Toronto ON  M5T 1R8</t>
  </si>
  <si>
    <t>(416) 979-4276</t>
  </si>
  <si>
    <t>First certificate of registration issued: Postgraduate Education Certificate||Effective:   01 Jul 2013
Expired: Terms and conditions of certificate of registration||Expiry:      30 Jun 2018
Subsequent certificate of registration Issued: Independent Practice Certificate||Effective:   24 Jul 2018</t>
  </si>
  <si>
    <t>99126</t>
  </si>
  <si>
    <t xml:space="preserve">Active Member as of 20 Jul 2012 </t>
  </si>
  <si>
    <t>RCSI - Medical University of Bahrain, 2012</t>
  </si>
  <si>
    <t>(613) 737-7350</t>
  </si>
  <si>
    <t>University of Ottawa, 20 Jul 2012  to 11 Oct 2012|Assessment Verification Period - Psychiatry
University of Ottawa, 12 Oct 2012  to 30 Jun 2013|PostGrad Yr 1 - Psychiatry
University of Ottawa, 01 Jul 2013  to 30 Jun 2014|PostGrad Yr 1 - Psychiatry
University of Ottawa, 01 Jul 2014  to 20 Jul 2014|PostGrad Yr 1 - Psychiatry
University of Ottawa, 21 Jul 2014  to 30 Jun 2015|PostGrad Yr 2 - Psychiatry
University of Ottawa, 01 Jul 2015  to 20 Jul 2015|PostGrad Yr 2 - Psychiatry
University of Ottawa, 21 Jul 2015  to 30 Jun 2016|PostGrad Yr 3 - Psychiatry
University of Ottawa, 01 Jul 2016  to 20 Jul 2016|PostGrad Yr 3 - Psychiatry
University of Ottawa, 21 Jul 2016  to 30 Jun 2017|PostGrad Yr 4 - Psychiatry
University of Ottawa, 01 Jul 2017  to 20 Jul 2017|PostGrad Yr 4 - Psychiatry
University of Ottawa, 21 Jul 2017  to 30 Jun 2018|PostGrad Yr 5 - Psychiatry</t>
  </si>
  <si>
    <t>First certificate of registration issued: Pre Entry Assessment Program Certificate||Effective:   20 Jul 2012
Transfer of class of registration to: Postgraduate Education Certificate||Effective:   12 Oct 2012
Transfer of class of registration to: Independent Practice Certificate||Effective:   30 Jun 2018</t>
  </si>
  <si>
    <t>65873</t>
  </si>
  <si>
    <t xml:space="preserve">Active Member as of 06 Aug 1992 </t>
  </si>
  <si>
    <t xml:space="preserve">Independent Practice as of 06 Aug 1992 </t>
  </si>
  <si>
    <t>Mysore University, 1982</t>
  </si>
  <si>
    <t>Suite 303,720 Spadina Avenue,Toronto ON  M5S 2T9</t>
  </si>
  <si>
    <t>(416) 323-9939</t>
  </si>
  <si>
    <t>(416) 323-3166</t>
  </si>
  <si>
    <t>1804 Highway 2 E,Brockville ON  K6V 5W7,Canada,Phone:613 341 2870,County:County of Leeds and Grenville,Electoral District:06</t>
  </si>
  <si>
    <t>University of Ottawa, 01 Jul 1993  to 30 Jun 1994|Clinical Fellow - Psychiatry</t>
  </si>
  <si>
    <t>First certificate of registration issued: Independent Practice Certificate||Effective:   06 Aug 1992</t>
  </si>
  <si>
    <t>Dr. Julian Gojer Medicine Professional Corporation</t>
  </si>
  <si>
    <t>Issued Date:  Jun 09 2006</t>
  </si>
  <si>
    <t>Dr. J. Gojer (CPSO# 65873)</t>
  </si>
  <si>
    <t>Suite 303,720 Spadina Avenue,Toronto ON  M5S 2T9,(416) 323-9939</t>
  </si>
  <si>
    <t>86546</t>
  </si>
  <si>
    <t xml:space="preserve">Active Member as of 19 Feb 2013 </t>
  </si>
  <si>
    <t xml:space="preserve">Independent Practice as of 19 Feb 2013 </t>
  </si>
  <si>
    <t>Psychiatry||Effective: 28 Dec 2012||RCPSC Specialist</t>
  </si>
  <si>
    <t>The University of Western Ontario, 01 Jul 2007  to 30 Jun 2008|PostGrad Yr 1 - Psychiatry
The University of Western Ontario, 01 Jul 2008  to 30 Jun 2009|PostGrad Yr 2 - Psychiatry
The University of Western Ontario, 01 Jul 2009  to 30 Jun 2010|PostGrad Yr 3 - Psychiatry
The University of Western Ontario, 01 Jul 2010  to 30 Jun 2011|PostGrad Yr 4 - Psychiatry
The University of Western Ontario, 01 Jul 2011  to 30 Jun 2012|PostGrad Yr 5 - Psychiatry
The University of Western Ontario, 01 Jul 2012  to 28 Dec 2012|PostGrad Yr 5 - Psychiatry</t>
  </si>
  <si>
    <t>First certificate of registration issued: Postgraduate Education Certificate||Effective:   01 Jul 2007
Expired: Terms and conditions of certificate of registration||Expiry:      28 Dec 2012
Subsequent certificate of registration Issued: Independent Practice Certificate||Effective:   19 Feb 2013</t>
  </si>
  <si>
    <t>67978</t>
  </si>
  <si>
    <t>University of Ottawa, 1994</t>
  </si>
  <si>
    <t>SUITE 819,4789 YONGE STREET,Toronto ON  M2N 0G3</t>
  </si>
  <si>
    <t>416-703-7167</t>
  </si>
  <si>
    <t>69305</t>
  </si>
  <si>
    <t xml:space="preserve">Active Member as of 19 Jan 2001 </t>
  </si>
  <si>
    <t xml:space="preserve">Independent Practice as of 19 Jan 2001 </t>
  </si>
  <si>
    <t>458 MacLaren St,2nd floor,Ottawa ON  K1R 5K6</t>
  </si>
  <si>
    <t>613 558-6627</t>
  </si>
  <si>
    <t>Carleton Sports Medicine Clinic,1125 Colonel By Drive,Ottawa ON  K1S 5B6,Canada,Phone:6135203510,County:Regional Municipality of Ottawa-Carleton,Electoral District:07
Bruyere Family Medicine Centre,75 Bruyere St,Ottawa ON  K1N 5C8,Canada,Phone:6132413344,County:Regional Municipality of Ottawa-Carleton,Electoral District:07</t>
  </si>
  <si>
    <t>Bruyere Continuing Care-Elisabeth Bruyere Site:Ottawa</t>
  </si>
  <si>
    <t>Psychiatry||Effective: 27 Oct 2000||RCPSC Specialist</t>
  </si>
  <si>
    <t>University of Ottawa, 01 Jul 1995  to 30 Jun 1996|PostGrad Yr 1 - Psychiatry
University of Ottawa, 01 Jul 1996  to 30 Jun 1997|PostGrad Yr 2 - Psychiatry
University of Ottawa, 01 Jul 1997  to 30 Jun 1998|PostGrad Yr 3 - Psychiatry
University of Ottawa, 01 Jul 1998  to 27 Oct 1998|PostGrad Yr 3 - Psychiatry
University of Ottawa, 28 Oct 1998  to 30 Jun 1999|PostGrad Yr 4 - Psychiatry
University of Ottawa, 01 Jul 1999  to 27 Oct 1999|PostGrad Yr 4 - Psychiatry
University of Ottawa, 28 Oct 1999  to 30 Jun 2000|PostGrad Yr 5 - Psychiatry
University of Ottawa, 01 Jul 2000  to 27 Oct 2000|PostGrad Yr 5 - Psychiatry</t>
  </si>
  <si>
    <t>First certificate of registration issued: Postgraduate Education Certificate||Effective:   01 Jul 1995
Expired: Terms and conditions of certificate of registration||Expiry:      27 Oct 2000
Subsequent certificate of registration Issued: Independent Practice Certificate||Effective:   19 Jan 2001</t>
  </si>
  <si>
    <t>J.A. Jardine Medicine Professional Corporation</t>
  </si>
  <si>
    <t>Issued Date:  Dec 22 2009</t>
  </si>
  <si>
    <t>Dr. J. Jardine (CPSO# 69305)</t>
  </si>
  <si>
    <t>2nd Floor,458 MacLaren Street,Ottawa ON  K1R 5K6,(613) 558-6627
1125 Colonel By Drive,1125 Colonel By Drive,Ottawa ON  K1S 5B6,(613) 520-3510</t>
  </si>
  <si>
    <t>82661</t>
  </si>
  <si>
    <t>LHSC Victoria Campus,800 Commissioners Road East,PO Box 5010,London ON  N6A 5W9</t>
  </si>
  <si>
    <t>(519) 685-8102</t>
  </si>
  <si>
    <t>The University of Western Ontario, 01 Jul 2005  to 30 Jun 2006|PostGrad Yr 1 - Psychiatry
The University of Western Ontario, 01 Jul 2006  to 30 Jun 2007|PostGrad Yr 2 - Psychiatry
The University of Western Ontario, 01 Jul 2007  to 30 Jun 2008|PostGrad Yr 3 - Psychiatry
The University of Western Ontario, 01 Jul 2008  to 30 Jun 2009|PostGrad Yr 4 - Psychiatry
The University of Western Ontario, 01 Jul 2009  to 31 Dec 2009|PostGrad Yr 4 - Psychiatry
The University of Western Ontario, 01 Jan 2010  to 30 Jun 2010|PostGrad Yr 5 - Psychiatry
The University of Western Ontario, 01 Jul 2010  to 30 Jun 2011|PostGrad Yr 5 - Psychiatry</t>
  </si>
  <si>
    <t>First certificate of registration issued: Postgraduate Education Certificate||Effective:   01 Jul 2005
Transfer of class of registration to: Independent Practice Certificate||Effective:   30 Jun 2011</t>
  </si>
  <si>
    <t>Julie C. Richard Medicine Professional Corporation</t>
  </si>
  <si>
    <t>Issued Date:  May 31 2013</t>
  </si>
  <si>
    <t>Dr. J. Richard (CPSO# 82661)</t>
  </si>
  <si>
    <t>LHSC Victoria Campus,800 Commissioners Road East,Room A2-630,London ON  N6A 5W9,(519) 685-8102</t>
  </si>
  <si>
    <t>71518</t>
  </si>
  <si>
    <t>Mental Health Service,St. Michael's Hospital,30 Bond Street,17th floor, Cardinal Carter Wing,Toronto ON  M5B 1W8</t>
  </si>
  <si>
    <t>(416) 864-3084</t>
  </si>
  <si>
    <t>82770</t>
  </si>
  <si>
    <t xml:space="preserve">Active Member as of 15 Sep 2010 </t>
  </si>
  <si>
    <t xml:space="preserve">Independent Practice as of 15 Sep 2010 </t>
  </si>
  <si>
    <t>Dalhousie University, 2005</t>
  </si>
  <si>
    <t>Ctre for Addiction &amp; Mental Health,Gender Identity Clinic,100 Stokes Street, 3rd Floor,Toronto ON  M6J 1H4,Canada,Phone:(416) 535-8501 Ext. 34447,Fax:416 595 6821,County:City of Toronto,Electoral District:10
Patients followed with At Home TNSS,Inner City Health Associates,59 Adelaide St E., 2nd Floor,Toronto ON  M5C 1K6,Canada,Phone:416 775 3621,Fax:416 640 2072,County:City of Toronto,Electoral District:10</t>
  </si>
  <si>
    <t>Centre for Addiction &amp; Mental Health,Queen Street Site:Toronto
St Michael's Hospital:Toronto
Women's College Hospital:Toronto</t>
  </si>
  <si>
    <t>University of Toronto, 01 Jul 2005  to 30 Jun 2006|PostGrad Yr 1 - Psychiatry
University of Toronto, 01 Jul 2006  to 30 Jun 2007|PostGrad Yr 2 - Psychiatry
University of Toronto, 01 Jul 2007  to 30 Jun 2008|PostGrad Yr 3 - Psychiatry
University of Toronto, 01 Jul 2008  to 30 Jun 2009|PostGrad Yr 4 - Psychiatry
University of Toronto, 01 Jul 2009  to 30 Jun 2010|PostGrad Yr 5 - Psychiatry
University of Toronto, 01 Jan 2011  to 31 Dec 2011|Clinical Fellow - Psychiatry</t>
  </si>
  <si>
    <t>First certificate of registration issued: Postgraduate Education Certificate||Effective:   01 Jul 2005
Expired: Terms and conditions of certificate of registration||Expiry:      30 Jun 2010
Subsequent certificate of registration Issued: Independent Practice Certificate||Effective:   15 Sep 2010</t>
  </si>
  <si>
    <t>Dr. Julie Henderson Medicine Professional Corporation</t>
  </si>
  <si>
    <t>Inactive: Jan  3 2018</t>
  </si>
  <si>
    <t>108127</t>
  </si>
  <si>
    <t xml:space="preserve">Active Member as of 13 Oct 2015 </t>
  </si>
  <si>
    <t xml:space="preserve">Independent Practice as of 13 Oct 2015 </t>
  </si>
  <si>
    <t>McGill University, 2002</t>
  </si>
  <si>
    <t>CISSS Cote Nord,Point  service Sept Iles,45 Père Divet,sept-iles,Sept iles QC  G4R 3N7</t>
  </si>
  <si>
    <t>(418) 962-9761 Ext. 453002</t>
  </si>
  <si>
    <t>50 college drive,North Bay ON  P1B5A4,Canada,Phone:705-454-8600,County:Territorial District of Nipissing,Electoral District:08
1 chemin de l'aeroport,port-cartier QC  G5B2W2,Canada,Phone:418-766-7070 Ext. 2902,County:Electoral District
21, rue Maamuu,BP 250,chisasibi QC  J0M1E0,Canada,Phone:8198552844,Fax:8198559060,County:Electoral District</t>
  </si>
  <si>
    <t>Psychiatry||Effective: 16 Dec 2007||RCPSC Specialist
Child and Adolescent Psychiatry||Effective: 26 Sep 2013||RCPSC Specialist
Forensic Psychiatry||Effective: 23 Sep 2014||RCPSC Specialist</t>
  </si>
  <si>
    <t>First certificate of registration issued: Independent Practice Certificate||Effective:   13 Oct 2015</t>
  </si>
  <si>
    <t>28455</t>
  </si>
  <si>
    <t xml:space="preserve">Active Member as of 08 Jul 1976 </t>
  </si>
  <si>
    <t xml:space="preserve">Independent Practice as of 08 Jul 1976 </t>
  </si>
  <si>
    <t>English, Hebrew, Portuguese, Spanish, Yiddish</t>
  </si>
  <si>
    <t>National Autonomous University of Mexico, 1973</t>
  </si>
  <si>
    <t>46 Edgecombe Avenue,Toronto ON  M5N 2X3</t>
  </si>
  <si>
    <t>(416) 783-3330</t>
  </si>
  <si>
    <t>First certificate of registration issued: Independent Practice Certificate||Effective:   08 Jul 1976</t>
  </si>
  <si>
    <t>Dr. Julio Szmuilowicz Medicine Professional Corporation</t>
  </si>
  <si>
    <t>Issued Date:  Feb 08 2006</t>
  </si>
  <si>
    <t>Dr. J. Szmuilowicz (CPSO# 28455)</t>
  </si>
  <si>
    <t>46 Edgecombe Avenue,Toronto ON  M5N 2X3,(416) 783-3330</t>
  </si>
  <si>
    <t>84427</t>
  </si>
  <si>
    <t>Sunnybrook Health Sciences Centre,Department of Psychiatry,FG21B - 2075 Bayview Ave,Toronto ON  M4N 3M5</t>
  </si>
  <si>
    <t>McMaster University, 01 Jul 2006  to 30 Jun 2007|PostGrad Yr 1 - Psychiatry
University of Toronto, 01 Jul 2007  to 30 Jun 2008|PostGrad Yr 2 - Psychiatry
University of Toronto, 01 Jul 2008  to 30 Jun 2009|PostGrad Yr 3 - Psychiatry
University of Toronto, 01 Jul 2009  to 30 Jun 2010|PostGrad Yr 4 - Psychiatry
University of Toronto, 01 Jul 2010  to 30 Jun 2011|PostGrad Yr 5 - Psychiatry</t>
  </si>
  <si>
    <t>Dr. Justin Weissglas Medicine Professional Corporation</t>
  </si>
  <si>
    <t>Issued Date:  Mar 05 2015</t>
  </si>
  <si>
    <t>Dr. J. Weissglas (CPSO# 84427)</t>
  </si>
  <si>
    <t>Sunnybrook Health Sciences Centre,Department of Psychiatry,Room FG21B,2075 Bayview Avenue,Toronto ON  M4N 3M5,(416) 480-6761</t>
  </si>
  <si>
    <t>74796</t>
  </si>
  <si>
    <t>McGill University, 2000</t>
  </si>
  <si>
    <t>Centre for Addiction and,Mental Health - Queen Street Site,1001 Queen Street West,Toronto ON  M6J 1H4</t>
  </si>
  <si>
    <t>(416) 535-8501 Ext. 32756</t>
  </si>
  <si>
    <t>(416) 583-1279</t>
  </si>
  <si>
    <t>Flanders Geagea Medicine Professional Corporation</t>
  </si>
  <si>
    <t>Dr. T. Flanders (CPSO# 75176),Dr. J. Geagea (CPSO# 74796)</t>
  </si>
  <si>
    <t>Suite 404,586 Eglinton Avenue East,Toronto ON  M4P 1P2,(416) 489-3273
Centre for Addiction and,Centre for Addiction and,Mental Health - Queen Street Site,1001 Queen Street West,Toronto ON  M6J 1H4,(416) 535-8501</t>
  </si>
  <si>
    <t>89003</t>
  </si>
  <si>
    <t>University of Alberta, 2008</t>
  </si>
  <si>
    <t>Sunnybrook Health Sciences Centre,2075 Bayview Avenue, Room FG20,Toronto ON  M4N 3M5</t>
  </si>
  <si>
    <t>Sunnybrook Health Sciences Centre:Toronto
University Health Network,Toronto Western Hospital Site:Toronto</t>
  </si>
  <si>
    <t>89824</t>
  </si>
  <si>
    <t xml:space="preserve">Active Member as of 29 Jun 2017 </t>
  </si>
  <si>
    <t xml:space="preserve">Independent Practice as of 29 Jun 2017 </t>
  </si>
  <si>
    <t>Sunnybrook Health Sciences Centre,Department of Psychiatry K3W-44,2075 Bayview Avenue,Toronto ON  M4N 3M5</t>
  </si>
  <si>
    <t>(416) 480-6100 Ext. 6736</t>
  </si>
  <si>
    <t>1670 Bayview Ave,Suite 304,Toronto ON  M4G3C2,Canada,Phone:416-488-2838,County:City of Toronto,Electoral District:10</t>
  </si>
  <si>
    <t>Psychiatry||Effective: 30 Nov 2012||RCPSC Specialist</t>
  </si>
  <si>
    <t>University of Toronto, 01 Sep 2008  to 31 Oct 2008|PostGrad Yr 1 - Psychiatry
University of Toronto, 01 Nov 2008  to 31 Oct 2009|PostGrad Yr 2 - Psychiatry
University of Toronto, 01 Nov 2009  to 30 Jun 2010|PostGrad Yr 3 - Psychiatry
University of Toronto, 01 Jul 2010  to 30 Jun 2011|PostGrad Yr 4 - Psychiatry
University of Toronto, 01 Jul 2011  to 30 Sep 2011|PostGrad Yr 4 - Psychiatry
University of Toronto, 01 Oct 2011  to 30 Jun 2012|PostGrad Yr 5 - Psychiatry
University of Toronto, 01 Jul 2012  to 30 Nov 2012|PostGrad Yr 5 - Psychiatry</t>
  </si>
  <si>
    <t>First certificate of registration issued: Postgraduate Education Certificate||Effective:   01 Sep 2008
Expired: Terms and conditions of certificate of registration||Expiry:      30 Nov 2012
Subsequent certificate of registration Issued: Independent Practice Certificate||Effective:   20 Dec 2012
Expired: Terms and conditions imposed on certificate by Registration Committee||Effective:   02 Oct 2014
Subsequent certificate of registration Issued: Independent Practice Certificate||Effective:   29 Jun 2017</t>
  </si>
  <si>
    <t>86864</t>
  </si>
  <si>
    <t xml:space="preserve">Independent Practice as of 01 Jul 2012 </t>
  </si>
  <si>
    <t>Queen's University, 2007</t>
  </si>
  <si>
    <t>CAMH,250 College Street,Toronto ON  M5T 1R8</t>
  </si>
  <si>
    <t>University of Toronto, 01 Jul 2007  to 30 Jun 2008|PostGrad Yr 1 - Psychiatry
University of Toronto, 01 Jul 2008  to 30 Jun 2009|PostGrad Yr 2 - Psychiatry
University of Toronto, 01 Jul 2009  to 30 Jun 2010|PostGrad Yr 3 - Psychiatry
University of Toronto, 01 Jul 2010  to 30 Jun 2011|PostGrad Yr 4 - Psychiatry
University of Toronto, 01 Jul 2011  to 30 Jun 2012|PostGrad Yr 5 - Psychiatry
University of Toronto, 01 Jul 2012  to 30 Jun 2013|Clinical Fellow - Psychiatry</t>
  </si>
  <si>
    <t>First certificate of registration issued: Postgraduate Education Certificate||Effective:   01 Jul 2007
Expired: Terms and conditions of certificate of registration||Expiry:      06 Aug 2010
Subsequent certificate of registration issued: Restricted certificate||Effective:   06 Aug 2010
Expired: Terms and conditions imposed on certificate by Registration Committee||Effective:   30 Jun 2012
Subsequent certificate of registration Issued: Independent Practice Certificate||Effective:   01 Jul 2012</t>
  </si>
  <si>
    <t>56778</t>
  </si>
  <si>
    <t>Colonnade Business Building,131 Bloor Street West,  Office 501,Toronto ON  M5S 1R1</t>
  </si>
  <si>
    <t>(416) 928-0361</t>
  </si>
  <si>
    <t>University of Toronto, 16 Jun 1986  to 15 Jun 1987|Other - Comprehensive Internship
University of Toronto, 01 Jul 1988  to 30 Jun 1989|Resident 1 - Psychiatry
University of Toronto, 01 Jul 1989  to 30 Jun 1990|Resident 2 - Psychiatry
University of Toronto, 01 Jul 1991  to 30 Jun 1992|Resident 3 - Psychiatry
University of Toronto, 01 Jul 1992  to 30 Jun 1993|Resident 4 - Psychiatry</t>
  </si>
  <si>
    <t>First certificate of registration issued: Postgraduate Education Certificate||Effective:   16 Jun 1986
Transfer of class of registration to: Independent Practice Certificate||Effective:   24 Jun 1987</t>
  </si>
  <si>
    <t>92928</t>
  </si>
  <si>
    <t xml:space="preserve">Independent Practice as of 19 May 2016 </t>
  </si>
  <si>
    <t>Geriatric Psychiatry Rehabilitation,Toronto Rehabilitation Institute,Suite 505, 550 University Ave,Toronto ON  M5G 2A2</t>
  </si>
  <si>
    <t>416-597-3422</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</si>
  <si>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Geriatric Psychiatry
University of Toronto, 01 Jul 2015  to 30 Jun 2016|PostGrad Yr 6 - Geriatric Psychiatry
McMaster University, 01 Jul 2017  to 21 Aug 2017|Clinical Fellow - Palliative Care Medicine</t>
  </si>
  <si>
    <t>First certificate of registration issued: Postgraduate Education Certificate||Effective:   01 Jul 2010
Transfer of class of registration to: Independent Practice Certificate||Effective:   19 May 2016</t>
  </si>
  <si>
    <t>82623</t>
  </si>
  <si>
    <t>UHN Toronto General Hospital,Department of Psychiatry,200 Elizabeth Street 8EN-220,Toronto ON  M5G 2C4</t>
  </si>
  <si>
    <t>(416) 340-4454</t>
  </si>
  <si>
    <t>University of Toronto, 01 Jul 2005  to 30 Jun 2006|PostGrad Yr 1 - Psychiatry
University of Toronto, 01 Jul 2006  to 30 Jun 2007|PostGrad Yr 2 - Psychiatry
University of Toronto, 01 Jul 2007  to 30 Jun 2008|PostGrad Yr 3 - Psychiatry
University of Toronto, 01 Jul 2008  to 30 Jun 2009|PostGrad Yr 4 - Psychiatry
University of Toronto, 01 Jul 2009  to 31 Dec 2009|PostGrad Yr 4 - Psychiatry
University of Toronto, 01 Jan 2010  to 30 Jun 2010|PostGrad Yr 5 - Psychiatry
University of Toronto, 01 Jul 2010  to 30 Jun 2011|PostGrad Yr 5 - Psychiatry</t>
  </si>
  <si>
    <t>Kalam Sutandar Medicine Professional Corporation</t>
  </si>
  <si>
    <t>Dr. K. Sutandar (CPSO# 82623)</t>
  </si>
  <si>
    <t>UHN Toronto General Hospital,Department of Psychiatry,8EN-220,200 Elizabeth Street,Toronto ON  M5G 2C4,(416) 340-4454</t>
  </si>
  <si>
    <t>94389</t>
  </si>
  <si>
    <t>LHSC Victoria Hospital,Department of Psychiatry,800 Commissioners Road,London ON  N6A 5W9</t>
  </si>
  <si>
    <t>(519) 685-8500 Ext. 77507</t>
  </si>
  <si>
    <t>Kamini Vasudev Medicine Professional Corporation</t>
  </si>
  <si>
    <t>Issued Date:  Jan 04 2017</t>
  </si>
  <si>
    <t>Dr. K. Vasudev (CPSO# 94389)</t>
  </si>
  <si>
    <t>LHSC Victoria Hospital,Department of Psychiatry,800 Commissioners Road,London ON  N6A 5W9,(519) 685-8500</t>
  </si>
  <si>
    <t>82242</t>
  </si>
  <si>
    <t xml:space="preserve">Active Member as of 17 Aug 2007 </t>
  </si>
  <si>
    <t xml:space="preserve">Independent Practice as of 17 Aug 2007 </t>
  </si>
  <si>
    <t>University of Toronto, 07 Mar 2005  to 29 Jun 2005|Elective Trainee - Psychiatry</t>
  </si>
  <si>
    <t>First certificate of registration issued: Postgraduate Education Certificate||Effective:   08 Mar 2005
Expired: Terms and conditions of certificate of registration||Expiry:      30 Jun 2005
Subsequent certificate of registration Issued: Independent Practice Certificate||Effective:   17 Aug 2007</t>
  </si>
  <si>
    <t>Dr. K. Balchand Medicine Professional Corporation</t>
  </si>
  <si>
    <t>Issued Date:  Aug 16 2012</t>
  </si>
  <si>
    <t>Dr. K. Balchand (CPSO# 82242)</t>
  </si>
  <si>
    <t>79728</t>
  </si>
  <si>
    <t>English, Farsi, Persian</t>
  </si>
  <si>
    <t>Leopold Francis University of Innsbruck, 1997</t>
  </si>
  <si>
    <t>Unicare Clinic,Suite 401,1100 Sheppard Avenue East,Toronto ON  M2K 2W1</t>
  </si>
  <si>
    <t>(416) 548-9701</t>
  </si>
  <si>
    <t>(416) 548-9702</t>
  </si>
  <si>
    <t>Queen's University, 01 Jul 2003  to 30 Jun 2004|PostGrad Yr 1 - Psychiatry
University of Toronto, 01 Jul 2004  to 30 Jun 2005|PostGrad Yr 2 - Psychiatry
University of Toronto, 01 Jul 2005  to 30 Jun 2006|PostGrad Yr 3 - Psychiatry
University of Toronto, 01 Jul 2006  to 30 Jun 2007|PostGrad Yr 4 - Psychiatry
University of Toronto, 01 Jul 2007  to 30 Jun 2008|PostGrad Yr 5 - Psychiatry</t>
  </si>
  <si>
    <t>Bordbar Medicine Professional Corporation</t>
  </si>
  <si>
    <t>Inactive: Apr 15 2011</t>
  </si>
  <si>
    <t>Issued Date:  Feb 07 2012</t>
  </si>
  <si>
    <t>Dr. K. Bordbar (CPSO# 79728)</t>
  </si>
  <si>
    <t>Unicare Clinic,Suite 401,1100 Sheppard Avenue East,Toronto ON  M2K 2W1,(416) 548-9701</t>
  </si>
  <si>
    <t>92036</t>
  </si>
  <si>
    <t xml:space="preserve">Active Member as of 24 Aug 2009 </t>
  </si>
  <si>
    <t xml:space="preserve">Independent Practice as of 24 Aug 2009 </t>
  </si>
  <si>
    <t>Christian Medical College, 1990</t>
  </si>
  <si>
    <t>Grand River Hospital- Freeport site,P.O. Box 9056,850 King Street West,Kitchener ON  N2G 1E8</t>
  </si>
  <si>
    <t>(519) 749 4300</t>
  </si>
  <si>
    <t>(519) 894 8308</t>
  </si>
  <si>
    <t>First certificate of registration issued: Independent Practice Certificate||Effective:   24 Aug 2009</t>
  </si>
  <si>
    <t>Tarvinder Kukreja Medicine Professional Corporation</t>
  </si>
  <si>
    <t>Issued Date:  Apr 20 2012</t>
  </si>
  <si>
    <t>Dr. K. Kukreja (CPSO# 92036),Dr. T. Kukreja (CPSO# 92105)</t>
  </si>
  <si>
    <t>6453 Morrison Street,Suite 202,Niagara Falls ON  L2E 7H1,(905) 374-6453
5359 Dundas Street,5359 Dundas Street,Room 205,Etobicoke ON  M9B 1B1,(416) 622-3266
205 - 611 Holly Avenue,205 - 611 Holly Avenue,Milton ON  L9T 0K4,(905) 636-9772</t>
  </si>
  <si>
    <t>90607</t>
  </si>
  <si>
    <t>Health and Wellness Center,University of Toronto,214 College Street, Room 111,Toronto ON  M5T 2Z9</t>
  </si>
  <si>
    <t>(416) 978-8070</t>
  </si>
  <si>
    <t>Dr. Kar Ming Lee Medicine Professional Corporation</t>
  </si>
  <si>
    <t>Issued Date:  Aug 11 2016</t>
  </si>
  <si>
    <t>Dr. K. Lee (CPSO# 90607)</t>
  </si>
  <si>
    <t>Health and Wellness Center,University of Toronto,Room 111,214 College Street,Toronto ON  M5T 2Z9,(416) 978-8070</t>
  </si>
  <si>
    <t>100660</t>
  </si>
  <si>
    <t>LHSC Victoria Hospital,Department of Psychiatry,North Tower Room B8 102,800 Commissioners Rd E,London ON  N6A 5W9</t>
  </si>
  <si>
    <t>The University of Western Ontario, 01 Jul 2013  to 30 Jun 2014|PostGrad Yr 1 - Psychiatry
The University of Western Ontario, 01 Jul 2014  to 30 Jun 2015|PostGrad Yr 2 - Psychiatry
The University of Western Ontario, 01 Jul 2015  to 30 Jun 2016|PostGrad Yr 3 - Psychiatry
The University of Western Ontario, 01 Jul 2016  to 30 Jun 2017|PostGrad Yr 4 - Psychiatry
The University of Western Ontario, 01 Jul 2017  to 30 Jun 2018|PostGrad Yr 5 - Psychiatry
The University of Western Ontario, 01 Jul 2018  to 30 Jun 2019|PostGrad Yr 5 - Clinician Investigator</t>
  </si>
  <si>
    <t>Christopher Poss Medicine Professional Corporation</t>
  </si>
  <si>
    <t>Dr. K. Dempster (CPSO# 100660),Dr. C. Poss (CPSO# 101224)</t>
  </si>
  <si>
    <t>Division of Emergency Medicine,Victoria Hospital,800 Commissioners Road East,London ON  N6A 5W9,(519) 685-8500</t>
  </si>
  <si>
    <t>65240</t>
  </si>
  <si>
    <t>Humber River Hospital,1235 Wilson Avenue,Mental Health, 5th floor,Office of Chief of Psychiatry,Toronto ON  M3M 0B2</t>
  </si>
  <si>
    <t>(416) 242-1000 Ext. 43088</t>
  </si>
  <si>
    <t>Humber River Hospital,Wilson Site:Toronto
University Health Network,Princess Margaret Hospital-Ontario Cancer Institute:Toronto</t>
  </si>
  <si>
    <t>University of Toronto, 01 Jul 1993  to 30 Jun 1994|Resident 1 - Psychiatry
University of Toronto, 01 Jul 1994  to 30 Jun 1995|Resident 2 - Psychiatry
University of Toronto, 01 Jul 1995  to 30 Jun 1996|Resident 3 - Psychiatry
University of Toronto, 01 Jul 1996  to 30 Jun 1997|Resident 4 - Psychiatry
University of Toronto, 01 Jul 1997  to 30 Jun 1998|Clinical Fellow - Psychiatry</t>
  </si>
  <si>
    <t>First certificate of registration issued: Postgraduate Education Certificate||Effective:   15 Jun 1992
Transfer of class of registration to: Independent Practice Certificate||Effective:   29 Jun 1993</t>
  </si>
  <si>
    <t>68966</t>
  </si>
  <si>
    <t xml:space="preserve">Active Member as of 19 Dec 2000 </t>
  </si>
  <si>
    <t xml:space="preserve">Independent Practice as of 19 Dec 2000 </t>
  </si>
  <si>
    <t>Psychiatry||Effective: 17 Nov 2000||RCPSC Specialist
Geriatric Psychiatry||Effective: 21 Sep 2015||RCPSC Specialist</t>
  </si>
  <si>
    <t>University of Ottawa, 01 Jul 1995  to 30 Jun 1996|PostGrad Yr 1 - Psychiatry
University of Ottawa, 01 Jul 1996  to 30 Jun 1997|PostGrad Yr 2 - Psychiatry
University of Ottawa, 01 Jul 1997  to 30 Jun 1998|PostGrad Yr 3 - Psychiatry
University of Ottawa, 01 Jul 1998  to 30 Jun 1999|PostGrad Yr 4 - Psychiatry
University of Ottawa, 01 Jul 1999  to 30 Jun 2000|PostGrad Yr 5 - Psychiatry
University of Ottawa, 01 Jul 2000  to 30 Sep 2000|PostGrad Yr 5 - Psychiatry
University of Ottawa, 08 Jan 2001  to 31 Dec 2001|Clinical Fellow - Psychiatry</t>
  </si>
  <si>
    <t>First certificate of registration issued: Postgraduate Education Certificate||Effective:   01 Jul 1995
Expired: Terms and conditions of certificate of registration||Expiry:      30 Sep 2000
Subsequent certificate of registration Issued: Independent Practice Certificate||Effective:   19 Dec 2000</t>
  </si>
  <si>
    <t>Karen Smith Medicine Professional Corporation</t>
  </si>
  <si>
    <t>Issued Date:  Jan 21 2011</t>
  </si>
  <si>
    <t>Dr. K. Smith (CPSO# 68966)</t>
  </si>
  <si>
    <t>Peterborough Regional Health Centre,1 Hospital Drive,Peterborough ON  K9J 7C6,(705) 876-5076</t>
  </si>
  <si>
    <t>71381</t>
  </si>
  <si>
    <t xml:space="preserve">Active Member as of 15 Jul 2002 </t>
  </si>
  <si>
    <t xml:space="preserve">Independent Practice as of 15 Jul 2002 </t>
  </si>
  <si>
    <t>Forensic Program,Ontario Shores Centre for,Mental Health Sciences,700 Gordon Street,Whitby ON  L1N 5S9</t>
  </si>
  <si>
    <t>(905) 668-5881 Ext. 6747</t>
  </si>
  <si>
    <t>Psychiatry||Effective: 30 Jun 2002||RCPSC Specialist
Forensic Psychiatry||Effective: 26 Sep 2013||RCPSC Specialist</t>
  </si>
  <si>
    <t>University of Toronto, 01 Jul 1997  to 01 Mar 1998|PostGrad Yr 1 - Internal Medicine
University of Toronto, 02 Mar 1998  to 30 Jun 1998|PostGrad Yr 1 - Psychiatry
University of Toronto, 01 Jul 1998  to 30 Jun 1999|PostGrad Yr 2 - Psychiatry
University of Toronto, 01 Jul 1999  to 30 Jun 2000|PostGrad Yr 3 - Psychiatry
University of Toronto, 01 Jul 2000  to 30 Jun 2001|PostGrad Yr 4 - Psychiatry
University of Toronto, 01 Jul 2001  to 30 Jun 2002|PostGrad Yr 5 - Psychiatry
McMaster University, 01 Aug 2002  to 31 Jul 2003|Clinical Fellow - Psychiatry
McMaster University, 01 Jul 2003  to 30 Jun 2004|Clinical Fellow - Psychiatry
McMaster University, 01 Jul 2004  to 31 Jul 2004|Clinical Fellow - Psychiatry</t>
  </si>
  <si>
    <t>First certificate of registration issued: Postgraduate Education Certificate||Effective:   01 Jul 1997
Expired: Terms and conditions of certificate of registration||Expiry:      30 Jun 2002
Subsequent certificate of registration Issued: Independent Practice Certificate||Effective:   15 Jul 2002</t>
  </si>
  <si>
    <t>57985</t>
  </si>
  <si>
    <t xml:space="preserve">Independent Practice as of 24 May 1989 </t>
  </si>
  <si>
    <t>Freeport Hospital,3570 King St East,Kitchener ON  N2A 2W1</t>
  </si>
  <si>
    <t>(519) 749-4300 Ext. 7448</t>
  </si>
  <si>
    <t>(519) 894-8326</t>
  </si>
  <si>
    <t>490 York Rd  Bldg A Suite 107,Guelph ON  N1E 6V1,Canada,Phone:5193623343,Fax:5197669405,County:County of Wellington,Electoral District:03
629 King Road West,Burlington ON  L7T 3N8,Canada,Phone:(519) 362-3343,Fax:(519) 766-9405,County:Regional Municipality of Halton,Electoral District:04
700 Coronation Blvd,Canada,Phone:(519) 621-2330,Fax:(519) 740-4985,County:Regional Municipality of Waterloo,Electoral District:03
88 Waterloo St,CMHC,Guelph ON  N1E 4J8,Canada,Phone:(519) 821-2060,Fax:(519) 821-7225,County:County of Wellington,Electoral District:03
35 Harvard Rd,PO Box 21008,Guelph ON  N1G 3T4,Canada,Phone:(519) 362 3343,Fax:(519) 766 9405,County:County of Wellington,Electoral District:03</t>
  </si>
  <si>
    <t>Cambridge Memorial Hospital:Cambridge
Grand River Hospital Corporation,Freeport Site:Kitchener</t>
  </si>
  <si>
    <t>Family Medicine||Effective: 04 Aug 1989||CFPC Specialist
Psychiatry||Effective: 17 Nov 1994||RCPSC Specialist</t>
  </si>
  <si>
    <t>University of Ottawa, 15 Jun 1987  to 14 Jun 1988|Other - Comprehensive Internship
University of Ottawa, 01 Jul 1988  to 30 Jun 1989|Resident 2 - Family Medicine
McMaster University, 01 Mar 1989  to 30 Apr 1989|Elective Trainee - Psychiatry
McMaster University, 01 Jul 1990  to 30 Jun 1991|Resident 1 - Psychiatry
McMaster University, 01 Jul 1991  to 30 Jun 1992|Resident 3 - Psychiatry
McMaster University, 01 Jul 1992  to 30 Jun 1993|Resident 4 - Psychiatry
McMaster University, 01 Jul 1993  to 30 Mar 1994|Resident 4 - Psychiatry</t>
  </si>
  <si>
    <t>First certificate of registration issued: Postgraduate Education Certificate||Effective:   15 Jun 1987
Transfer of class of registration to: Independent Practice Certificate||Effective:   24 May 1989</t>
  </si>
  <si>
    <t>Karen Helen Clements Medicine Professional Corporation</t>
  </si>
  <si>
    <t>Issued Date:  Aug 21 2009</t>
  </si>
  <si>
    <t>Dr. K. Clements (CPSO# 57985)</t>
  </si>
  <si>
    <t>Freeport Site - Grand River Hospital,Psychogeriatric Clinic,2nd Floor,56 Morrison Road,Kitchener ON  N2A 2W6,(519) 749-4300
Canadian Mental Health Clinic,Canadian Mental Health Clinic,88 Waterloo Street,Guelph ON  N1H 0A1,(519) 821-2060
Cambridge Memorial Hospital,Cambridge Memorial Hospital,Outpatient Mental Health,3rd Floor,700 Coronation Boulevard,Cambridge ON  N1E 6T9,(519) 621-9180
35 Harvard Road,35 Harvard Road,PO Box 21008,Guelph ON  N1G 3T4,(519) 362-3343
490 York Road,490 York Road,Building A Suite 107,Guelph ON  N1E 6T9,(519) 362-3343</t>
  </si>
  <si>
    <t>76099</t>
  </si>
  <si>
    <t>St. Michael's Hospital,30 Bond St.,Toronto ON  M5B 1W8</t>
  </si>
  <si>
    <t>Dr. Karen Shin Medicine Professional Corporation</t>
  </si>
  <si>
    <t>Issued Date:  Apr 27 2012</t>
  </si>
  <si>
    <t>Dr. K. Shin (CPSO# 76099)</t>
  </si>
  <si>
    <t>95337</t>
  </si>
  <si>
    <t>Tyndale Counselling Services,3377 Bayview Avenue,B500 - Psychiatry clinic,Toronto ON  M2M 3S4</t>
  </si>
  <si>
    <t>4162186771</t>
  </si>
  <si>
    <t>4162186769</t>
  </si>
  <si>
    <t>2075 Bayview Avenue,Department of Psychiatry,F wing Room FG 30,Toronto ON  M4N 3M5,Canada,Phone:(416) 480-6100,County:City of Toronto,Electoral District:10</t>
  </si>
  <si>
    <t>University of Toronto, 01 Jul 2011  to 30 Jun 2012|PostGrad Yr 1 - Psychiatry
University of Toronto, 01 Jul 2012  to 30 Jun 2013|PostGrad Yr 2 - Psychiatry
University of Toronto, 01 Jul 2013  to 30 Jun 2014|PostGrad Yr 2 - Psychiatry
University of Toronto, 01 Jul 2014  to 31 Mar 2015|PostGrad Yr 3 - Psychiatry
University of Toronto, 01 Apr 2015  to 30 Jun 2015|PostGrad Yr 4 - Psychiatry
University of Toronto, 01 Jul 2015  to 31 Mar 2016|PostGrad Yr 4 - Psychiatry
University of Toronto, 01 Apr 2016  to 30 Jun 2016|PostGrad Yr 5 - Psychiatry
University of Toronto, 01 Jul 2016  to 31 Mar 2017|PostGrad Yr 5 - Child and Adolescent Psychiatry
University of Toronto, 01 Apr 2017  to 30 Jun 2017|PostGrad Yr 6 - Child and Adolescent Psychiatry
University of Toronto, 01 Jul 2017  to 30 Jun 2018|PostGrad Yr 6 - Child and Adolescent Psychiatry</t>
  </si>
  <si>
    <t>First certificate of registration issued: Postgraduate Education Certificate||Effective:   01 Jul 2011
Expired: Terms and conditions of certificate of registration||Expiry:      31 Aug 2015
Subsequent certificate of registration issued: Restricted certificate||Effective:   01 Sep 2015
Terms and conditions amended by Registration Committee||Effective:   01 Jul 2016
Subsequent certificate of registration Issued: Independent Practice Certificate||Effective:   29 Jun 2017
Expired: Terms and conditions imposed on certificate by Registration Committee||Effective:   30 Jun 2017</t>
  </si>
  <si>
    <t>63083</t>
  </si>
  <si>
    <t xml:space="preserve">Active Member as of 27 Aug 1990 </t>
  </si>
  <si>
    <t>Memorial University of Newfoundland, 1981</t>
  </si>
  <si>
    <t>Thresholds Homes and Supports,Assertive Community Treatment Team,236 Victoria St. N., Unit 2A,Kitchener, ON N2H 5C8,Kitchener ON  N2G 1C8</t>
  </si>
  <si>
    <t>(519)742-3191 Ext. 1229</t>
  </si>
  <si>
    <t>(519) 742-5232</t>
  </si>
  <si>
    <t>First certificate of registration issued: Independent Practice Certificate||Effective:   27 Aug 1990</t>
  </si>
  <si>
    <t>59327</t>
  </si>
  <si>
    <t>Suite 700,2 Bloor Street West,Toronto ON  M4W 3E2</t>
  </si>
  <si>
    <t>(647) 933-2445</t>
  </si>
  <si>
    <t>(647) 258-6156</t>
  </si>
  <si>
    <t>USA - California
USA - Florida</t>
  </si>
  <si>
    <t>Karen M. Abrams Medicine Professional Corporation</t>
  </si>
  <si>
    <t>Issued Date:  Aug 27 2009</t>
  </si>
  <si>
    <t>Dr. K. Abrams (CPSO# 59327)</t>
  </si>
  <si>
    <t>Suite 700,2 Bloor Street West,Toronto ON  M9W 3E2,(647) 933-2445</t>
  </si>
  <si>
    <t>79453</t>
  </si>
  <si>
    <t xml:space="preserve">Active Member as of 02 Dec 2010 </t>
  </si>
  <si>
    <t xml:space="preserve">Independent Practice as of 02 Dec 2010 </t>
  </si>
  <si>
    <t>Trillium Health Partners,Credit Valley Hospital site,CAMHS,2200 Eglinton Avenue West,Mississauga ON  L5M 2N1</t>
  </si>
  <si>
    <t>Psychiatry||Effective: 30 Sep 2010||RCPSC Specialist
Child and Adolescent Psychiatry||Effective: 23 Sep 2014||RCPSC Specialist</t>
  </si>
  <si>
    <t>University of Toronto, 01 Jul 2003  to 30 Jun 2004|PostGrad Yr 1 - Psychiatry
University of Toronto, 01 Jul 2004  to 30 Jun 2005|PostGrad Yr 2 - Psychiatry
University of Toronto, 01 Jul 2005  to 30 Jun 2006|PostGrad Yr 3 - Psychiatry
University of Toronto, 01 Jul 2006  to 30 Jun 2007|PostGrad Yr 3 - Psychiatry
University of Toronto, 01 Jul 2007  to 30 Jun 2008|PostGrad Yr 4 - Psychiatry
University of Toronto, 01 Jul 2008  to 29 Sep 2008|PostGrad Yr 4 - Psychiatry
University of Toronto, 30 Sep 2008  to 30 Jun 2009|PostGrad Yr 5 - Psychiatry
University of Toronto, 01 Jul 2009  to 30 Jun 2010|PostGrad Yr 5 - Psychiatry
University of Toronto, 01 Jul 2010  to 30 Sep 2010|PostGrad Yr 5 - Psychiatry</t>
  </si>
  <si>
    <t>First certificate of registration issued: Postgraduate Education Certificate||Effective:   01 Jul 2003
Expired: Terms and conditions of certificate of registration||Expiry:      30 Sep 2010
Subsequent certificate of registration Issued: Independent Practice Certificate||Effective:   02 Dec 2010</t>
  </si>
  <si>
    <t>K. Petruccelli Medicine Professional Corporation</t>
  </si>
  <si>
    <t>Issued Date:  May 10 2017</t>
  </si>
  <si>
    <t>Dr. K. Petruccelli (CPSO# 79453)</t>
  </si>
  <si>
    <t>Trillium Health Partners,Credit Valley Hospital,2200 Eglinton Avenue West,Mississauga ON  L5M 2N1,(905) 816-4421</t>
  </si>
  <si>
    <t>63014</t>
  </si>
  <si>
    <t>University of Cape Town, 1983</t>
  </si>
  <si>
    <t>St Joseph's Health Care,West 5th Campus,Room B540,100 West 5th Street,Hamilton ON  L8N 3K7</t>
  </si>
  <si>
    <t>(905) 381-5613</t>
  </si>
  <si>
    <t>Hamilton Health Sciences Centre McMaster &amp; Childrens Hosp,McMaster &amp; Children's Hospital:Hamilton
Hamilton Health Sciences Corporation,St. Peter's Hospital:Hamilton
Hamilton Health Sciences,General Site:Hamilton
Hamilton Health Sciences,Juravinski Hospital and Cancer Centre:Hamilton
St Joseph's Centre for Mountain Health Services:Hamilton
St Joseph's Healthcare System,Hamilton:Hamilton</t>
  </si>
  <si>
    <t>First certificate of registration issued: Postgraduate Education Certificate||Effective:   09 Aug 1990
Transfer of class of registration to: Independent Practice Certificate||Effective:   30 Jun 1992</t>
  </si>
  <si>
    <t>Saperson Medicine Professional Corporation</t>
  </si>
  <si>
    <t>Issued Date:  Jan 09 2009</t>
  </si>
  <si>
    <t>Dr. N. Goldberg (CPSO# 106526),Dr. K. Saperson (CPSO# 63014)</t>
  </si>
  <si>
    <t>St Joseph's Healthcare Hamilton,West 5th Campus,100 West 5th Street,Hamilton ON  L8N 3K7,(905) 522-1155</t>
  </si>
  <si>
    <t>88621</t>
  </si>
  <si>
    <t>C A M H,Unit 4-5,1001 Queen Street West,Toronto ON  M6J 1H4</t>
  </si>
  <si>
    <t>Dr. Karen Ng Medicine Professional Corporation</t>
  </si>
  <si>
    <t>Issued Date:  Jan 05 2017</t>
  </si>
  <si>
    <t>Dr. K. Ng (CPSO# 88621)</t>
  </si>
  <si>
    <t>102-171 East Liberty Street,Toronto ON  M6K 3P6,(416) 599-8348
CAMH,CAMH,1001 Queen Street West,Units 4 - 5,Toronto ON  M6J 1H4,(416) 535-8501</t>
  </si>
  <si>
    <t>96461</t>
  </si>
  <si>
    <t xml:space="preserve">Suspended as of 21 Sep 2017 </t>
  </si>
  <si>
    <t xml:space="preserve">Independent Practice as of 01 Jul 2011 </t>
  </si>
  <si>
    <t>First certificate of registration issued: Independent Practice Certificate||Effective:   01 Jul 2011
Suspension of registration imposed: Inquiries, Complaints and Repo||Effective:   21 Sep 2017</t>
  </si>
  <si>
    <t>57033</t>
  </si>
  <si>
    <t>The University of British Columbia, 1986</t>
  </si>
  <si>
    <t>Suite 412,120 Carleton Street,Toronto ON  M5A 4K2</t>
  </si>
  <si>
    <t>(416) 928-2226</t>
  </si>
  <si>
    <t>(416) 928-6778</t>
  </si>
  <si>
    <t>Toronto Western Hospital,Suite 7-M406,399 Bathurst Street,Toronto ON  M5T 2S8,Canada,Phone:(416) 603-5800 Ext. 3293,Fax:(416) 603-5292,County:City of Toronto,Electoral District:10
280 Taylor Road,Canada,Phone:(705) 646-1382,Fax:(416) 928-6778,County:District Municipality of Muskoka,Electoral District:05</t>
  </si>
  <si>
    <t>First certificate of registration issued: Postgraduate Education Certificate||Effective:   16 Jun 1986
Transfer of class of registration to: Independent Practice Certificate||Effective:   17 Aug 1987</t>
  </si>
  <si>
    <t>Farcnik Medicine Professional Corporation</t>
  </si>
  <si>
    <t>Issued Date:  May 20 2011</t>
  </si>
  <si>
    <t>Dr. K. Farcnik (CPSO# 57033)</t>
  </si>
  <si>
    <t>280 Taylor Road,Bracebridge ON  P1L 1J9,(705) 646-1382
412 - 120 Carlton Street,412 - 120 Carlton Street,Toronto ON  M5A 4K2</t>
  </si>
  <si>
    <t>27673</t>
  </si>
  <si>
    <t xml:space="preserve">Active Member as of 06 Aug 1975 </t>
  </si>
  <si>
    <t xml:space="preserve">Independent Practice as of 06 Aug 1975 </t>
  </si>
  <si>
    <t>The University of Manitoba, 1973</t>
  </si>
  <si>
    <t>(416) 922-8131</t>
  </si>
  <si>
    <t>First certificate of registration issued: Independent Practice Certificate||Effective:   06 Aug 1975</t>
  </si>
  <si>
    <t>Karl Loszak Medicine Professional Corporation</t>
  </si>
  <si>
    <t>Issued Date:  Jun 15 2010</t>
  </si>
  <si>
    <t>Dr. K. Loszak (CPSO# 27673)</t>
  </si>
  <si>
    <t>Suite 505,1200 Bay Street,Toronto ON  M5R 2A5,(416) 922-8131</t>
  </si>
  <si>
    <t>108494</t>
  </si>
  <si>
    <t xml:space="preserve">Active Member as of 03 Feb 2016 </t>
  </si>
  <si>
    <t xml:space="preserve">Restricted as of 03 Feb 2016 </t>
  </si>
  <si>
    <t>English, Hindi, Panjabi/Punjabi, Sindhi, Urdu</t>
  </si>
  <si>
    <t>Belleville General Hospital,265 Dundas Street East,Belleville ON  K8N 5A9</t>
  </si>
  <si>
    <t>15, VICTORIA AVENUE,,Belleville ON  K8N1Z5,Canada,Phone:6139620259,Fax:6139625615,County:County of Hastings,Electoral District:06
145 Station Street,Belleville ON  K8N2S9,Canada,Phone:6137711910,Fax:6137713394,County:County of Hastings,Electoral District:06</t>
  </si>
  <si>
    <t>Alberta
Pakistan</t>
  </si>
  <si>
    <t>First certificate of registration issued: Restricted certificate||Effective:   03 Feb 2016
Terms and conditions imposed on certificate by Registration Committee||Effective:   03 Feb 2016</t>
  </si>
  <si>
    <t>K. Lal Medicine Professional Corporation</t>
  </si>
  <si>
    <t>Issued Date:  Aug 17 2016</t>
  </si>
  <si>
    <t>Dr. K. Lal (CPSO# 108494)</t>
  </si>
  <si>
    <t>15 Victoria Avenue,Belleville ON  K8N 1Z5,(613) 962-0259
145 Station Street,145 Station Street,Belleville ON  K8N 2S9,(613) 771-1910
Quinte Health Care,Quinte Health Care,Belleville General Hospital,265 Dundas Street East,Belleville ON  K8N 5A9,(613) 969-7400</t>
  </si>
  <si>
    <t>19088</t>
  </si>
  <si>
    <t xml:space="preserve">Active Member as of 16 Jun 1964 </t>
  </si>
  <si>
    <t xml:space="preserve">Independent Practice as of 16 Jun 1964 </t>
  </si>
  <si>
    <t>English, German, Latvian</t>
  </si>
  <si>
    <t>72 Woodlawn Ave West,Toronto ON  M4V 1G7</t>
  </si>
  <si>
    <t>(416) 923 4657</t>
  </si>
  <si>
    <t>First certificate of registration issued: Postgraduate Education Certificate||Effective:   01 Jul 1963
Transfer of class of registration to: Independent Practice Certificate||Effective:   16 Jun 1964</t>
  </si>
  <si>
    <t>60737</t>
  </si>
  <si>
    <t xml:space="preserve">Independent Practice as of 22 Jun 1990 </t>
  </si>
  <si>
    <t>67 Wells Hill Avenue,Toronto ON  M5R 3A7</t>
  </si>
  <si>
    <t>(416) 627-4590</t>
  </si>
  <si>
    <t>TS Medical Centre,692 Euclid Ave,Toronto ON  M2G 2T9,Canada,Phone:(416) 901-9020,County:City of Toronto,Electoral District:10</t>
  </si>
  <si>
    <t>First certificate of registration issued: Postgraduate Education Certificate||Effective:   12 Jun 1989
Transfer of class of registration to: Independent Practice Certificate||Effective:   22 Jun 1990</t>
  </si>
  <si>
    <t>Dr. Kasra Khorasani Medicine Professional Corporation</t>
  </si>
  <si>
    <t>Dr. K. Khorasani (CPSO# 60737)</t>
  </si>
  <si>
    <t>67 Wells Hill Avenue,Toronto ON  M5R 3A7,(416) 627-4590
TS Medical Centre,TS Medical Centre,33 - 692 Euclid Avenue,Toronto ON  M2G 2T9,(416) 901-9020</t>
  </si>
  <si>
    <t>96630</t>
  </si>
  <si>
    <t xml:space="preserve">Active Member as of 25 Jul 2011 </t>
  </si>
  <si>
    <t xml:space="preserve">Independent Practice as of 25 Jul 2011 </t>
  </si>
  <si>
    <t>Mashhad University of Medical Science, 1996</t>
  </si>
  <si>
    <t>UBC Hospital, Koerner Pavilion,M334 - 2211 Wesbrook Mall,Vancouver BC  V6T 1Z3</t>
  </si>
  <si>
    <t>604 822 7689</t>
  </si>
  <si>
    <t>604 484 2209</t>
  </si>
  <si>
    <t>First certificate of registration issued: Independent Practice Certificate||Effective:   25 Jul 2011</t>
  </si>
  <si>
    <t>Kasra Koochesfahani Medicine Professional Corporation</t>
  </si>
  <si>
    <t>Inactive: Oct 26 2017</t>
  </si>
  <si>
    <t>79073</t>
  </si>
  <si>
    <t xml:space="preserve">Independent Practice as of 14 Oct 2009 </t>
  </si>
  <si>
    <t>English, French, German, Hungarian</t>
  </si>
  <si>
    <t>St Joseph's Health Center,710 Victoria Ave E,Thunder Bay,Thunder Bay ON  P7C5P7</t>
  </si>
  <si>
    <t>(807)6243400</t>
  </si>
  <si>
    <t>Psychiatry||Effective: 14 Oct 2009||RCPSC Specialist</t>
  </si>
  <si>
    <t>McMaster University, 01 Jul 2003  to 30 Jun 2004|PostGrad Yr 1 - Psychiatry
McMaster University, 01 Jul 2004  to 30 Jun 2005|PostGrad Yr 2 - Psychiatry
McMaster University, 01 Jul 2005  to 30 Nov 2005|PostGrad Yr 2 - Psychiatry
McMaster University, 01 Dec 2005  to 30 Jun 2006|PostGrad Yr 3 - Psychiatry
McMaster University, 01 Jul 2006  to 30 Jun 2007|PostGrad Yr 3 - Psychiatry
McMaster University, 01 Jul 2007  to 14 Oct 2007|PostGrad Yr 3 - Psychiatry
McMaster University, 15 Oct 2007  to 14 Oct 2008|PostGrad Yr 4 - Psychiatry
McMaster University, 15 Oct 2008  to 14 Oct 2009|PostGrad Yr 5 - Psychiatry</t>
  </si>
  <si>
    <t>First certificate of registration issued: Postgraduate Education Certificate||Effective:   01 Jul 2003
Transfer of class of registration to: Independent Practice Certificate||Effective:   14 Oct 2009</t>
  </si>
  <si>
    <t>Dr. Katalin Gyomorey Medicine Professional Corporation</t>
  </si>
  <si>
    <t>Issued Date:  Aug 26 2011</t>
  </si>
  <si>
    <t>Dr. K. Gyomorey (CPSO# 79073)</t>
  </si>
  <si>
    <t>54604</t>
  </si>
  <si>
    <t xml:space="preserve">Independent Practice as of 21 Aug 1985 </t>
  </si>
  <si>
    <t>University of Ottawa, 1983</t>
  </si>
  <si>
    <t>Suite 909,2200 Yonge Street,Toronto ON  M4S 2C6</t>
  </si>
  <si>
    <t>(416) 483-3778</t>
  </si>
  <si>
    <t>(416) 487-6221</t>
  </si>
  <si>
    <t>North York General Hospital,8th Floor - AMHOP,4001 Leslie Street,Toronto ON  M2K 1E1,Canada,Phone:(416) 756-6655,Fax:(416) 756-6671,County:City of Toronto,Electoral District:10</t>
  </si>
  <si>
    <t>First certificate of registration issued: Postgraduate Education Certificate||Effective:   01 Jul 1984
Transfer of class of registration to: Independent Practice Certificate||Effective:   21 Aug 1985</t>
  </si>
  <si>
    <t>57321</t>
  </si>
  <si>
    <t xml:space="preserve">Independent Practice as of 05 May 1987 </t>
  </si>
  <si>
    <t>Queensway - Carleton Hospital,3045 Baseline Road,Nepean ON  K2H 8P4</t>
  </si>
  <si>
    <t>613-721-4708</t>
  </si>
  <si>
    <t>First certificate of registration issued: Postgraduate Education Certificate||Effective:   01 Jul 1986
Transfer of class of registration to: Independent Practice Certificate||Effective:   05 May 1987</t>
  </si>
  <si>
    <t>Katalin Kovacs Medicine Professional Corporation</t>
  </si>
  <si>
    <t>Issued Date:  Jul 27 2009</t>
  </si>
  <si>
    <t>Dr. K. Kovacs (CPSO# 57321)</t>
  </si>
  <si>
    <t>Queensway - Carleton Hospital,3045 Baseline Road,Nepean ON  K2H 8P4,(613) 721-2000</t>
  </si>
  <si>
    <t>88428</t>
  </si>
  <si>
    <t>416 530-6000 Ext. 4637</t>
  </si>
  <si>
    <t>416 530-6076</t>
  </si>
  <si>
    <t>University of Toronto, 01 Jul 2008  to 30 Jun 2009|PostGrad Yr 1 - Psychiatry
University of Toronto, 01 Jul 2009  to 30 Jun 2010|PostGrad Yr 2 - Psychiatry
University of Toronto, 01 Jul 2010  to 30 Jun 2011|PostGrad Yr 2 - Psychiatry
University of Toronto, 01 Jul 2011  to 30 Oct 2011|PostGrad Yr 1 - Family Medicine
University of Toronto, 31 Oct 2011  to 30 Oct 2012|PostGrad Yr 3 - Psychiatry
University of Toronto, 31 Oct 2012  to 30 Jun 2013|PostGrad Yr 4 - Psychiatry
University of Toronto, 01 Jul 2013  to 30 Jun 2014|PostGrad Yr 4 - Psychiatry
University of Toronto, 01 Jul 2014  to 15 Oct 2014|PostGrad Yr 4 - Psychiatry
University of Toronto, 16 Oct 2014  to 30 Jun 2015|PostGrad Yr 5 - Psychiatry</t>
  </si>
  <si>
    <t>First certificate of registration issued: Postgraduate Education Certificate||Effective:   01 Jul 2008
Transfer of class of registration to: Independent Practice Certificate||Effective:   30 Jun 2015</t>
  </si>
  <si>
    <t>Dr. K. Strasburg Medicine Professional Corporation</t>
  </si>
  <si>
    <t>Issued Date:  May 17 2016</t>
  </si>
  <si>
    <t>Dr. K. Strasburg (CPSO# 88428)</t>
  </si>
  <si>
    <t>St Joseph's Health Centre,Department of Psychiatry,30 The Queensway,Toronto ON  M6R 1B5,(416) 530-6000</t>
  </si>
  <si>
    <t>98472</t>
  </si>
  <si>
    <t>Postgraduate Medical Education,University of Toronto,500 University Ave,Suite 602,Toronto ON  M5G 1V7</t>
  </si>
  <si>
    <t>CAMH,250 College St,Toronto ON  M5T 1R8,Canada,Phone:(416) 535-8501,County:City of Toronto,Electoral District:10</t>
  </si>
  <si>
    <t>University of Toronto,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4 - Psychiatry
University of Toronto, 01 Jul 2017  to 30 Jun 2018|PostGrad Yr 5 - Geriatric Psychiatry
University of Toronto, 01 Jul 2018  to 30 Jun 2019|PostGrad Yr 6 - Geriatric Psychiatry</t>
  </si>
  <si>
    <t>First certificate of registration issued: Postgraduate Education Certificate||Effective:   01 Jul 2012
Transfer of class of registration to: Independent Practice Certificate||Effective:   30 Jun 2018</t>
  </si>
  <si>
    <t>Dr. Philippe Toupin Medicine Professional Corporation</t>
  </si>
  <si>
    <t>Dr. K. Reynolds (CPSO# 98472),Dr. P. Toupin (CPSO# 98382)</t>
  </si>
  <si>
    <t>Sunnybrook Health Sciences Centre,Dept. of Palliative Medicine,H Wing, 3rd Floor, Suite H353,2075 Bayview Avenue,Toronto ON  M4N 3M5,(416) 480-6100
CAMH College Site,CAMH College Site,Department of Psychiatry,Suite 841,250 College Street,Toronto ON  M5T 1R8</t>
  </si>
  <si>
    <t>114158</t>
  </si>
  <si>
    <t xml:space="preserve">Active Member as of 21 Nov 2017 </t>
  </si>
  <si>
    <t xml:space="preserve">Independent Practice as of 21 Nov 2017 </t>
  </si>
  <si>
    <t>Royal Ottawa Mental Health Centre,1145 Carling Ave,Ottawa ON  K1Z 7K4</t>
  </si>
  <si>
    <t>First certificate of registration issued: Independent Practice Certificate||Effective:   21 Nov 2017</t>
  </si>
  <si>
    <t>Katerina Nikolitch Medicine Professional Corporation</t>
  </si>
  <si>
    <t>Issued Date:  Oct 19 2018</t>
  </si>
  <si>
    <t>Dr. K. Nikolitch (CPSO# 114158)</t>
  </si>
  <si>
    <t>50643</t>
  </si>
  <si>
    <t xml:space="preserve">Active Member as of 03 Jun 1986 </t>
  </si>
  <si>
    <t xml:space="preserve">Independent Practice as of 03 Jun 1986 </t>
  </si>
  <si>
    <t>Gillis, Katharine Anne (used until: 28 May 1986 )</t>
  </si>
  <si>
    <t>Memorial University of Newfoundland, 1982</t>
  </si>
  <si>
    <t>Department of Psychiatry,Ottawa Civic Hospital,1053 Carling Avenue,Ottawa ON  K1Y 4E9</t>
  </si>
  <si>
    <t>(613) 798-5555 Ext. 19112</t>
  </si>
  <si>
    <t>Bruyere Continuing Care-St Vincent Hospital Site:Ottawa
Ottawa Hospital,Civic Site:Ottawa
Ottawa Hospital,General Site:Ottawa
Royal Ottawa Health Care Group:Ottawa</t>
  </si>
  <si>
    <t>Psychiatry||Effective: 31 Dec 1995||RCPSC Specialist</t>
  </si>
  <si>
    <t>University of Ottawa, 01 Jul 1995  to 31 Dec 1995|Resident 4 - Psychiatry</t>
  </si>
  <si>
    <t>First certificate of registration issued: Postgraduate Education Certificate||Effective:   15 Jun 1982
Transfer of class of registration to: Independent Practice Certificate||Effective:   27 Jun 1983
Expired: Resigned from membership.||Expiry:      14 Sep 1984
Subsequent certificate of registration Issued: Independent Practice Certificate||Effective:   03 Jun 1986</t>
  </si>
  <si>
    <t>K. Gillis &amp; P. Bragg Medicine Professional Corporation</t>
  </si>
  <si>
    <t>Dr. P. Bragg (CPSO# 33839),Dr. K. Gillis (CPSO# 50643)</t>
  </si>
  <si>
    <t>501 Smyth Road,Ottawa ON  K1H 8L6,(613) 787-8955
1053 Carling Avenue,1053 Carling Avenue,Ottawa ON  K1Y 4E9,(613) 722-7000</t>
  </si>
  <si>
    <t>84591</t>
  </si>
  <si>
    <t>Queen's University, 2006</t>
  </si>
  <si>
    <t>St Michael's Hospital,Department of Psychiatry,Toronto ON  M5B 1W8</t>
  </si>
  <si>
    <t>University of Toronto, 01 Jul 2006  to 30 Jun 2007|PostGrad Yr 1 - Family Medicine
University of Toronto, 01 Jul 2007  to 30 Jun 2008|PostGrad Yr 2 - Psychiatry
University of Toronto, 01 Jul 2008  to 30 Jun 2009|PostGrad Yr 3 - Psychiatry
University of Toronto, 01 Jul 2009  to 30 Jun 2010|PostGrad Yr 4 - Psychiatry
University of Toronto, 01 Jul 2010  to 30 Jun 2011|PostGrad Yr 5 - Psychiatry</t>
  </si>
  <si>
    <t>74005</t>
  </si>
  <si>
    <t xml:space="preserve">Active Member as of 21 Aug 2006 </t>
  </si>
  <si>
    <t xml:space="preserve">Independent Practice as of 21 Aug 2006 </t>
  </si>
  <si>
    <t>(416) 368-3751 Ext. 2240</t>
  </si>
  <si>
    <t>(416) 368-5025</t>
  </si>
  <si>
    <t>University of Toronto, 01 Jul 1999  to 30 Jun 2000|PostGrad Yr 1 - Psychiatry
University of Toronto, 01 Jul 2000  to 30 Jun 2001|PostGrad Yr 2 - Psychiatry
University of Toronto, 01 Jul 2001  to 30 Jun 2002|PostGrad Yr 2 - Psychiatry
University of Toronto, 01 Jul 2002  to 30 Jun 2003|PostGrad Yr 3 - Psychiatry
University of Toronto, 01 Jul 2003  to 30 Jun 2004|PostGrad Yr 4 - Psychiatry
University of Toronto, 01 Jul 2004  to 30 Jun 2005|PostGrad Yr 4 - Psychiatry
University of Toronto, 01 Jul 2005  to 30 Jun 2006|PostGrad Yr 5 - Psychiatry
University of Toronto, 01 Oct 2006  to 30 Jun 2007|Clinical Fellow - Psychiatry
University of Toronto, 01 Jul 2007  to 30 Jun 2008|Clinical Fellow - Psychiatry</t>
  </si>
  <si>
    <t>First certificate of registration issued: Postgraduate Education Certificate||Effective:   01 Jul 1999
Expired: Terms and conditions of certificate of registration||Expiry:      30 Jun 2006
Subsequent certificate of registration Issued: Independent Practice Certificate||Effective:   21 Aug 2006</t>
  </si>
  <si>
    <t>93540</t>
  </si>
  <si>
    <t>University of Ottawa, 01 Jul 2010  to 30 Jun 2011|PostGrad Yr 1 - Psychiatry
University of Ottawa, 01 Jul 2011  to 30 Jun 2012|PostGrad Yr 2 - Psychiatry
University of Ottawa, 01 Jul 2012  to 30 Jun 2013|PostGrad Yr 3 - Psychiatry
University of Ottawa, 01 Jul 2013  to 30 Jun 2014|PostGrad Yr 4 - Psychiatry
University of Ottawa, 01 Jul 2014  to 30 Jun 2015|PostGrad Yr 5 - Psychiatry</t>
  </si>
  <si>
    <t>Katherine Allen Medicine Professional Corporation</t>
  </si>
  <si>
    <t>Dr. K. Allen (CPSO# 93540)</t>
  </si>
  <si>
    <t>Montfort Hospital,713 Montreal Road,Ottawa ON  K1K 0T2,(613) 746-4621</t>
  </si>
  <si>
    <t>97698</t>
  </si>
  <si>
    <t>McMaster University, 01 Jul 2012  to 30 Jun 2013|PostGrad Yr 1 - Psychiatry
McMaster University, 01 Jul 2013  to 30 Jun 2014|PostGrad Yr 2 - Psychiatry
McMaster University, 01 Jul 2014  to 30 Jun 2015|PostGrad Yr 3 - Psychiatry
McMaster University, 01 Jul 2015  to 30 Jun 2016|PostGrad Yr 4 - Psychiatry
McMaster University, 01 Jul 2016  to 30 Jun 2017|PostGrad Yr 5 - Psychiatry</t>
  </si>
  <si>
    <t>24177</t>
  </si>
  <si>
    <t xml:space="preserve">Active Member as of 13 Sep 1971 </t>
  </si>
  <si>
    <t xml:space="preserve">Independent Practice as of 13 Sep 1971 </t>
  </si>
  <si>
    <t>49 St Nicholas Street,Toronto ON  M4Y 1W6</t>
  </si>
  <si>
    <t>(416) 925-6170</t>
  </si>
  <si>
    <t>(416) 465-1426</t>
  </si>
  <si>
    <t>First certificate of registration issued: Independent Practice Certificate||Effective:   13 Sep 1971</t>
  </si>
  <si>
    <t>64250</t>
  </si>
  <si>
    <t xml:space="preserve">Independent Practice as of 20 Nov 1992 </t>
  </si>
  <si>
    <t>221 Dowsley Cres,Brockville ON  K6V 7J2</t>
  </si>
  <si>
    <t>(613) 561-1154</t>
  </si>
  <si>
    <t>Queen's University, 01 Jul 1992  to 30 Jun 1993|Resident 2 - Internal Medicine
Queen's University, 01 Jul 1993  to 30 Jun 1994|Resident 1 - Psychiatry
Queen's University, 01 Jul 1994  to 30 Jun 1995|Resident 2 - Psychiatry
Queen's University, 01 Jul 1995  to 30 Jun 1996|Resident 3 - Psychiatry
Queen's University, 01 Jul 1996  to 30 Jun 1997|Resident 4 - Psychiatry
Queen's University, 11 Aug 1997  to 10 Aug 1998|Clinical Fellow - Psychiatry</t>
  </si>
  <si>
    <t>First certificate of registration issued: Postgraduate Education Certificate||Effective:   01 Jul 1991
Transfer of class of registration to: Independent Practice Certificate||Effective:   20 Nov 1992</t>
  </si>
  <si>
    <t>101634</t>
  </si>
  <si>
    <t xml:space="preserve">Active Member as of 19 Aug 2014 </t>
  </si>
  <si>
    <t xml:space="preserve">Independent Practice as of 19 Aug 2014 </t>
  </si>
  <si>
    <t>C H E O,Department of Psychiatry,6 West,401 Smyth Road,Ottawa ON  K1H 8L1</t>
  </si>
  <si>
    <t>Psychiatry||Effective: 28 Jul 2014||RCPSC Specialist
Child and Adolescent Psychiatry||Effective: 21 Sep 2015||RCPSC Specialist</t>
  </si>
  <si>
    <t>University of Ottawa, 01 Jul 2013  to 31 Dec 2013|Elective Trainee - Psychiatry</t>
  </si>
  <si>
    <t>First certificate of registration issued: Postgraduate Education Certificate||Effective:   01 Jul 2013
Expired: Terms and conditions of certificate of registration||Expiry:      31 Dec 2013
Subsequent certificate of registration Issued: Independent Practice Certificate||Effective:   19 Aug 2014</t>
  </si>
  <si>
    <t>K. Matheson Medicine Professional Corporation</t>
  </si>
  <si>
    <t>Issued Date:  Mar 26 2015</t>
  </si>
  <si>
    <t>Dr. K. Matheson (CPSO# 101634)</t>
  </si>
  <si>
    <t>C H E O,Department of Psychiatry,6 West,401 Smyth Road,Ottawa ON  K1H 8L1,(613) 737-7600</t>
  </si>
  <si>
    <t>82713</t>
  </si>
  <si>
    <t xml:space="preserve">Active Member as of 18 Oct 2010 </t>
  </si>
  <si>
    <t xml:space="preserve">Independent Practice as of 18 Oct 2010 </t>
  </si>
  <si>
    <t>Health &amp; Wellness,Koffler Student Services Centre,University of Toronto,214 College Street, Main Floor,Toronto ON  M5T 2Z9</t>
  </si>
  <si>
    <t>Rm 3240, 3rd Floor,100 Stokes Street,Bell Gateway Building,CAMH,Toronto ON  M6J 1H4,Canada,Phone:416-535-8501 Ext. 30985,Fax:416-595-6821,County:City of Toronto,Electoral District:10</t>
  </si>
  <si>
    <t>First certificate of registration issued: Postgraduate Education Certificate||Effective:   01 Jul 2005
Expired: Terms and conditions of certificate of registration||Expiry:      30 Jun 2010
Subsequent certificate of registration Issued: Independent Practice Certificate||Effective:   18 Oct 2010</t>
  </si>
  <si>
    <t>29476</t>
  </si>
  <si>
    <t>University of Ceylon, 1967</t>
  </si>
  <si>
    <t>Greater Niagara General Hospital,5546 Portage Road,Niagara Falls ON  L2E 6X2</t>
  </si>
  <si>
    <t>(905) 358-0171 Ext. 53809</t>
  </si>
  <si>
    <t>(905) 358-4954</t>
  </si>
  <si>
    <t>Niagara on the Lake Family Health,Team,Box 777,1882 Niagara Stone Road,Niagara-on-the-lake ON  L0S 1J0,Canada,County:Regional Municipality of Niagara,Electoral District:04
Niagara Medical Group,4421 Queen Street,Niagara Falls ON  L2E 2L2,Canada,County:Regional Municipality of Niagara,Electoral District:04</t>
  </si>
  <si>
    <t>Niagara Health System Greater Niagara Site:Niagara Falls</t>
  </si>
  <si>
    <t>Dr. Santher Medicine Professional Corporation</t>
  </si>
  <si>
    <t>Issued Date:  Jan 15 2007</t>
  </si>
  <si>
    <t>Dr. K. Santher (CPSO# 29476)</t>
  </si>
  <si>
    <t>Greater Niagara General Hospital,5546 Portage Avenue,Niagara Falls ON  L2E 6X2,(905) 358-0171
Niagara Child and Youth Services,Niagara Child and Youth Services,243 Church Street,St Catharines ON  L2R 3E8,(905) 688-6850
Niagara Child and Youth Services,Niagara Child and Youth Services,1604 Merrittville Highway,Welland ON  L3B 5N5,(905) 384-9551</t>
  </si>
  <si>
    <t>107764</t>
  </si>
  <si>
    <t xml:space="preserve">Active Member as of 05 Aug 2015 </t>
  </si>
  <si>
    <t xml:space="preserve">Restricted as of 05 Aug 2015 </t>
  </si>
  <si>
    <t>UNIVERSITY OF SOUTH ALABAMA COLL OF MED, 1982</t>
  </si>
  <si>
    <t>Childrens Hospital Of Eastern,Ontario,Department of Psychiatry,401 Smyth Road,Ottawa ON  K1H 8L1</t>
  </si>
  <si>
    <t>(613) 737-7600 Ext. 2723</t>
  </si>
  <si>
    <t>Psychiatry||Effective: 05 Aug 2015||CPSO Recognized Specialist</t>
  </si>
  <si>
    <t>First certificate of registration issued: Restricted certificate||Effective:   05 Aug 2015
Terms and conditions imposed on certificate by Registration Committee||Effective:   05 Aug 2015
Expiry date attached to certificate of registration.||Expiry Date: 07 Jun 2016
Terms and conditions amended by Registration Committee||Effective:   08 Aug 2017
Terms and conditions amended by Registration Committee||Effective:   24 Aug 2017
Expiry date attached to certificate of registration||Expiry Date: 31 Aug 2022</t>
  </si>
  <si>
    <t>92836</t>
  </si>
  <si>
    <t>(416) 603-5800 Ext. 3293</t>
  </si>
  <si>
    <t>59559</t>
  </si>
  <si>
    <t xml:space="preserve">Independent Practice as of 24 Jul 1989 </t>
  </si>
  <si>
    <t>Suite 606,1 St Clair Avenue East,Toronto ON  M4T 2V7</t>
  </si>
  <si>
    <t>(416) 963-8266</t>
  </si>
  <si>
    <t>Rouge Valley Health System,Centenary Site 6th floor,2867 Ellesmere Road,Scarborough ON  M1E 4B9,Canada,Phone:(416) 284-8131 Ext. 1991,Fax:(416) 281-7320,County:City of Toronto,Electoral District:10</t>
  </si>
  <si>
    <t>Rouge Valley Centenary Health Centre,Toronto:Toronto
University Health Network,Toronto General Hospital Site:Toronto</t>
  </si>
  <si>
    <t>University of Toronto, 13 Jun 1988  to 12 Jun 1989|Other - Rotating Internship
University of Toronto, 01 Jul 1989  to 30 Jun 1990|Resident 1 - Psychiatry
University of Toronto, 01 Jul 1990  to 30 Jun 1991|Resident 2 - Psychiatry
University of Toronto, 01 Jul 1991  to 30 Jun 1992|Resident 3 - Psychiatry
University of Toronto, 01 Jul 1992  to 30 Jun 1993|Resident 4 - Psychiatry</t>
  </si>
  <si>
    <t>First certificate of registration issued: Postgraduate Education Certificate||Effective:   13 Jun 1988
Transfer of class of registration to: Independent Practice Certificate||Effective:   24 Jul 1989</t>
  </si>
  <si>
    <t>Schneider Medicine Professional Corporation</t>
  </si>
  <si>
    <t>Issued Date:  Jan 24 2007</t>
  </si>
  <si>
    <t>Dr. K. Schneider (CPSO# 59559)</t>
  </si>
  <si>
    <t>Rouge Valley Health Centre,6th  Floor,2867 Ellesmere Road,Scarborough ON  M1E 4B9,(416) 963-8266
606 - 1 St. Clair Avenue East,606 - 1 St. Clair Avenue East,Toronto ON  M4T 2V7,(416) 963-8266</t>
  </si>
  <si>
    <t>105376</t>
  </si>
  <si>
    <t xml:space="preserve">Active Member as of 12 Jan 2015 </t>
  </si>
  <si>
    <t xml:space="preserve">Restricted as of 12 Jan 2015 </t>
  </si>
  <si>
    <t>The Medical College of Pennsylvania, 1996</t>
  </si>
  <si>
    <t>Waypoint Centre for Mental Health,Care Outpatient Services,1156 St Andrews Drive,Midland ON  L4R 4P9</t>
  </si>
  <si>
    <t>(705) 549-3181 Ext. 2613</t>
  </si>
  <si>
    <t>First certificate of registration issued: Restricted certificate||Effective:   12 Jan 2015
Terms and conditions imposed on certificate by Registration Committee||Effective:   12 Jan 2015
Expiry date attached to certificate of registration.||Expiry Date: 11 Jul 2016
Terms and conditions amended by Registration Committee||Effective:   20 May 2016</t>
  </si>
  <si>
    <t>97671</t>
  </si>
  <si>
    <t xml:space="preserve">Independent Practice as of 05 Nov 2018 </t>
  </si>
  <si>
    <t>Northern Ontario School Of Medicine, 2012</t>
  </si>
  <si>
    <t>HeadWay Clinic,907 Lorne St,Sudbury ON  P3C 4R6</t>
  </si>
  <si>
    <t>Psychiatry||Effective: 05 Nov 2018||RCPSC Specialist</t>
  </si>
  <si>
    <t>Northern Ontario School Of Medicine, 01 Jul 2012  to 30 Jun 2013|PostGrad Yr 1 - Psychiatry
Northern Ontario School Of Medicine, 01 Jul 2013  to 30 Jun 2014|PostGrad Yr 2 - Psychiatry
Northern Ontario School Of Medicine, 01 Jul 2014  to 05 Apr 2015|PostGrad Yr 2 - Psychiatry
Northern Ontario School Of Medicine, 06 Apr 2015  to 30 Jun 2015|PostGrad Yr 3 - Psychiatry
Northern Ontario School Of Medicine, 01 Jul 2015  to 10 Apr 2016|PostGrad Yr 3 - Psychiatry
Northern Ontario School Of Medicine, 11 Apr 2016  to 30 Jun 2016|PostGrad Yr 4 - Psychiatry
Northern Ontario School Of Medicine, 01 Jul 2016  to 30 Jun 2017|PostGrad Yr 4 - Psychiatry
Northern Ontario School Of Medicine, 01 Jul 2017  to 05 Nov 2017|PostGrad Yr 4 - Psychiatry
Northern Ontario School Of Medicine, 06 Nov 2017  to 30 Jun 2018|PostGrad Yr 5 - Psychiatry
Northern Ontario School Of Medicine, 01 Jul 2018  to 05 Nov 2018|PostGrad Yr 5 - Psychiatry</t>
  </si>
  <si>
    <t>First certificate of registration issued: Postgraduate Education Certificate||Effective:   01 Jul 2012
Transfer of class of registration to: Independent Practice Certificate||Effective:   05 Nov 2018</t>
  </si>
  <si>
    <t>83378</t>
  </si>
  <si>
    <t xml:space="preserve">Active Member as of 24 Nov 2010 </t>
  </si>
  <si>
    <t xml:space="preserve">Independent Practice as of 24 Nov 2010 </t>
  </si>
  <si>
    <t>2039 Robertson Road,Suite 402,Nepean ON  K2H 8R2</t>
  </si>
  <si>
    <t>(613) 422-1452</t>
  </si>
  <si>
    <t>866-462-6424</t>
  </si>
  <si>
    <t>Psychiatry||Effective: 26 Oct 2010||RCPSC Specialist</t>
  </si>
  <si>
    <t>University of Ottawa, 01 Jul 2005  to 30 Jun 2006|PostGrad Yr 1 - Psychiatry
University of Ottawa, 01 Jul 2006  to 30 Jun 2007|PostGrad Yr 2 - Psychiatry
University of Ottawa, 01 Jul 2007  to 30 Jun 2008|PostGrad Yr 3 - Psychiatry
University of Ottawa, 01 Jul 2008  to 25 Oct 2008|PostGrad Yr 3 - Psychiatry
University of Ottawa, 26 Oct 2008  to 25 Oct 2009|PostGrad Yr 4 - Psychiatry
University of Ottawa, 26 Oct 2009  to 30 Jun 2010|PostGrad Yr 5 - Psychiatry
University of Ottawa, 01 Jul 2010  to 26 Oct 2010|PostGrad Yr 5 - Psychiatry</t>
  </si>
  <si>
    <t>First certificate of registration issued: Postgraduate Education Certificate||Effective:   01 Jul 2005
Expired: Terms and conditions of certificate of registration||Expiry:      26 Oct 2010
Subsequent certificate of registration Issued: Independent Practice Certificate||Effective:   24 Nov 2010</t>
  </si>
  <si>
    <t>50291</t>
  </si>
  <si>
    <t xml:space="preserve">Independent Practice as of 29 Aug 1984 </t>
  </si>
  <si>
    <t>4425 17th Sideroad,King City ON  L7B 1K4</t>
  </si>
  <si>
    <t>(905) 841-4144</t>
  </si>
  <si>
    <t>First certificate of registration issued: Postgraduate Education Certificate||Effective:   14 Jun 1982
Transfer of class of registration to: Independent Practice Certificate||Effective:   29 Aug 1984</t>
  </si>
  <si>
    <t>95458</t>
  </si>
  <si>
    <t xml:space="preserve">Active Member as of 03 May 2017 </t>
  </si>
  <si>
    <t xml:space="preserve">Independent Practice as of 03 May 2017 </t>
  </si>
  <si>
    <t>Stratford General Hospital,Special Services Unit,211 - 90 John St S,Stratford ON  N5A 2Y8</t>
  </si>
  <si>
    <t>(519) 272-8210 Ext. 2205</t>
  </si>
  <si>
    <t>Stratford General Hospital:Stratford</t>
  </si>
  <si>
    <t>First certificate of registration issued: Postgraduate Education Certificate||Effective:   01 Jul 2011
Expired: Terms and conditions of certificate of registration||Expiry:      30 Jun 2016
Subsequent certificate of registration Issued: Independent Practice Certificate||Effective:   03 May 2017</t>
  </si>
  <si>
    <t>Broad Medicine Professional Corporation</t>
  </si>
  <si>
    <t>Issued Date:  Jul 19 2017</t>
  </si>
  <si>
    <t>Dr. K. Broad (CPSO# 95458)</t>
  </si>
  <si>
    <t>Stratford General Hospital,Special Services Unit,Room 209,90 John Street South,Stratford ON  N5A 2Y8</t>
  </si>
  <si>
    <t>93221</t>
  </si>
  <si>
    <t>Toronto General Hospital,200 Elizabeth Street,8 Eaton North,Toronto ON  M5G 2C4</t>
  </si>
  <si>
    <t>(416) 340-4800 Ext. 4446</t>
  </si>
  <si>
    <t>416-340-4198</t>
  </si>
  <si>
    <t>Centre for Addiction &amp; Mental Health,Queen Street Site:Toronto
University Health Network,Toronto General Hospital Site:Toronto
University Health Network,Toronto Western Hospital Site:Toronto</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</si>
  <si>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
University of Toronto, 01 Jul 2015  to 30 Jun 2016|PostGrad Yr 5 - Psychiatry
University of Toronto, 01 Jul 2016  to 30 Jun 2017|Clinical Fellow - Geriatric Psychiatry
University of Toronto, 01 Jul 2017  to 30 Jun 2018|Clinical Fellow - Geriatric Psychiatry
University of Toronto, 01 Jul 2018  to 31 Dec 2018|Clinical Fellow - Geriatric Psychiatry</t>
  </si>
  <si>
    <t>66549</t>
  </si>
  <si>
    <t xml:space="preserve">Active Member as of 22 Jan 1999 </t>
  </si>
  <si>
    <t xml:space="preserve">Independent Practice as of 22 Jan 1999 </t>
  </si>
  <si>
    <t>1745 Chiefswood Road,Ohsweken ON  N0A 1M0</t>
  </si>
  <si>
    <t>(519) 445-2143</t>
  </si>
  <si>
    <t>(519) 445-0504</t>
  </si>
  <si>
    <t>1 Meno Ya Win Way,Sioux Lookout ON  P8T 1B4,Canada,Phone:(807) 737-3030,County:District of Kenora,Electoral District:09
385 King St West,Hamilton ON  L8P1B5,Canada,Phone:905-379-8983,County:Regional Municipality of Hamilton-Wentworth,Electoral District:04</t>
  </si>
  <si>
    <t>Sioux Lookout,Meno-Ya-Win Health Centre:Sioux Lookout</t>
  </si>
  <si>
    <t>McMaster University, 01 Jul 1993  to 30 Jun 1994|PostGrad Yr 1 - Family Medicine
McMaster University, 01 Jul 1994  to 30 Jun 1995|Resident 2 - Family Medicine
McMaster University, 01 Jul 1995  to 28 Feb 1996|Resident 1 - Psychiatry
McMaster University, 01 Mar 1996  to 28 Feb 1997|Resident 2 - Psychiatry
McMaster University, 01 Mar 1997  to 28 Feb 1998|Resident 3 - Psychiatry
McMaster University, 01 Mar 1998  to 31 Dec 1998|Resident 4 - Psychiatry</t>
  </si>
  <si>
    <t>First certificate of registration issued: Postgraduate Education Certificate||Effective:   01 Jul 1993
Expired: Terms and conditions of certificate of registration||Expiry:      31 Dec 1998
Subsequent certificate of registration Issued: Independent Practice Certificate||Effective:   22 Jan 1999</t>
  </si>
  <si>
    <t>64119</t>
  </si>
  <si>
    <t xml:space="preserve">Active Member as of 30 Jun 1992 </t>
  </si>
  <si>
    <t>Dalhousie University, 1991</t>
  </si>
  <si>
    <t>Hamilton Health Sciences Centre McMaster &amp; Childrens Hosp,McMaster &amp; Children's Hospital:Hamilton
Hamilton Health Sciences,General Site:Hamilton</t>
  </si>
  <si>
    <t>Psychiatry||Effective: 26 Jul 1997||RCPSC Specialist</t>
  </si>
  <si>
    <t>University of Toronto, 01 Jul 1995  to 30 Jun 1996|Resident 3 - Psychiatry
University of Toronto, 01 Jul 1996  to 30 Jun 1997|Resident 4 - Psychiatry
University of Toronto, 01 Jul 1997  to 25 Jul 1997|Resident 4 - Psychiatry</t>
  </si>
  <si>
    <t>First certificate of registration issued: Postgraduate Education Certificate||Effective:   17 Jun 1991
Expired: Terms and conditions of certificate of registration||Expiry:      15 Jun 1992
Subsequent certificate of registration Issued: Independent Practice Certificate||Effective:   30 Jun 1992</t>
  </si>
  <si>
    <t>100607</t>
  </si>
  <si>
    <t>The University of British Columbia, 2013</t>
  </si>
  <si>
    <t>Camh,Department of Psychiatry,Suite 841,250 College St,Toronto ON  M5T 1R8</t>
  </si>
  <si>
    <t>University of Toronto, 01 Jul 2013  to 30 Jun 2014|PostGrad Yr 1 - Psychiatry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Child and Adolescent Psychiatry
University of Toronto, 01 Jul 2018  to 30 Jun 2019|PostGrad Yr 6 - Child and Adolescent Psychiatry</t>
  </si>
  <si>
    <t>72574</t>
  </si>
  <si>
    <t xml:space="preserve">Active Member as of 05 Feb 2004 </t>
  </si>
  <si>
    <t xml:space="preserve">Independent Practice as of 05 Feb 2004 </t>
  </si>
  <si>
    <t>1804,Highway 2E,Brockville ON  K6V 5W7</t>
  </si>
  <si>
    <t>(613) 341-2870</t>
  </si>
  <si>
    <t>University of Ottawa, 01 Jul 1998  to 30 Jun 1999|PostGrad Yr 1 - Psychiatry
University of Ottawa, 01 Jul 1999  to 30 Jun 2000|PostGrad Yr 2 - Psychiatry
University of Ottawa, 01 Jul 2000  to 30 Jun 2001|PostGrad Yr 3 - Psychiatry
University of Ottawa, 01 Jul 2001  to 30 Jun 2002|PostGrad Yr 4 - Psychiatry
University of Ottawa, 01 Jul 2002  to 30 Jun 2003|PostGrad Yr 5 - Psychiatry
University of Ottawa, 01 Apr 2004  to 31 Dec 2004|Clinical Fellow - Psychiatry</t>
  </si>
  <si>
    <t>First certificate of registration issued: Postgraduate Education Certificate||Effective:   01 Jul 1998
Expired: Terms and conditions of certificate of registration||Expiry:      30 Jun 2003
Subsequent certificate of registration Issued: Independent Practice Certificate||Effective:   05 Feb 2004</t>
  </si>
  <si>
    <t>Dr. Katrina Huntington Medicine Professional Corporation</t>
  </si>
  <si>
    <t>Issued Date:  Aug 15 2017</t>
  </si>
  <si>
    <t>Dr. K. Huntington (CPSO# 72574)</t>
  </si>
  <si>
    <t>Royal Ottawa Mental Health Centre,Suite 1250,1145 Carling Avenue,Ottawa ON  K1Z 7K4,(613) 722-6521
1804 Highway 2 East,1804 Highway 2 East,Brockville ON  K6V 5W7,(613) 341-2870</t>
  </si>
  <si>
    <t>53485</t>
  </si>
  <si>
    <t xml:space="preserve">Active Member as of 01 Jan 1986 </t>
  </si>
  <si>
    <t xml:space="preserve">Independent Practice as of 24 Sep 1986 </t>
  </si>
  <si>
    <t>Armenian, English, Ethiopian</t>
  </si>
  <si>
    <t>Erevan Medical Institute, 1977</t>
  </si>
  <si>
    <t>St Joseph Health Centre,Morrow Wing,5th Floor-CMHC,30 The Queensway,Toronto ON  M6R 1B5</t>
  </si>
  <si>
    <t>(416) 530-6000 Ext. 3293</t>
  </si>
  <si>
    <t>First certificate of registration issued: Postgraduate Education Certificate||Effective:   02 Aug 1983
Expired: Terms and conditions of certificate of registration||Expiry:      30 Jun 1985
Subsequent certificate of registration Issued: Postgraduate Education Certificate||Effective:   01 Jan 1986
Transfer of class of registration to: Independent Practice Certificate||Effective:   24 Sep 1986</t>
  </si>
  <si>
    <t>Dr. Katyg Behesnilian Medicine Professional Corporation</t>
  </si>
  <si>
    <t>Issued Date:  Jul 28 2008</t>
  </si>
  <si>
    <t>Dr. K. Behesnilian (CPSO# 53485)</t>
  </si>
  <si>
    <t>St. Joseph's Health Centre,30 The Queensway,Toronto ON  M6R 1B5,(416) 530-6000</t>
  </si>
  <si>
    <t>66167</t>
  </si>
  <si>
    <t xml:space="preserve">Active Member as of 12 Jan 1993 </t>
  </si>
  <si>
    <t xml:space="preserve">Independent Practice as of 12 Jan 1993 </t>
  </si>
  <si>
    <t>University of Cairo, 1971</t>
  </si>
  <si>
    <t>Suite 215,820 McConnell Avenue,Cornwall ON  K6H 4M4</t>
  </si>
  <si>
    <t>(613) 938-2328</t>
  </si>
  <si>
    <t>(613) 938-0537</t>
  </si>
  <si>
    <t>First certificate of registration issued: Independent Practice Certificate||Effective:   12 Jan 1993</t>
  </si>
  <si>
    <t>Yassa and Wassef Medicine Professional Corporation</t>
  </si>
  <si>
    <t>Issued Date:  Oct 27 2003</t>
  </si>
  <si>
    <t>Dr. K. Wassef (CPSO# 66167),Dr. S. Yassa (CPSO# 63329)</t>
  </si>
  <si>
    <t>McConnell Medical Centre,820 McConnell Avenue,Suite 215,Cornwall ON  K6H 4M4,(613) 933-1610</t>
  </si>
  <si>
    <t>71668</t>
  </si>
  <si>
    <t xml:space="preserve">Active Member as of 08 Jun 2007 </t>
  </si>
  <si>
    <t xml:space="preserve">Independent Practice as of 08 Jun 2007 </t>
  </si>
  <si>
    <t>Peterborough Regional Hospital,1 Hospital Drive,Peterborough ON  K9J 7C6</t>
  </si>
  <si>
    <t>Psychiatry||Effective: 19 Jun 2002||RCPSC Specialist</t>
  </si>
  <si>
    <t>University of Toronto, 01 Jul 1997  to 30 Jun 1998|PostGrad Yr 1 - Psychiatry
University of Toronto, 01 Jul 1998  to 30 Jun 1999|PostGrad Yr 2 - Psychiatry</t>
  </si>
  <si>
    <t>First certificate of registration issued: Postgraduate Education Certificate||Effective:   01 Jul 1997
Expired: Terms and conditions of certificate of registration||Expiry:      30 Jun 1999
Subsequent certificate of registration Issued: Independent Practice Certificate||Effective:   08 Jun 2007</t>
  </si>
  <si>
    <t>Harvie Ghatavi Medicine Professional Corporation</t>
  </si>
  <si>
    <t>Issued Date:  Dec 24 2007</t>
  </si>
  <si>
    <t>Dr. S. Harvie (CPSO# 87296),Dr. K. Ghatavi (CPSO# 71668)</t>
  </si>
  <si>
    <t>Peterborough Regional Health Centre,Department of Diagnostic Imaging,1 Hospital Drive,Peterborough ON  K9J 7C6,(705) 743-2121
Ross Memorial Hospital,Ross Memorial Hospital,Department of Diagnostic Imaging,10 Angeline Street North,Lindsay ON  K9V 4M8,(705) 324-6111
1 Hospital Drive,1 Hospital Drive,Department of Psychiatry,Peterborough ON  K9J 7C6,(705) 743-2121</t>
  </si>
  <si>
    <t>97808</t>
  </si>
  <si>
    <t>Queensway Carleton Hospital,3045 Baseline Road,Ottawa ON  K2H 8P4</t>
  </si>
  <si>
    <t>613-721-2000</t>
  </si>
  <si>
    <t>80995</t>
  </si>
  <si>
    <t xml:space="preserve">Active Member as of 19 Jun 2010 </t>
  </si>
  <si>
    <t xml:space="preserve">Independent Practice as of 19 Jun 2010 </t>
  </si>
  <si>
    <t>491 Lawrence Avenue West, suite 304,North York ON  M5M1C7</t>
  </si>
  <si>
    <t>416-429-9477</t>
  </si>
  <si>
    <t>416-429-0473</t>
  </si>
  <si>
    <t>Mount Sinai Hospital:Toronto
North York General Hospital,General Division:Toronto</t>
  </si>
  <si>
    <t>University of Toronto, 01 Jul 2004  to 30 Jun 2005|PostGrad Yr 1 - Psychiatry
University of Toronto, 01 Jul 2005  to 30 Jun 2006|PostGrad Yr 2 - Psychiatry
University of Toronto, 01 Jul 2006  to 30 Jun 2007|PostGrad Yr 3 - Psychiatry
University of Toronto, 01 Jul 2007  to 30 Jun 2008|PostGrad Yr 4 - Psychiatry
University of Toronto, 01 Jul 2008  to 30 Jun 2009|PostGrad Yr 5 - Psychiatry
University of Toronto, 01 Jul 2009  to 31 May 2010|PostGrad Yr 5 - Psychiatry</t>
  </si>
  <si>
    <t>First certificate of registration issued: Postgraduate Education Certificate||Effective:   01 Jul 2004
Expired: Terms and conditions of certificate of registration||Expiry:      31 May 2010
Subsequent certificate of registration Issued: Independent Practice Certificate||Effective:   19 Jun 2010</t>
  </si>
  <si>
    <t>114235</t>
  </si>
  <si>
    <t xml:space="preserve">Active Member as of 14 Dec 2017 </t>
  </si>
  <si>
    <t xml:space="preserve">Independent Practice as of 14 Dec 2017 </t>
  </si>
  <si>
    <t>University of Ilorin, 1997</t>
  </si>
  <si>
    <t>Bluewater Health,Department of Psychiatry,89 Norman St,Sarnia ON  N7T 6S3</t>
  </si>
  <si>
    <t>519 4644400 Ext. 5623</t>
  </si>
  <si>
    <t>151B York Street,London ON N6A 1A8,London ON  N6A 1A8,Canada,Phone:1519 679 3255,County:County of Middlesex,Electoral District:02
Suite 335, 5945 Airport Road,Mississauga ON  L4V 1R9,Canada,Phone:1905 6782924,County:Regional Municipality of Peel,Electoral District:05
236 Pritchard Rd,Hamilton ON  L8W 3P7,Canada,Phone:1905 381 9210,County:Regional Municipality of Hamilton-Wentworth,Electoral District:04</t>
  </si>
  <si>
    <t>First certificate of registration issued: Independent Practice Certificate||Effective:   14 Dec 2017</t>
  </si>
  <si>
    <t>Kehinde Aladetoyinbo Medicine Professional Corporation</t>
  </si>
  <si>
    <t>Issued Date:  Feb 02 2018</t>
  </si>
  <si>
    <t>Dr. K. Aladetoyinbo (CPSO# 114235)</t>
  </si>
  <si>
    <t>Bluewater Health,Department of Psychiatry,89 Norman Street,Sarnia ON  N7T 6S3,(519) 464-4400</t>
  </si>
  <si>
    <t>24237</t>
  </si>
  <si>
    <t xml:space="preserve">Active Member as of 01 Oct 1971 </t>
  </si>
  <si>
    <t xml:space="preserve">Independent Practice as of 01 Oct 1971 </t>
  </si>
  <si>
    <t>University of Ottawa, 1970</t>
  </si>
  <si>
    <t>1081 Carling Avenue,Suite 702,Ottawa ON  K1Y 4G2</t>
  </si>
  <si>
    <t>(613) 725-2284</t>
  </si>
  <si>
    <t>(613) 725-9161</t>
  </si>
  <si>
    <t>First certificate of registration issued: Independent Practice Certificate||Effective:   01 Oct 1971</t>
  </si>
  <si>
    <t>96156</t>
  </si>
  <si>
    <t xml:space="preserve">Independent Practice as of 14 Sep 2016 </t>
  </si>
  <si>
    <t>University of Ottawa, 2011</t>
  </si>
  <si>
    <t>University of Ottawa, 01 Jul 2011  to 30 Jun 2012|PostGrad Yr 1 - Psychiatry
University of Ottawa, 01 Jul 2012  to 30 Jun 2013|PostGrad Yr 2 - Psychiatry
University of Ottawa, 01 Jul 2013  to 30 Jun 2014|PostGrad Yr 3 - Psychiatry
University of Ottawa, 01 Jul 2014  to 14 Dec 2014|PostGrad Yr 3 - Psychiatry
University of Ottawa, 15 Dec 2014  to 30 Jun 2015|PostGrad Yr 4 - Psychiatry
University of Ottawa, 01 Jul 2015  to 14 Dec 2015|PostGrad Yr 4 - Psychiatry
University of Ottawa, 15 Dec 2015  to 30 Jun 2016|PostGrad Yr 5 - Psychiatry
University of Ottawa, 01 Jul 2016  to 14 Sep 2016|PostGrad Yr 5 - Psychiatry</t>
  </si>
  <si>
    <t>First certificate of registration issued: Postgraduate Education Certificate||Effective:   01 Jul 2011
Transfer of class of registration to: Independent Practice Certificate||Effective:   14 Sep 2016</t>
  </si>
  <si>
    <t>Kelly Mascioli Medicine Professional Corporation</t>
  </si>
  <si>
    <t>Dr. K. Mascioli (CPSO# 96156)</t>
  </si>
  <si>
    <t>The Ottawa Hospital,Civic Campus,Department of Psychiatry,1053 Carling Avenue,Ottawa ON  K1Y 4E9,(613) 761-4581
501 Smyth Road,501 Smyth Road,Ottawa ON  K1H 8L6,(613) 798-5555</t>
  </si>
  <si>
    <t>88161</t>
  </si>
  <si>
    <t xml:space="preserve">Active Member as of 13 Mar 2008 </t>
  </si>
  <si>
    <t xml:space="preserve">Independent Practice as of 13 Mar 2008 </t>
  </si>
  <si>
    <t>Developmental Disabilities Service,North Bay Regional Health Centre,50 College Drive,North Bay ON  P1B 5A4</t>
  </si>
  <si>
    <t>(705) 474-3180</t>
  </si>
  <si>
    <t>(705) 474-3189</t>
  </si>
  <si>
    <t>First certificate of registration issued: Independent Practice Certificate||Effective:   13 Mar 2008</t>
  </si>
  <si>
    <t>62310</t>
  </si>
  <si>
    <t>St Joseph's Health Care,London - Parkwood Hospital:London</t>
  </si>
  <si>
    <t>University of Toronto, 01 Jul 1995  to 30 Jun 1996|Clinical Fellow - Psychiatry</t>
  </si>
  <si>
    <t>Dr. Kenneth Balderson Medicine Professional Corporation</t>
  </si>
  <si>
    <t>Issued Date:  Feb 09 2011</t>
  </si>
  <si>
    <t>Dr. K. Balderson (CPSO# 62310)</t>
  </si>
  <si>
    <t>113538</t>
  </si>
  <si>
    <t xml:space="preserve">Active Member as of 18 Jul 2017 </t>
  </si>
  <si>
    <t xml:space="preserve">Independent Practice as of 18 Jul 2017 </t>
  </si>
  <si>
    <t>McGill University, 2012</t>
  </si>
  <si>
    <t>Queensway-Carleton Hospital,3045 Baseline Road,Nepean ON  K2H 8P4</t>
  </si>
  <si>
    <t>First certificate of registration issued: Independent Practice Certificate||Effective:   18 Jul 2017</t>
  </si>
  <si>
    <t>27168</t>
  </si>
  <si>
    <t xml:space="preserve">Active Member as of 11 Sep 1978 </t>
  </si>
  <si>
    <t xml:space="preserve">Independent Practice as of 11 Sep 1978 </t>
  </si>
  <si>
    <t>Department of Psychiatry,Sunnybrook Health Sciences Centre,2075 Bayview Avenue,Toronto ON  M4N 3M5</t>
  </si>
  <si>
    <t>(416) 480-4079</t>
  </si>
  <si>
    <t>First certificate of registration issued: Independent Practice Certificate||Effective:   31 Dec 1974</t>
  </si>
  <si>
    <t>Dr. Kenneth Shulman Medicine Professional Corporation</t>
  </si>
  <si>
    <t>Issued Date:  Mar 07 2011</t>
  </si>
  <si>
    <t>Dr. K. Shulman (CPSO# 27168)</t>
  </si>
  <si>
    <t>Department of Psychiatry,Sunnybrook Health Sciences Centre,2075 Bayview Avenue,FG-08,Toronto ON  M4N 3M5,(416) 480-4079</t>
  </si>
  <si>
    <t>66213</t>
  </si>
  <si>
    <t xml:space="preserve">Active Member as of 10 Aug 2018 </t>
  </si>
  <si>
    <t xml:space="preserve">Independent Practice as of 10 Aug 2018 </t>
  </si>
  <si>
    <t>Dalhousie University, 1988</t>
  </si>
  <si>
    <t>University of Toronto, 01 Sep 1992  to 30 Jun 1993|Resident 1 - Community Medicine
University of Toronto, 01 Jul 1993  to 30 Jun 1994|Resident 2 - Community Medicine</t>
  </si>
  <si>
    <t>First certificate of registration issued: Independent Practice Certificate||Effective:   16 Feb 1993
Expired: Resigned from membership.||Expiry:      07 Aug 1997
Subsequent certificate of registration Issued: Independent Practice Certificate||Effective:   10 Aug 2018</t>
  </si>
  <si>
    <t>69144</t>
  </si>
  <si>
    <t>465 Morden Road Suite 203,Oakville ON  L6K 3W6</t>
  </si>
  <si>
    <t>(905) 845-8850</t>
  </si>
  <si>
    <t>(905) 580-9999</t>
  </si>
  <si>
    <t>217 Main St. E.,Milton ON  L9T 1N9,Canada,Phone:(905) 693-4240,County:Regional Municipality of Halton,Electoral District:04</t>
  </si>
  <si>
    <t>University of Toronto, 01 Jul 1995  to 30 Jun 1996|PostGrad Yr 1 - Psychiatry
University of Toronto, 01 Jul 1996  to 30 Jun 1997|PostGrad Yr 2 - Psychiatry
University of Toronto, 01 Jul 1997  to 30 Jun 1998|PostGrad Yr 3 - Psychiatry
University of Toronto, 01 Jul 1998  to 30 Jun 1999|PostGrad Yr 4 - Psychiatry
University of Toronto, 01 Jul 1999  to 13 Sep 1999|PostGrad Yr 5 - Psychiatry
University of Toronto, 14 Sep 1999  to 30 Jun 2000|PostGrad Yr 5 - Psychiatry</t>
  </si>
  <si>
    <t>Dr. K. Handelman Medicine Professional Corporation</t>
  </si>
  <si>
    <t>Issued Date:  Nov 23 2017</t>
  </si>
  <si>
    <t>Dr. K. Handelman (CPSO# 69144)</t>
  </si>
  <si>
    <t>32895</t>
  </si>
  <si>
    <t xml:space="preserve">Active Member as of 04 Jun 1984 </t>
  </si>
  <si>
    <t>The University of Manitoba, 1978</t>
  </si>
  <si>
    <t>3560 Bathurst. St.,Dept. of Psychiatry,Toronto ON  M6A 2E1</t>
  </si>
  <si>
    <t>(416) 785-2500 Ext. 2882</t>
  </si>
  <si>
    <t>First certificate of registration issued: Independent Practice Certificate||Effective:   05 Oct 1981
Expired: Resigned from membership.||Expiry:      05 Jul 1983
Subsequent certificate of registration Issued: Independent Practice Certificate||Effective:   04 Jun 1984</t>
  </si>
  <si>
    <t>Dr. Kenneth M. Schwartz Medicine Professional Corporation</t>
  </si>
  <si>
    <t>Dr. K. Schwartz (CPSO# 32895)</t>
  </si>
  <si>
    <t>205 Cummer Avenue,Toronto ON  M6M 2E8
1925 Steeles Avenue East,1925 Steeles Avenue East,Toronto ON  M2H 3M4
Baycrest,Baycrest,3560 Bathurst Street,Toronto ON  M6A 2E1,(416) 785-2500</t>
  </si>
  <si>
    <t>69103</t>
  </si>
  <si>
    <t>Cantonese, English, Mandarin</t>
  </si>
  <si>
    <t>Toronto Western Hospital,Department of Psychiatry,9 East,399 Bathurst Street,Toronto ON  M5T 2S8</t>
  </si>
  <si>
    <t>(416) 603-5349</t>
  </si>
  <si>
    <t>(416) 603-5661</t>
  </si>
  <si>
    <t>Mon Sheong Scarborough Long Term,Care Centre,2030 McNicoll Avenue,Scarborough ON  M1V 5P4,Canada,Phone:(416) 291-3898,Fax:(416) 297-8322,County:City of Toronto,Electoral District:10
Hong Fook Mental Health Association,130 Dundas Street West, 3rd Floor,Toronto ON  M7A 2C7,Canada,Phone:(416) 493-4242,Fax:(416) 595-6332,County:City of Toronto,Electoral District:10</t>
  </si>
  <si>
    <t>University of Toronto, 01 Jul 1995  to 30 Jun 1996|PostGrad Yr 1 - Psychiatry
University of Toronto, 01 Jul 1996  to 30 Jun 1997|PostGrad Yr 2 - Psychiatry
University of Toronto, 01 Jul 1997  to 30 Jun 1998|PostGrad Yr 3 - Psychiatry
University of Toronto, 01 Jul 1998  to 30 Jun 1999|PostGrad Yr 4 - Psychiatry
University of Toronto, 01 Jul 1999  to 30 Jun 2000|PostGrad Yr 5 - Psychiatry
University of Toronto, 01 Jul 2000  to 30 Jun 2001|Clinical Fellow - Psychiatry
University of Toronto, 01 Jul 2001  to 30 Jun 2002|Clinical Fellow - Psychiatry</t>
  </si>
  <si>
    <t>56927</t>
  </si>
  <si>
    <t xml:space="preserve">Active Member as of 28 May 1986 </t>
  </si>
  <si>
    <t xml:space="preserve">Independent Practice as of 29 Nov 2007 </t>
  </si>
  <si>
    <t>1025 Ave. des Pins Ouest,Montreal QC  H3A 1A1</t>
  </si>
  <si>
    <t>(514) 934-1934 Ext. 31337</t>
  </si>
  <si>
    <t>(514) 934-8432</t>
  </si>
  <si>
    <t>First certificate of registration issued: Independent Practice Certificate||Effective:   28 May 1986
Transfer of class of certificate to: Restricted certificate||Effective:   18 Nov 2006
Terms and conditions imposed on certificate||Effective:   18 Nov 2006
Transfer of class of registration to: Independent Practice Certificate||Effective:   29 Nov 2007</t>
  </si>
  <si>
    <t>Ken Richter Medicine Professional Corporation</t>
  </si>
  <si>
    <t>Inactive: Oct 22 2007</t>
  </si>
  <si>
    <t>Inactive: May  2 2014</t>
  </si>
  <si>
    <t>31951</t>
  </si>
  <si>
    <t xml:space="preserve">Active Member as of 29 Aug 1980 </t>
  </si>
  <si>
    <t xml:space="preserve">Independent Practice as of 29 Aug 1980 </t>
  </si>
  <si>
    <t>2 Kennedy Rd. S. Unit 4A,Brampton ON  L6W3E1</t>
  </si>
  <si>
    <t>(905) 459-4385</t>
  </si>
  <si>
    <t>(905) 459-6373</t>
  </si>
  <si>
    <t>First certificate of registration issued: Postgraduate Education Certificate||Effective:   01 Jan 1977
Transfer of class of registration to: Independent Practice Certificate||Effective:   29 Aug 1980</t>
  </si>
  <si>
    <t>68410</t>
  </si>
  <si>
    <t xml:space="preserve">Active Member as of 04 Jul 1994 </t>
  </si>
  <si>
    <t xml:space="preserve">Independent Practice as of 04 Jul 1994 </t>
  </si>
  <si>
    <t>Suite 304,555 Legget Dr., Tower A,Ottawa ON  K2K 2X3</t>
  </si>
  <si>
    <t>(613) 230-1916</t>
  </si>
  <si>
    <t>(613) 822-5182</t>
  </si>
  <si>
    <t>First certificate of registration issued: Independent Practice Certificate||Effective:   04 Jul 1994</t>
  </si>
  <si>
    <t>76115</t>
  </si>
  <si>
    <t>Waypoint Outpatient Services,1156 St. Andrew's Drive,Midland ON  L4R 4P9</t>
  </si>
  <si>
    <t>Sault Area Hospital:Sault Ste Marie
Thunder Bay Regional Health Sciences Centre:Thunder Bay
Timmins and District Hospital:Timmins
Waypoint Centre for Mental Health Care:Penetanguishene</t>
  </si>
  <si>
    <t>McMaster University, 01 Jul 2001  to 30 Jun 2002|PostGrad Yr 1 - Psychiatry
McMaster University, 01 Jul 2002  to 30 Jun 2003|PostGrad Yr 2 - Psychiatry
McMaster University, 01 Jul 2003  to 30 Jun 2004|PostGrad Yr 3 - Psychiatry
McMaster University, 01 Jul 2004  to 30 Jun 2005|PostGrad Yr 4 - Psychiatry
McMaster University, 01 Jul 2005  to 30 Jun 2006|PostGrad Yr 5 - Psychiatry</t>
  </si>
  <si>
    <t>59507</t>
  </si>
  <si>
    <t xml:space="preserve">Independent Practice as of 12 Aug 1992 </t>
  </si>
  <si>
    <t>Thurlow, Kerry Ellen (used until: 09 Jan 1994 )</t>
  </si>
  <si>
    <t>3280 Schmon Parkway,Thorold ON  L2V 4Y6</t>
  </si>
  <si>
    <t>(905) 684-6918 Ext. 250</t>
  </si>
  <si>
    <t>866-894-9636</t>
  </si>
  <si>
    <t>MCH, Hamilton Health Sciences,Ron Joyce Children's Health Centre,325 Wellington St North,Hamilton ON  L8L 0A4,Canada,Phone:(905) 521-2100 Ext. 74275,Fax:(905) 387-7714,County:Regional Municipality of Hamilton-Wentworth,Electoral District:04</t>
  </si>
  <si>
    <t>Hamilton Health Sciences Centre McMaster &amp; Childrens Hosp,McMaster &amp; Children's Hospital:Hamilton
Niagara Health System Ontario Street Site:St Catharines
St Joseph's Healthcare System,Hamilton:Hamilton</t>
  </si>
  <si>
    <t>The University of Western Ontario, 15 Jun 1988  to 14 Jun 1989|Other - Comprehensive Internship
McMaster University, 01 Jul 1989  to 30 Jun 1990|Resident 1 - Psychiatry
McMaster University, 01 Jul 1990  to 30 Jun 1991|Resident 2 - Psychiatry
McMaster University, 01 Jul 1991  to 30 Jun 1992|Resident 3 - Psychiatry
McMaster University, 01 Jul 1992  to 30 Jun 1993|Resident 4 - Psychiatry</t>
  </si>
  <si>
    <t>First certificate of registration issued: Postgraduate Education Certificate||Effective:   15 Jun 1988
Transfer of class of registration to: Independent Practice Certificate||Effective:   12 Aug 1992</t>
  </si>
  <si>
    <t>93871</t>
  </si>
  <si>
    <t xml:space="preserve">Independent Practice as of 31 Jul 2015 </t>
  </si>
  <si>
    <t>Centre for Addiction and Mental,Health,60 White Squirrel Way,Second Floor,Toronto ON  M6J 1H4</t>
  </si>
  <si>
    <t>416-535-8501 Ext. 36946</t>
  </si>
  <si>
    <t>416-583-1219</t>
  </si>
  <si>
    <t>Central Toronto Youth Service,Suite 300 -  65 Wellesley St E,Toronto ON  M4Y1G7,Canada,Phone:416-924-2100,Fax:416-924-2930,County:City of Toronto,Electoral District:10</t>
  </si>
  <si>
    <t>Psychiatry||Effective: 31 Jul 2015||RCPSC Specialist</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</si>
  <si>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
University of Toronto, 01 Jul 2015  to 31 Jul 2015|PostGrad Yr 5 - Psychiatry</t>
  </si>
  <si>
    <t>First certificate of registration issued: Postgraduate Education Certificate||Effective:   01 Jul 2010
Transfer of class of registration to: Independent Practice Certificate||Effective:   31 Jul 2015</t>
  </si>
  <si>
    <t>51284</t>
  </si>
  <si>
    <t xml:space="preserve">Independent Practice as of 01 Jul 1985 </t>
  </si>
  <si>
    <t>Campbellford Community Mental healt,146 Oliver Road,Campbellford ON  K0L 1L0</t>
  </si>
  <si>
    <t>(705) 632-2015</t>
  </si>
  <si>
    <t>(705) 653-0436</t>
  </si>
  <si>
    <t>Fleming College Counselling Centre,599 Brealey Drive,Peterborough ON  K9J 7B1,Canada,Phone:(705) 749-5527,Fax:(705) 749-5536,County:County of Peterborough,Electoral District:06
Trent University,Counselling Center,Blackburn Hall,Suite 113,Peterborough ON  K9J 7B8,Canada,Phone:(705) 748-1011 Ext. 1386,Fax:705-748-1137,County:County of Peterborough,Electoral District:06
Peterborough Youth Services,459 Reid St.,Peterborough ON  K9H 4G7,Canada,Phone:705-743-1681,Fax:705-743-1994,County:County of Peterborough,Electoral District:06
Point-in-Time Centre,69 Eastern Ave.,Box 1306,Haliburton,Peterborough ON  K0M 1S0,Canada,Phone:705-457-1681,Fax:705-743-1994,County:County of Peterborough,Electoral District:06
Lakefield College School,Health Services,4391 County Rd. 29,Lakefield,Peterborough ON  K0L2H0,Canada,Phone:705-652-3324 Ext. 341,Fax:705-652-3154,County:County of Peterborough,Electoral District:06</t>
  </si>
  <si>
    <t>Campbellford Memorial Hospital:Campbellford</t>
  </si>
  <si>
    <t>First certificate of registration issued: Postgraduate Education Certificate||Effective:   01 Jul 1981
Transfer of class of registration to: Independent Practice Certificate||Effective:   01 Jul 1985</t>
  </si>
  <si>
    <t>54760</t>
  </si>
  <si>
    <t xml:space="preserve">Active Member as of 28 Jun 1985 </t>
  </si>
  <si>
    <t xml:space="preserve">Independent Practice as of 28 Jun 1985 </t>
  </si>
  <si>
    <t>218 Frederica Street West,Thunder Bay ON  P7E 3W2</t>
  </si>
  <si>
    <t>(807) 577-3540</t>
  </si>
  <si>
    <t>(807) 577-3675</t>
  </si>
  <si>
    <t>Queen's University, 06 Jun 1984  to 31 Jul 1984|Other - Comprehensive Internship
Queen's University, 01 Jul 1990  to 30 Jun 1991|Resident 2 - Psychiatry
Queen's University, 01 Jul 1991  to 30 Jun 1992|Resident 3 - Psychiatry
Queen's University, 01 Jul 1992  to 30 Jun 1993|Resident 4 - Psychiatry</t>
  </si>
  <si>
    <t>First certificate of registration issued: Postgraduate Education Certificate||Effective:   02 Jul 1984
Expired: Terms and conditions of certificate of registration||Expiry:      31 Jul 1984
Subsequent certificate of registration Issued: Independent Practice Certificate||Effective:   28 Jun 1985</t>
  </si>
  <si>
    <t>Drs Eckler and Wilberforce Medicine Professional Corporation</t>
  </si>
  <si>
    <t>Issued Date:  Dec 06 2006</t>
  </si>
  <si>
    <t>Dr. S. Eckler (CPSO# 72595),Dr. K. Wilberforce (CPSO# 54760)</t>
  </si>
  <si>
    <t>125 Vickers Street South,Thunder Bay ON  P7E 1J2,(807) 622-2900
119 Cumberland Street,119 Cumberland Street,Thunder Bay ON  P7A 4M3,(807) 768-2910
218 Frederica Street West,218 Frederica Street West,Thunder Bay ON  P7C 3W2,(807) 577-3540
456 Ferguson Street,456 Ferguson Street,North Bay ON  P1B 1X4
214 Main Street,214 Main Street,Atikokan ON  P0T 1C0</t>
  </si>
  <si>
    <t>84751</t>
  </si>
  <si>
    <t>The University of Western Ontario, 2006</t>
  </si>
  <si>
    <t>North York General Hospital,Branson Division,555 Finch Avenue West, 5th floor,Toronto ON  M2R 1N5</t>
  </si>
  <si>
    <t>(416) 632 8703</t>
  </si>
  <si>
    <t>Psychiatry||Effective: 30 Jun 2011||RCPSC Specialist
Child and Adolescent Psychiatry||Effective: 26 Sep 2013||RCPSC Specialist</t>
  </si>
  <si>
    <t>McMaster University, 01 Jul 2006  to 30 Jun 2007|PostGrad Yr 1 - Psychiatry
McMaster University, 01 Jul 2007  to 30 Jun 2008|PostGrad Yr 2 - Psychiatry
McMaster University, 01 Jul 2008  to 30 Jun 2009|PostGrad Yr 3 - Psychiatry
McMaster University, 01 Jul 2009  to 30 Jun 2010|PostGrad Yr 4 - Psychiatry
McMaster University, 01 Jul 2010  to 30 Jun 2011|PostGrad Yr 5 - Psychiatry
University of Toronto, 01 Jul 2011  to 30 Jun 2012|Clinical Fellow - Psychiatry</t>
  </si>
  <si>
    <t>Kevin Gabel Medicine Professional Corporation</t>
  </si>
  <si>
    <t>Issued Date:  Mar 26 2013</t>
  </si>
  <si>
    <t>Dr. K. Gabel (CPSO# 84751)</t>
  </si>
  <si>
    <t>Hincks-Dellcrest Treatment Centre,Department of Psychiatry,Suite 508,114 Maitland Street,Toronto ON  M4Y 1E1,(416) 924-1164
Branson Hospital,Branson Hospital,Suite 542,555 Finch Avenue West,North York ON  M2R 1N5,(416) 632-8746</t>
  </si>
  <si>
    <t>113840</t>
  </si>
  <si>
    <t>English, Farsi, French</t>
  </si>
  <si>
    <t>Centre for Addiction,and Mental Health,250 College St,Toronto ON  M5T 1L8</t>
  </si>
  <si>
    <t>University of Toronto, 25 Sep 2017  to 17 Nov 2017|Elective Trainee - Psychiatry
University of Ottawa, 20 Nov 2017  to 12 Jan 2018|Elective Trainee - Psychiatry</t>
  </si>
  <si>
    <t>First certificate of registration issued: Postgraduate Education Certificate||Effective:   25 Sep 2017
Expired: Terms and conditions of certificate of registration||Expiry:      17 Nov 2017
Subsequent certificate of registration Issued: Postgraduate Education Certificate||Effective:   20 Nov 2017
Expired: Terms and conditions of certificate of registration||Expiry:      12 Jan 2018
Subsequent certificate of registration Issued: Independent Practice Certificate||Effective:   30 Jun 2018</t>
  </si>
  <si>
    <t>74847</t>
  </si>
  <si>
    <t>Ontario Shores,700 Gordon Street,Whitby, Ontario,Whitby ON  L1N5S9</t>
  </si>
  <si>
    <t>9056685881 Ext. 6857</t>
  </si>
  <si>
    <t>Centre for Addiction &amp; Mental Health,Queen Street Site:Toronto
Centre of Addiction &amp; Mental Health,- College Street Site:Toronto
Ontario Shores Centre for Mental Health Sciences:Whitby</t>
  </si>
  <si>
    <t>University of Toronto, 01 Jul 2000  to 30 Jun 2001|PostGrad Yr 1 - Psychiatry
University of Toronto, 01 Jul 2001  to 30 Jun 2002|PostGrad Yr 2 - Psychiatry
University of Toronto, 01 Jul 2002  to 30 Jun 2003|PostGrad Yr 3 - Psychiatry
University of Toronto, 01 Jul 2003  to 30 Jun 2004|PostGrad Yr 4 - Psychiatry
University of Toronto, 01 Jul 2004  to 30 Jun 2005|PostGrad Yr 5 - Psychiatry
University of Toronto, 01 Jul 2005  to 30 Jun 2006|Clinical Fellow - Psychiatry</t>
  </si>
  <si>
    <t>Chatterjee Chopra Medicine Professional Corporation</t>
  </si>
  <si>
    <t>Issued Date:  May 31 2011</t>
  </si>
  <si>
    <t>Dr. K. Chopra (CPSO# 74847),Dr. S. Chatterjee (CPSO# 74853)</t>
  </si>
  <si>
    <t>Unit 3-4,1001 Queen Street West,Toronto ON  M6J 1H4,(416) 535-8501
700 Gordon Street,700 Gordon Street,Whitby ON  L1N 5S9,(905) 668-5881</t>
  </si>
  <si>
    <t>82626</t>
  </si>
  <si>
    <t>Brockville General Hospital,75 Charles St,Brockville, ON,Brockville ON  K6V 1S8</t>
  </si>
  <si>
    <t>(613) 345-5649 Ext. 2400</t>
  </si>
  <si>
    <t>First certificate of registration issued: Postgraduate Education Certificate||Effective:   01 Jul 2005
Expired: Terms and conditions of certificate of registration||Expiry:      30 Jun 2010
Subsequent certificate of registration Issued: Independent Practice Certificate||Effective:   13 Jun 2013</t>
  </si>
  <si>
    <t>Kevin Varley Medicine Professional Corporation</t>
  </si>
  <si>
    <t>Issued Date:  Oct 09 2013</t>
  </si>
  <si>
    <t>Dr. K. Varley (CPSO# 82626)</t>
  </si>
  <si>
    <t>Brockville General Hospital,75 Charles Street,Brockville ON  K6V 1S8,(613) 345-5649</t>
  </si>
  <si>
    <t>63342</t>
  </si>
  <si>
    <t xml:space="preserve">Active Member as of 23 Jun 2000 </t>
  </si>
  <si>
    <t xml:space="preserve">Independent Practice as of 23 Jun 2000 </t>
  </si>
  <si>
    <t>University of Stellenbosch, 1986</t>
  </si>
  <si>
    <t>Suite 301,603 Davis Drive,Newmarket ON  L3Y 2P7</t>
  </si>
  <si>
    <t>(905) 235-8806</t>
  </si>
  <si>
    <t>(905) 235-8807</t>
  </si>
  <si>
    <t>McMaster University, 01 Jan 1991  to 30 Jun 1991|Resident 1 - Obstetrics and Gynecology
McMaster University, 01 Jul 1991  to 31 Dec 1991|Resident 1 - Obstetrics and Gynecology
McMaster University, 01 Jan 1992  to 30 Jun 1992|Resident 2 - Obstetrics and Gynecology
McMaster University, 01 Jul 1992  to 31 Dec 1992|Resident 2 - Obstetrics and Gynecology
McMaster University, 01 Jan 1993  to 30 Jun 1993|Resident 1 - Psychiatry
McMaster University, 01 Jul 1993  to 31 Jan 1994|Resident 1 - Psychiatry
McMaster University, 01 Feb 1994  to 30 Jun 1994|Resident 2 - Psychiatry
McMaster University, 01 Jul 1994  to 31 Jan 1995|Resident 2 - Psychiatry
McMaster University, 01 Feb 1995  to 30 Jun 1995|Resident 3 - Psychiatry
McMaster University, 01 Jul 1995  to 31 Jan 1996|Resident 3 - Psychiatry
McMaster University, 01 Feb 1996  to 30 Jun 1996|Resident 4 - Psychiatry
McMaster University, 01 Jul 1996  to 31 Dec 1996|Resident 4 - Psychiatry</t>
  </si>
  <si>
    <t>First certificate of registration issued: Postgraduate Education Certificate||Effective:   04 Feb 1991
Expired: Terms and conditions of certificate of registration||Expiry:      31 Dec 1996
Subsequent certificate of registration issued: Restricted certificate||Effective:   11 Jun 1997
Expired: Terms and conditions of certificate of registration||Expiry:      23 Jun 2000
Subsequent certificate of registration Issued: Independent Practice Certificate||Effective:   23 Jun 2000</t>
  </si>
  <si>
    <t>Dr. Kevin Shiffman Medicine Professional Corporation</t>
  </si>
  <si>
    <t>Issued Date:  Feb 25 2004</t>
  </si>
  <si>
    <t>Dr. K. Shiffman (CPSO# 63342)</t>
  </si>
  <si>
    <t>301 - 603 Davis Drive,Newmarket ON  L3Y 2P7,(905) 235-8806</t>
  </si>
  <si>
    <t>85535</t>
  </si>
  <si>
    <t xml:space="preserve">Active Member as of 01 Mar 2013 </t>
  </si>
  <si>
    <t xml:space="preserve">Independent Practice as of 01 Mar 2013 </t>
  </si>
  <si>
    <t>University of Tehran, 1996</t>
  </si>
  <si>
    <t>The Centre for Addiction and,Mental Health ARF Site,60 White Squirrel Way,Toronto ON  M6J 1H4</t>
  </si>
  <si>
    <t>Psychiatry||Effective: 04 Oct 2012||RCPSC Specialist</t>
  </si>
  <si>
    <t>University of Toronto, 01 Aug 2006  to 16 Oct 2006|PEAP - Clinical Fellow - Psychiatry
University of Toronto, 17 Oct 2006  to 30 Jun 2007|Clinical Fellow - Psychiatry
University of Toronto, 01 Jul 2007  to 30 Jun 2008|Clinical Fellow - Psychiatry
Queen's University, 01 Jul 2008  to 22 Sep 2008|Assessment Verification Period - Psychiatry
Queen's University, 23 Sep 2008  to 30 Jun 2009|PostGrad Yr 2 - Psychiatry</t>
  </si>
  <si>
    <t>First certificate of registration issued: Pre Entry Assessment Program Certificate||Effective:   24 Aug 2006
Transfer of class of registration to: Postgraduate Education Certificate||Effective:   17 Oct 2006
Transfer of class of registration to: Pre Entry Assessment Program Certificate||Effective:   01 Jul 2008
Transfer of class of registration to: Postgraduate Education Certificate||Effective:   23 Sep 2008
Expired: Terms and conditions of certificate of registration||Expiry:      30 Jun 2009
Subsequent certificate of registration issued: Restricted certificate||Effective:   02 Jul 2009
Expired: Terms and conditions imposed on certificate by Registration Committee||Effective:   01 Mar 2013
Subsequent certificate of registration Issued: Independent Practice Certificate||Effective:   01 Mar 2013</t>
  </si>
  <si>
    <t>Dr. K. Farid Araki Medicine Professional Corporation</t>
  </si>
  <si>
    <t>Dr. K. Farid Araki (CPSO# 85535)</t>
  </si>
  <si>
    <t>The Centre for Addiction and,Mental Health ARF Site,60 White Squirrel Way,Suite 108,Toronto ON  M6J 1H4,(416) 535-8501</t>
  </si>
  <si>
    <t>68315</t>
  </si>
  <si>
    <t xml:space="preserve">Active Member as of 15 Oct 2013 </t>
  </si>
  <si>
    <t xml:space="preserve">Restricted as of 15 Oct 2013 </t>
  </si>
  <si>
    <t>King Faisal University, 1992</t>
  </si>
  <si>
    <t>6137226521 Ext. 6413</t>
  </si>
  <si>
    <t>Psychiatry||Effective: 31 Aug 2002||RCPSC Specialist
Child and Adolescent Psychiatry||Effective: 23 Sep 2014||RCPSC Specialist</t>
  </si>
  <si>
    <t>University of Ottawa, 01 Jul 1994  to 30 Jun 1995|Resident 1 - Psychiatry
University of Ottawa, 01 Jul 1995  to 30 Jun 1996|Resident 2 - Psychiatry
University of Ottawa, 01 Jul 1996  to 30 Jun 1997|Resident 3 - Psychiatry
University of Ottawa, 01 Jul 1997  to 30 Jun 1998|Resident 4 - Psychiatry
University of Ottawa, 24 Sep 2001  to 23 Sep 2002|Clinical Fellow - Psychiatry</t>
  </si>
  <si>
    <t>First certificate of registration issued: Postgraduate Education Certificate||Effective:   01 Jul 1994
Expired: Terms and conditions of certificate of registration||Expiry:      30 Jun 1998
Subsequent certificate of registration Issued: Postgraduate Education Certificate||Effective:   24 Sep 2001
Expired: Terms and conditions of certificate of registration||Expiry:      23 Sep 2002
Subsequent certificate of registration issued: Restricted certificate||Effective:   15 Oct 2013
Terms and conditions amended by Registration Committee||Effective:   28 Feb 2017
Expiry date attached to certificate of registration||Expiry Date: 14 Oct 2020</t>
  </si>
  <si>
    <t>Dr. K. Bazaid Medicine Professional Corporation</t>
  </si>
  <si>
    <t>Dr. K. Bazaid (CPSO# 68315)</t>
  </si>
  <si>
    <t>The Royal Ottawa Mental Health Centre,1145 Carling Avenue,Ottawa ON  K1Z 7K4,(613) 722-6521</t>
  </si>
  <si>
    <t>54812</t>
  </si>
  <si>
    <t xml:space="preserve">Active Member as of 18 Jul 1984 </t>
  </si>
  <si>
    <t xml:space="preserve">Independent Practice as of 12 Aug 1985 </t>
  </si>
  <si>
    <t>University of Tehran, 1954</t>
  </si>
  <si>
    <t>Suite 217,50 Sunny Meadow Boulevard,Brampton ON  L6R 0Y7</t>
  </si>
  <si>
    <t>(905) 450-8811</t>
  </si>
  <si>
    <t>(905) 450-8810</t>
  </si>
  <si>
    <t>First certificate of registration issued: Postgraduate Education Certificate||Effective:   18 Jul 1984
Transfer of class of registration to: Independent Practice Certificate||Effective:   12 Aug 1985</t>
  </si>
  <si>
    <t>73741</t>
  </si>
  <si>
    <t>Dalhousie University, 1999</t>
  </si>
  <si>
    <t>Ron Joyce Children's health Centre,237 Barton Street E,Hamilton Ontario,Hamilton ON  L8L 2X2</t>
  </si>
  <si>
    <t>(905) 521-2100 Ext. 77250</t>
  </si>
  <si>
    <t>(905) 521-7963</t>
  </si>
  <si>
    <t>Hamilton Health Sciences Centre McMaster &amp; Childrens Hosp,McMaster &amp; Children's Hospital:Hamilton
Hamilton Health Sciences,Chedoke Hospital Site:Hamilton
St Joseph's Healthcare System,Hamilton:Hamilton</t>
  </si>
  <si>
    <t>McMaster University, 01 Jul 1999  to 30 Jun 2000|PostGrad Yr 1 - Psychiatry
McMaster University, 01 Jul 2000  to 30 Jun 2001|PostGrad Yr 2 - Psychiatry
McMaster University, 01 Jul 2001  to 30 Jun 2002|PostGrad Yr 3 - Psychiatry
McMaster University, 01 Jul 2002  to 30 Jun 2003|PostGrad Yr 4 - Psychiatry
McMaster University, 01 Jul 2003  to 30 Jun 2004|PostGrad Yr 5 - Psychiatry
McMaster University, 01 Jul 2004  to 30 Jun 2005|Clinical Fellow - Psychiatry
McMaster University, 01 Jul 2005  to 30 Jun 2006|Clinical Fellow - Psychiatry
McMaster University, 01 Jul 2006  to 30 Jun 2007|Clinical Fellow - Psychiatry
McMaster University, 01 Jul 2007  to 30 Jun 2008|Clinical Fellow - Psychiatry</t>
  </si>
  <si>
    <t>Dr. Khrista Boylan Medicine Professional Corporation</t>
  </si>
  <si>
    <t>Issued Date:  Aug 23 2011</t>
  </si>
  <si>
    <t>Dr. K. Boylan (CPSO# 73741)</t>
  </si>
  <si>
    <t>237 Barton Street East,Hamilton ON  L8L 2X2,(905) 521-2100
Chedoke Child and Family Centre,Chedoke Child and Family Centre,HHS - McMaster Univ Medical Centre,1200 Main Street West,P O Box 2000,Hamilton ON  L8N 3Z5,(905) 521-2100</t>
  </si>
  <si>
    <t>23062</t>
  </si>
  <si>
    <t xml:space="preserve">Active Member as of 27 Jul 1970 </t>
  </si>
  <si>
    <t xml:space="preserve">Independent Practice as of 27 Jul 1970 </t>
  </si>
  <si>
    <t>University of Melbourne, 1966</t>
  </si>
  <si>
    <t>Suite 200,1011 Elgin st. W,Cobourg ON  K9A 5J4</t>
  </si>
  <si>
    <t>416-627-3877</t>
  </si>
  <si>
    <t>905-377-9895</t>
  </si>
  <si>
    <t>Northumberland Hills Hospital,Cobourg District General Site:Cobourg</t>
  </si>
  <si>
    <t>First certificate of registration issued: Independent Practice Certificate||Effective:   27 Jul 1970</t>
  </si>
  <si>
    <t>Kien G. Siu Medicine Professional Corporation</t>
  </si>
  <si>
    <t>Issued Date:  Sep 23 2004</t>
  </si>
  <si>
    <t>Dr. K. Siu (CPSO# 23062)</t>
  </si>
  <si>
    <t>200-1011 Elgin Street West,Cobourg ON  K9A 5J4,(416) 627-3877</t>
  </si>
  <si>
    <t>76519</t>
  </si>
  <si>
    <t>St Michael's Hospital,Department of Psychiatry,17th Floor CC,30 Bond Street,Toronto ON  M5B 1W8</t>
  </si>
  <si>
    <t>72889</t>
  </si>
  <si>
    <t xml:space="preserve">Active Member as of 08 Jul 1998 </t>
  </si>
  <si>
    <t xml:space="preserve">Independent Practice as of 08 Jul 1998 </t>
  </si>
  <si>
    <t>2 Bloor st  East,Suite 3500,Toronto ON.,M4W 1A8,Toronto ON  M4W 1A8</t>
  </si>
  <si>
    <t>(416) 849-3855</t>
  </si>
  <si>
    <t>(416) 929-3174</t>
  </si>
  <si>
    <t>First certificate of registration issued: Independent Practice Certificate||Effective:   08 Jul 1998</t>
  </si>
  <si>
    <t>72161</t>
  </si>
  <si>
    <t xml:space="preserve">Active Member as of 12 Jul 2003 </t>
  </si>
  <si>
    <t xml:space="preserve">Independent Practice as of 12 Jul 2003 </t>
  </si>
  <si>
    <t>The University of British Columbia, 1998</t>
  </si>
  <si>
    <t>Department of Psychiatry,Mount Sinai Hospital,9th Floor,600 University Avenue,Toronto ON  M5G 1X5</t>
  </si>
  <si>
    <t>(416) 586-4800 Ext. 4549</t>
  </si>
  <si>
    <t>Centre for Addiction and,Mental Health - Clarke Site,250 College Street,Toronto ON  M5T 1P7,Canada,County:City of Toronto,Electoral District:10</t>
  </si>
  <si>
    <t>The University of Western Ontario, 01 Jul 1998  to 30 Jun 1999|PostGrad Yr 1 - Psychiatry
The University of Western Ontario, 01 Jul 1999  to 30 Jun 2000|PostGrad Yr 2 - Psychiatry
The University of Western Ontario, 01 Jul 2000  to 30 Jun 2001|PostGrad Yr 3 - Psychiatry
The University of Western Ontario, 01 Jul 2001  to 30 Jun 2002|PostGrad Yr 4 - Psychiatry
The University of Western Ontario, 01 Jul 2002  to 30 Jun 2003|PostGrad Yr 5 - Psychiatry</t>
  </si>
  <si>
    <t>First certificate of registration issued: Postgraduate Education Certificate||Effective:   01 Jul 1998
Expired: Terms and conditions of certificate of registration||Expiry:      30 Jun 2003
Subsequent certificate of registration Issued: Independent Practice Certificate||Effective:   12 Jul 2003</t>
  </si>
  <si>
    <t>Bill Mah Medicine Professional Corporation</t>
  </si>
  <si>
    <t>Issued Date:  Mar 17 2015</t>
  </si>
  <si>
    <t>Dr. K. Mah (CPSO# 72161)</t>
  </si>
  <si>
    <t>Department of Psychiatry,Mount Sinai Hospital,927 - 600 University Avenue,Toronto ON  M5G 1X5,(416) 586-4800
Cantre for Addiction and Mental Health,Cantre for Addiction and Mental Health,Clarke Site,250 College Street,Toronto ON  M5T 1R8,(416) 535-8501</t>
  </si>
  <si>
    <t>69325</t>
  </si>
  <si>
    <t>University of Alberta, 1995</t>
  </si>
  <si>
    <t>Humber River  Hospital,Wilson Site,Level 5 Outpatient Mental Health,1235 Wilson Avenue,Toronto ON  M3M 0B2</t>
  </si>
  <si>
    <t>(416) 242-1000 Ext. 43032</t>
  </si>
  <si>
    <t>82417</t>
  </si>
  <si>
    <t xml:space="preserve">Independent Practice as of 27 Jun 2012 </t>
  </si>
  <si>
    <t>Halton Healthcare Services,3001 Hospital Gate,Oakville ON  L6M 0L8</t>
  </si>
  <si>
    <t>905-815-5076</t>
  </si>
  <si>
    <t>217 Main Street East,Milton ON  L9T 1N9,Canada,Phone:905-693-4240,County:Regional Municipality of Halton,Electoral District:04</t>
  </si>
  <si>
    <t>Psychiatry||Effective: 13 Jun 2012||RCPSC Specialist
Child and Adolescent Psychiatry||Effective: 21 Sep 2015||RCPSC Specialist</t>
  </si>
  <si>
    <t>McMaster University, 01 Jul 2005  to 30 Jun 2006|PostGrad Yr 1 - Psychiatry
McMaster University, 01 Jul 2006  to 30 Jun 2007|PostGrad Yr 2 - Psychiatry
McMaster University, 01 Jul 2007  to 30 Jun 2008|PostGrad Yr 2 - Psychiatry
McMaster University, 01 Jul 2008  to 30 Jun 2009|PostGrad Yr 3 - Psychiatry
McMaster University, 01 Jul 2009  to 30 Jun 2010|PostGrad Yr 3 - Psychiatry
McMaster University, 01 Jul 2010  to 30 Jun 2011|PostGrad Yr 4 - Psychiatry
McMaster University, 01 Jul 2011  to 30 Jun 2012|PostGrad Yr 5 - Psychiatry</t>
  </si>
  <si>
    <t>First certificate of registration issued: Postgraduate Education Certificate||Effective:   01 Jul 2005
Transfer of class of registration to: Independent Practice Certificate||Effective:   27 Jun 2012</t>
  </si>
  <si>
    <t>Dr. Mollot Medicine Professional Corporation</t>
  </si>
  <si>
    <t>Dr. K. Mollot (CPSO# 82417)</t>
  </si>
  <si>
    <t>3001 Hospital Gate,Oakville ON  L6M 0L8,(905) 845-2571</t>
  </si>
  <si>
    <t>68304</t>
  </si>
  <si>
    <t xml:space="preserve">Active Member as of 02 Oct 2006 </t>
  </si>
  <si>
    <t xml:space="preserve">Independent Practice as of 02 Oct 2006 </t>
  </si>
  <si>
    <t>Dalhousie University, 1994</t>
  </si>
  <si>
    <t>Princess Margaret Hospital,Room 16 - 710,610 University Avenue,Toronto ON  M5G 2M9</t>
  </si>
  <si>
    <t>(416) 946-2897</t>
  </si>
  <si>
    <t>McMaster University, 01 Jul 1994  to 30 Jun 1995|PostGrad Yr 1 - Psychiatry
McMaster University, 01 Jul 1995  to 30 Jun 1996|Resident 1 - Psychiatry
McMaster University, 01 Jul 1996  to 30 Jun 1997|PostGrad Yr 3 - Psychiatry
McMaster University, 01 Jul 1997  to 30 Jun 1998|PostGrad Yr 4 - Psychiatry
McMaster University, 01 Jul 1998  to 30 Jun 1999|PostGrad Yr 5 - Psychiatry</t>
  </si>
  <si>
    <t>First certificate of registration issued: Postgraduate Education Certificate||Effective:   01 Jul 1994
Expired: Terms and conditions of certificate of registration||Expiry:      30 Jun 1999
Subsequent certificate of registration Issued: Independent Practice Certificate||Effective:   02 Oct 2006</t>
  </si>
  <si>
    <t>54649</t>
  </si>
  <si>
    <t xml:space="preserve">Active Member as of 07 Mar 2018 </t>
  </si>
  <si>
    <t xml:space="preserve">Independent Practice as of 07 Mar 2018 </t>
  </si>
  <si>
    <t>90 Scollard St,Toronto ON  M5R1G2</t>
  </si>
  <si>
    <t>647-547-0684</t>
  </si>
  <si>
    <t>Queen's University, 01 Jul 1984  to 30 Jun 1985|Other - Comprehensive Internship
University of Toronto, 01 Jul 1985  to 30 Jun 1986|Resident 2 - Psychiatry
University of Toronto, 01 Jul 1986  to 30 Jun 1987|Resident 3 - Psychiatry
University of Toronto, 01 Jul 1988  to 30 Jun 1989|Clinical Fellow - Psychiatry</t>
  </si>
  <si>
    <t>First certificate of registration issued: Postgraduate Education Certificate||Effective:   01 Jul 1984
Transfer of class of registration to: Independent Practice Certificate||Effective:   24 Dec 1985
Expired: Resigned from membership.||Expiry:      07 Mar 2016
Subsequent certificate of registration Issued: Independent Practice Certificate||Effective:   07 Mar 2018</t>
  </si>
  <si>
    <t>101706</t>
  </si>
  <si>
    <t xml:space="preserve">Active Member as of 23 Oct 2018 </t>
  </si>
  <si>
    <t xml:space="preserve">Independent Practice as of 23 Oct 2018 </t>
  </si>
  <si>
    <t>North York General Hospital,4001 Leslie St,8 North Room 812C,Toronto ON  M2K 1E1</t>
  </si>
  <si>
    <t>Psychiatry||Effective: 07 Oct 2018||RCPSC Specialist</t>
  </si>
  <si>
    <t>University of Toronto, 01 Jul 2013  to 30 Jun 2014|PostGrad Yr 1 - Psychiatry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
University of Toronto, 01 Jul 2018  to 07 Oct 2018|PostGrad Yr 5 - Psychiatry</t>
  </si>
  <si>
    <t>First certificate of registration issued: Postgraduate Education Certificate||Effective:   01 Jul 2013
Expired: Terms and conditions of certificate of registration||Expiry:      07 Oct 2018
Subsequent certificate of registration Issued: Independent Practice Certificate||Effective:   23 Oct 2018</t>
  </si>
  <si>
    <t>51164</t>
  </si>
  <si>
    <t xml:space="preserve">Active Member as of 15 May 1985 </t>
  </si>
  <si>
    <t xml:space="preserve">Independent Practice as of 24 Jul 1985 </t>
  </si>
  <si>
    <t>Punjabi University, 1976</t>
  </si>
  <si>
    <t>3850 Finch Avenue East,Suite 312,Scarborough ON  M1T 3T6</t>
  </si>
  <si>
    <t>(416) 298-6342</t>
  </si>
  <si>
    <t>First certificate of registration issued: Postgraduate Education Certificate||Effective:   01 Jul 1979
Expired: Terms and conditions of certificate of registration||Expiry:      30 Jun 1984
Subsequent certificate of registration Issued: Hospital Practice Certificate||Effective:   15 May 1985
Transfer of class of registration to: Independent Practice Certificate||Effective:   24 Jul 1985</t>
  </si>
  <si>
    <t>104305</t>
  </si>
  <si>
    <t>St. George's Hospital Medical School, 2000</t>
  </si>
  <si>
    <t>C A M H,Tower 3, 4th Floor,1001 Queen Street West,Toronto ON  M6J 1H4</t>
  </si>
  <si>
    <t>(416) 535-8501 Ext. 30929</t>
  </si>
  <si>
    <t>661 Martin Street,Milton ON  L9T 3V9,Canada,Phone:(905) 878-8141,County:Regional Municipality of Halton,Electoral District:04</t>
  </si>
  <si>
    <t>First certificate of registration issued: Restricted certificate||Effective:   27 Jun 2014
Terms and conditions imposed on certificate by Registration Committee||Effective:   27 Jun 2014
Expiry date attached to certificate of registration.||Expiry Date: 01 May 2017
Terms and conditions amended by Registration Committee||Effective:   07 Feb 2017
Expiry date attached to certificate of registration||Expiry Date: 26 Jun 2021
Expired: Terms and conditions imposed on certificate by Registration Committee||Effective:   12 Jul 2017
Subsequent certificate of registration Issued: Independent Practice Certificate||Effective:   12 Jul 2017</t>
  </si>
  <si>
    <t>Dr. Kiran Patel Medicine Professional Corporation</t>
  </si>
  <si>
    <t>Issued Date:  Sep 19 2014</t>
  </si>
  <si>
    <t>Dr. K. Patel (CPSO# 104305)</t>
  </si>
  <si>
    <t>661 Martin Street,Milton ON  L9T 3V9,(905) 878-8141
Centre for Addiction and Mental Health,Centre for Addiction and Mental Health,Unit 3,4th Floor Room 462,1001 Queen Street West,Toronto ON  M6J 1H4,(416) 535-8501</t>
  </si>
  <si>
    <t>32494</t>
  </si>
  <si>
    <t xml:space="preserve">Active Member as of 15 Jun 1980 </t>
  </si>
  <si>
    <t xml:space="preserve">Independent Practice as of 19 Jun 1981 </t>
  </si>
  <si>
    <t>The Ottawa Hospital- General Campus,Department of Psychiatry,501 Smyth Road,Ottawa,Ottawa ON  K1H 8L6</t>
  </si>
  <si>
    <t>The Ottawa Hospital- General Campus,501 Smyth Road,Ottawa ON  K1H 8L6,Canada,Phone:(613) 737-8050,Fax:(613) 737-8115,County:Regional Municipality of Ottawa-Carleton,Electoral District:07</t>
  </si>
  <si>
    <t>Bruyere Continuing Care-Elisabeth Bruyere Site:Ottawa
Ottawa Hospital,Civic Site:Ottawa
Ottawa Hospital,General Site:Ottawa</t>
  </si>
  <si>
    <t>Family Medicine||Effective: 01 Jul 1987||CFPC Specialist
Psychiatry||Effective: 12 Jun 1990||RCPSC Specialist
Geriatric Psychiatry||Effective: 23 Sep 2014||RCPSC Specialist</t>
  </si>
  <si>
    <t>The University of Western Ontario, 15 Jun 1980  to 14 Jun 1981|Other - Rotating Internship
The University of Western Ontario, 01 Jul 1986  to 30 Jun 1987|Resident 1 - Psychiatry
The University of Western Ontario, 01 Jul 1987  to 30 Jun 1988|Resident 2 - Psychiatry
The University of Western Ontario, 01 Jul 1988  to 30 Jun 1989|Resident 3 - Psychiatry
The University of Western Ontario, 01 Jul 1989  to 30 Jun 1990|Resident 4 - Psychiatry</t>
  </si>
  <si>
    <t>First certificate of registration issued: Postgraduate Education Certificate||Effective:   15 Jun 1980
Transfer of class of registration to: Independent Practice Certificate||Effective:   19 Jun 1981</t>
  </si>
  <si>
    <t>Dr. Kiran Rabheru Medicine Professional Corporation</t>
  </si>
  <si>
    <t>Dr. K. Rabheru (CPSO# 32494)</t>
  </si>
  <si>
    <t>The Ottawa Hospital,501 Smyth Road,Ottawa ON  K1H 8L6,(613) 737-8083
Elizabeth Bruyere Family Medicine Centre,Elizabeth Bruyere Family Medicine Centre,Room 131Y/137Y,75 Bruyere Street,Ottawa ON  K1N 5C7,(613) 562-0283
The Ottawa Hospital - Civic Campus,The Ottawa Hospital - Civic Campus,1053 Carling Avenue,Ottawa ON  K1Y 4E9,(613) 722-7000
The Ottawa Hospital - Riverside Campus,The Ottawa Hospital - Riverside Campus,1967 Riverside Drive,Ottawa ON  K1H 7W9,(613) 722-7000</t>
  </si>
  <si>
    <t>90323</t>
  </si>
  <si>
    <t xml:space="preserve">Independent Practice as of 02 Jul 2014 </t>
  </si>
  <si>
    <t>Niagara Health,1200 Fourth Avenue,St Catharines ON  L2S0A9</t>
  </si>
  <si>
    <t>(905) 3784647</t>
  </si>
  <si>
    <t>2893881067</t>
  </si>
  <si>
    <t>University of Toronto, 08 Apr 2009  to 06 May 2009|Elective Trainee - Dermatology
The University of Western Ontario, 01 Oct 2010  to 31 Oct 2010|Elective Trainee - Ophthalmology
University of Toronto, 01 Nov 2010  to 30 Nov 2010|Elective Trainee - Psychiatry
University of Toronto, 01 Jan 2011  to 30 Jun 2011|PostGrad Yr 2 - Psychiatry
University of Toronto, 01 Jul 2011  to 30 Jun 2012|PostGrad Yr 3 - Psychiatry
University of Toronto, 01 Jul 2012  to 30 Jun 2013|PostGrad Yr 4 - Psychiatry
University of Toronto, 01 Jul 2013  to 30 Jun 2014|PostGrad Yr 5 - Psychiatry</t>
  </si>
  <si>
    <t>First certificate of registration issued: Postgraduate Education Certificate||Effective:   08 Apr 2009
Expired: Terms and conditions of certificate of registration||Expiry:      06 May 2009
Subsequent certificate of registration Issued: Postgraduate Education Certificate||Effective:   01 Oct 2010
Expired: Terms and conditions of certificate of registration||Expiry:      30 Nov 2010
Subsequent certificate of registration Issued: Postgraduate Education Certificate||Effective:   11 Jan 2011
Expired: Terms and conditions of certificate of registration||Expiry:      30 Jun 2014
Subsequent certificate of registration Issued: Independent Practice Certificate||Effective:   02 Jul 2014</t>
  </si>
  <si>
    <t>Kirandeep Somal Medicine Professional Corporation</t>
  </si>
  <si>
    <t>Dr. K. Somal (CPSO# 90323)</t>
  </si>
  <si>
    <t>West Oak Medical,2525 Old Bronte Road,Suite 200,Oakville ON  L6M 4J2,(905) 582-7533</t>
  </si>
  <si>
    <t>72407</t>
  </si>
  <si>
    <t>St. Joseph's  Healthcare Hamilton,West 5th Campus,100 West 5th Street,Hamilton ON  L8N 3K7</t>
  </si>
  <si>
    <t>(905) 522-1155 Ext. 36400</t>
  </si>
  <si>
    <t>(905) 381-5631</t>
  </si>
  <si>
    <t>Hamilton Health Sciences,1200 Main Street West,Hamilton ON  L8S 4J9,Canada,Phone:(905) 521-2100,County:Regional Municipality of Hamilton-Wentworth,Electoral District:04
St Joseph's Healthcare,50 Charlton Avenue East,Hamilton ON  L8N 4A6,Canada,Phone:(905) 522-1155 Ext. 33433,County:Regional Municipality of Hamilton-Wentworth,Electoral District:04</t>
  </si>
  <si>
    <t>McMaster University, 01 Jul 1998  to 30 Jun 1999|PostGrad Yr 1 - Psychiatry
McMaster University, 01 Jul 1999  to 30 Jun 2000|PostGrad Yr 2 - Psychiatry
McMaster University, 01 Jul 2000  to 30 Jun 2001|PostGrad Yr 3 - Psychiatry
McMaster University, 01 Jul 2001  to 30 Jun 2002|PostGrad Yr 4 - Psychiatry
McMaster University, 01 Jul 2002  to 30 Jun 2003|PostGrad Yr 5 - Psychiatry</t>
  </si>
  <si>
    <t>Kofi Ofosu Medicine Professional Corporation</t>
  </si>
  <si>
    <t>Issued Date:  Sep 21 2015</t>
  </si>
  <si>
    <t>Dr. K. Ofosu (CPSO# 72407)</t>
  </si>
  <si>
    <t>25 Sawyer Road,Hamilton ON  L8L 3R7
St. Joseph's Healthcare Hamilton,St. Joseph's Healthcare Hamilton,West 5th Campus,100 West 5th Street,Hamilton ON  L8N 3K7,(905) 522-1155
Hamilton Health Sciences,Hamilton Health Sciences,1200 Main Street West,Hamilton ON  L8S 4J9,(905) 521-2100</t>
  </si>
  <si>
    <t>68187</t>
  </si>
  <si>
    <t>University of Calgary, 1994</t>
  </si>
  <si>
    <t>Toronto East Health Network,825 Coxwell Avenue,Toronto ON  M4C 3E7</t>
  </si>
  <si>
    <t>(416) 469-6580 Ext. 3298</t>
  </si>
  <si>
    <t>University of Toronto, 01 Jul 1994  to 30 Jun 1995|PostGrad Yr 1 - Psychiatry
University of Toronto, 01 Jul 1995  to 30 Jun 1996|Resident 1 - Psychiatry
University of Toronto, 01 Jul 1996  to 30 Jun 1997|PostGrad Yr 3 - Psychiatry
University of Toronto, 01 Jul 1997  to 30 Jun 1998|PostGrad Yr 4 - Psychiatry
University of Toronto, 01 Jul 1998  to 30 Jun 1999|PostGrad Yr 5 - Psychiatry
University of Toronto, 01 Aug 1999  to 31 Jan 2000|Clinical Fellow - Psychiatry</t>
  </si>
  <si>
    <t>85886</t>
  </si>
  <si>
    <t xml:space="preserve">Active Member as of 15 Oct 2012 </t>
  </si>
  <si>
    <t xml:space="preserve">Independent Practice as of 15 Oct 2012 </t>
  </si>
  <si>
    <t>Suite 409,2009 Long Lake Road,Sudbury ON  P3E 6C3</t>
  </si>
  <si>
    <t>(705) 222-7697</t>
  </si>
  <si>
    <t>University of Ottawa, 15 Jan 2007  to 14 Jan 2008|PostGrad Yr 1 - Family Medicine
University of Ottawa, 15 Jan 2008  to 09 Mar 2008|PostGrad Yr 1 - Family Medicine
University of Ottawa, 10 Mar 2008  to 30 Jun 2008|PostGrad Yr 2 - Family Medicine
University of Ottawa, 01 Jul 2008  to 30 Jun 2009|PostGrad Yr 2 - Psychiatry
University of Ottawa, 01 Jul 2009  to 30 Jun 2010|PostGrad Yr 3 - Psychiatry
University of Ottawa, 01 Jul 2010  to 30 Jun 2011|PostGrad Yr 4 - Psychiatry
University of Ottawa, 01 Jul 2011  to 09 Sep 2011|PostGrad Yr 4 - Psychiatry
University of Ottawa, 10 Sep 2011  to 30 Jun 2012|PostGrad Yr 5 - Psychiatry</t>
  </si>
  <si>
    <t>First certificate of registration issued: Postgraduate Education Certificate||Effective:   15 Jan 2007
Expired: Terms and conditions of certificate of registration||Expiry:      30 Jun 2012
Subsequent certificate of registration Issued: Independent Practice Certificate||Effective:   15 Oct 2012</t>
  </si>
  <si>
    <t>Dr. K. A. Sutherland Medicine Professional Corporation</t>
  </si>
  <si>
    <t>Issued Date:  Jul 11 2012</t>
  </si>
  <si>
    <t>Dr. K. Sutherland (CPSO# 85886)</t>
  </si>
  <si>
    <t>Suite 409,2009 Long Lake Road,Sudbury ON  P3E 6C3,(705) 222-7697</t>
  </si>
  <si>
    <t>75299</t>
  </si>
  <si>
    <t>Suite 210,92 Lakeshore Road East,Mississauga ON  L5G 4S2</t>
  </si>
  <si>
    <t>(905) 990-6600</t>
  </si>
  <si>
    <t>(905) 990-6800</t>
  </si>
  <si>
    <t>103519</t>
  </si>
  <si>
    <t xml:space="preserve">Active Member as of 05 Jun 2014 </t>
  </si>
  <si>
    <t xml:space="preserve">Restricted as of 05 Jun 2014 </t>
  </si>
  <si>
    <t>American University of the Caribbean, 2009</t>
  </si>
  <si>
    <t>Windsor Regional Hospital,Ouellette Campus,1030 Ouellette Avenue,Windsor ON  N9A 1E1</t>
  </si>
  <si>
    <t>(519) 973-4411 Ext. 33354</t>
  </si>
  <si>
    <t>Hotel-Dieu Grace Healthcare,1453 Prince Road,Windsor ON  N9C 3Z4,Canada,Phone:(519) 257-5125 Ext. 1,County:County of Essex,Electoral District:01
Brentwood Recovery Home,2335 Dougall Avenue,Windsor ON  N8X 1S9,Canada,County:County of Essex,Electoral District:01
Windsor Regional Hospital,Metropolitan Campus,1995 Lens Avenue,Windsor ON  N8W 1L9,Canada,County:County of Essex,Electoral District:01</t>
  </si>
  <si>
    <t>First certificate of registration issued: Restricted certificate||Effective:   05 Jun 2014
Terms and conditions imposed on certificate by Registration Committee||Effective:   05 Jun 2014
Expiry date attached to certificate of registration.||Expiry Date: 04 Dec 2015
Terms and conditions amended by Registration Committee||Effective:   10 Apr 2015
Terms and conditions amended by Registration Committee||Effective:   04 Nov 2015
Expiry date removed from certificate of registration.||Effective:   05 Nov 2015</t>
  </si>
  <si>
    <t>Dr. Kristina Levang Medicine Professional Corporation</t>
  </si>
  <si>
    <t>Issued Date:  Jul 15 2015</t>
  </si>
  <si>
    <t>Dr. K. Levang (CPSO# 103519)</t>
  </si>
  <si>
    <t>Windsor Regional Hospital,Ouellette Campus,1030 Ouellette Avenue,Windsor ON  N9A 1E1,(519) 973-4411
Brentwood Recovery House,Brentwood Recovery House,2335 Dougas Avenue,Windsor ON  N8X 1S9,(519) 253-2441
Windsor Regional Hospital,Windsor Regional Hospital,Metropolitan Campus,1995 Lens Avenue,Windsor ON  N8W 1L9,(519) 254-5577
Hotel -Dieu Grace Healthcare,Hotel -Dieu Grace Healthcare,1453 Prince Road,Windsor ON  N9C 3Z4,(519) 257-5125</t>
  </si>
  <si>
    <t>96417</t>
  </si>
  <si>
    <t>Montfort Hospital,Department of Psychiatry,713 Montreal Road,Ottawa ON  K1K 0T2</t>
  </si>
  <si>
    <t>Psychiatry||Effective: 31 May 2017||RCPSC Specialist</t>
  </si>
  <si>
    <t>University of Ottawa, 01 Jul 2011  to 30 Jun 2012|PostGrad Yr 1 - Psychiatry
University of Ottawa, 01 Jul 2012  to 30 Jun 2013|PostGrad Yr 2 - Psychiatry
University of Ottawa, 01 Jul 2013  to 30 Jun 2014|PostGrad Yr 3 - Psychiatry
University of Ottawa, 01 Jul 2014  to 30 Jun 2015|PostGrad Yr 4 - Psychiatry
University of Ottawa, 01 Jul 2015  to 30 Jun 2016|PostGrad Yr 5 - Psychiatry
University of Ottawa, 01 Jul 2016  to 30 Jun 2017|PostGrad Yr 5 - Psychiatry</t>
  </si>
  <si>
    <t>42253</t>
  </si>
  <si>
    <t xml:space="preserve">Active Member as of 01 Jul 1972 </t>
  </si>
  <si>
    <t xml:space="preserve">Independent Practice as of 09 Nov 1989 </t>
  </si>
  <si>
    <t>Academy of Medicine, Warsaw, 1963</t>
  </si>
  <si>
    <t>Suite 205,4430 Bathurst Street,Toronto ON  M3H 3S3</t>
  </si>
  <si>
    <t>(416) 398-8387</t>
  </si>
  <si>
    <t>(416) 398-0285</t>
  </si>
  <si>
    <t>Psychiatry||Effective: 13 Mar 1979||RCPSC Specialist</t>
  </si>
  <si>
    <t>First certificate of registration issued: Postgraduate Education Certificate||Effective:   01 Jul 1972
Transfer of class of registration to: Public Service Practice Certificate||Effective:   02 Jul 1976
Transfer of class of registration to: Hospital Practice Certificate||Effective:   14 Jun 1979
Transfer of class of registration to: Independent Practice Certificate||Effective:   09 Nov 1989</t>
  </si>
  <si>
    <t>Dr. Krystyna Mandelman Medicine Professional Corporation</t>
  </si>
  <si>
    <t>Dr. K. Mandelman (CPSO# 42253)</t>
  </si>
  <si>
    <t>205 - 4430 Bathurst Street,Toronto ON  M3H 3S3,(416) 398-8387</t>
  </si>
  <si>
    <t>63080</t>
  </si>
  <si>
    <t xml:space="preserve">Active Member as of 24 Aug 1990 </t>
  </si>
  <si>
    <t xml:space="preserve">Independent Practice as of 24 Aug 1990 </t>
  </si>
  <si>
    <t>Muthukumarasamy, Ramadoss (used until: 06 Mar 1991 )</t>
  </si>
  <si>
    <t>University of Madras, 1978</t>
  </si>
  <si>
    <t>800 Commissioners Road East,London ON  N6A 5W9</t>
  </si>
  <si>
    <t>(519) 685-8500 Ext. 74889</t>
  </si>
  <si>
    <t>First certificate of registration issued: Independent Practice Certificate||Effective:   24 Aug 1990</t>
  </si>
  <si>
    <t>K. Naidu Medicine Professional Corporation</t>
  </si>
  <si>
    <t>Issued Date:  Sep 26 2005</t>
  </si>
  <si>
    <t>Dr. K. Naidu (CPSO# 63080)</t>
  </si>
  <si>
    <t>Victoria Hospital,800 Commissioners Road East,Suite B8-110,London ON  N6A 5W9,(519) 685-8500</t>
  </si>
  <si>
    <t>114172</t>
  </si>
  <si>
    <t xml:space="preserve">Active Member as of 24 Nov 2017 </t>
  </si>
  <si>
    <t xml:space="preserve">Independent Practice as of 24 Nov 2017 </t>
  </si>
  <si>
    <t>Vinnitsa Medical Inst. N.Pirogov, 1986</t>
  </si>
  <si>
    <t>Horizon Health Network,Woodstock Mental Health Centre,200 King Street,Woodstock NB  E7M 5C6</t>
  </si>
  <si>
    <t>(506) 325-4419</t>
  </si>
  <si>
    <t>First certificate of registration issued: Independent Practice Certificate||Effective:   24 Nov 2017</t>
  </si>
  <si>
    <t>87805</t>
  </si>
  <si>
    <t xml:space="preserve">Active Member as of 23 Jul 2010 </t>
  </si>
  <si>
    <t xml:space="preserve">Independent Practice as of 23 Jul 2010 </t>
  </si>
  <si>
    <t>Tver State Medical Academy, 1992</t>
  </si>
  <si>
    <t>Sudbury Regional Hospital,Department of Psychiatry,680 Kirkwood Drive,Sudbury ON  P3E 1X3</t>
  </si>
  <si>
    <t>Sri Lanka
United Kingdom</t>
  </si>
  <si>
    <t>Psychiatry||Effective: 23 Apr 2009||RCPSC Specialist
Geriatric Psychiatry||Effective: 23 Sep 2014||RCPSC Specialist</t>
  </si>
  <si>
    <t>First certificate of registration issued: Restricted certificate||Effective:   12 Oct 2007
Terms and conditions imposed on certificate by Registration Committee||Effective:   12 Oct 2007
Expiry date attached to certificate of registration.||Expiry Date: 01 Jul 2010
Expired: Terms and conditions imposed on certificate by Registration Committee||Effective:   23 Jul 2010
Subsequent certificate of registration Issued: Independent Practice Certificate||Effective:   23 Jul 2010</t>
  </si>
  <si>
    <t>Dr. Shivakumar Medicine Professional Corporation</t>
  </si>
  <si>
    <t>Issued Date:  Nov 21 2008</t>
  </si>
  <si>
    <t>Dr. K. Shivakumar (CPSO# 87805),Dr. R. Shivakumar (CPSO# 87806)</t>
  </si>
  <si>
    <t>Sudbury Regional Hospital,Department of Psychiatry,680 Kirkwood Drive,Sudbury ON  P3E 1X3,(705) 675-5900</t>
  </si>
  <si>
    <t>50107</t>
  </si>
  <si>
    <t xml:space="preserve">Active Member as of 13 Aug 1979 </t>
  </si>
  <si>
    <t>Akan, English, Nzema</t>
  </si>
  <si>
    <t>40 Margaret st,,Guelph ON  N1E 5R7</t>
  </si>
  <si>
    <t>519 827  9294</t>
  </si>
  <si>
    <t>First certificate of registration issued: Postgraduate Education Certificate||Effective:   13 Aug 1979
Transfer of class of registration to: Hospital Practice Certificate||Effective:   14 Jul 1983
Transfer of class of registration to: Independent Practice Certificate||Effective:   28 Jun 1984</t>
  </si>
  <si>
    <t>Dr. K. E. Badoe Medicine Professional Corporation</t>
  </si>
  <si>
    <t>Inactive: Sep 11 2015</t>
  </si>
  <si>
    <t>87732</t>
  </si>
  <si>
    <t xml:space="preserve">Active Member as of 21 Sep 2007 </t>
  </si>
  <si>
    <t xml:space="preserve">Restricted as of 21 Sep 2007 </t>
  </si>
  <si>
    <t>University of Southampton, 1987</t>
  </si>
  <si>
    <t>C A M H,room 2010,33 Russell Street,Toronto ON  M5S 2S1</t>
  </si>
  <si>
    <t>(416) 538-8501 Ext. 39150</t>
  </si>
  <si>
    <t>Psychiatry||Effective: 21 Sep 2007||CPSO Recognized Specialist</t>
  </si>
  <si>
    <t>First certificate of registration issued: Restricted certificate||Effective:   21 Sep 2007
Terms and conditions imposed on certificate by Registration Committee||Effective:   21 Sep 2007
Expiry date attached to certificate of registration.||Expiry Date: 30 Sep 2010
Expiry date removed from certificate of registration.||Effective:   02 Jul 2013</t>
  </si>
  <si>
    <t>67770</t>
  </si>
  <si>
    <t>Department of Psychiatry,Thunder Bay Regional Health Science,980 Oliver Road,Thunder Bay ON  P7B 6V4</t>
  </si>
  <si>
    <t>(807) 684-6430</t>
  </si>
  <si>
    <t>(807) 684-5870</t>
  </si>
  <si>
    <t>St Joseph's Care Group,Thunder Bay:Thunder Bay
Thunder Bay Regional Health Sciences Centre:Thunder Bay</t>
  </si>
  <si>
    <t>Psychiatry||Effective: 30 Nov 2000||RCPSC Specialist</t>
  </si>
  <si>
    <t>McMaster University, 01 Jul 1994  to 30 Jun 1995|PostGrad Yr 1 - Family Medicine
McMaster University, 01 Jul 1995  to 28 Feb 1996|PostGrad Yr 1 - Psychiatry
McMaster University, 01 Mar 1996  to 30 Jun 1996|PostGrad Yr 2 - Psychiatry
McMaster University, 01 Jul 1996  to 28 Feb 1997|PostGrad Yr 2 - Psychiatry
McMaster University, 01 Mar 1997  to 30 Jun 1997|PostGrad Yr 3 - Psychiatry
McMaster University, 01 Jul 1997  to 30 Jun 1998|PostGrad Yr 3 - Psychiatry
McMaster University, 01 Jul 1998  to 30 Jun 1999|PostGrad Yr 4 - Psychiatry
McMaster University, 01 Jul 1999  to 30 Jun 2000|PostGrad Yr 5 - Psychiatry
McMaster University, 01 Jul 2000  to 30 Nov 2000|PostGrad Yr 5 - Psychiatry</t>
  </si>
  <si>
    <t>First certificate of registration issued: Postgraduate Education Certificate||Effective:   01 Jul 1994
Expired: Terms and conditions of certificate of registration||Expiry:      30 Nov 2000
Subsequent certificate of registration Issued: Independent Practice Certificate||Effective:   31 May 2001</t>
  </si>
  <si>
    <t>73939</t>
  </si>
  <si>
    <t xml:space="preserve">Active Member as of 19 Aug 2009 </t>
  </si>
  <si>
    <t xml:space="preserve">Independent Practice as of 19 Aug 2009 </t>
  </si>
  <si>
    <t>Toronto East General Hospital,Department of Psychiatry,825 Coxwell Avenue H5 561,Toronto ON  M4C 3E7</t>
  </si>
  <si>
    <t>(416) 469-6580 Ext. 6480</t>
  </si>
  <si>
    <t>416 469 6805</t>
  </si>
  <si>
    <t>Michael Garron Hospital - Toronto East Health Network:Toronto
St Michael's Hospital:Toronto</t>
  </si>
  <si>
    <t>First certificate of registration issued: Postgraduate Education Certificate||Effective:   01 Jul 1999
Transfer of class of registration to: Independent Practice Certificate||Effective:   30 Jun 2004
Expired: Failure to Renew Membership||Expiry:      14 Aug 2009
Subsequent certificate of registration Issued: Independent Practice Certificate||Effective:   19 Aug 2009</t>
  </si>
  <si>
    <t>L. Jamal Medicine Professional Corporation</t>
  </si>
  <si>
    <t>Dr. L. Jamal (CPSO# 73939)</t>
  </si>
  <si>
    <t>Toronto East General Hospital,Department of Psychiatry,Unit H5 561,825 Coxwell Avenue,Toronto ON  M4C 3E7,(416) 469-6580</t>
  </si>
  <si>
    <t>82982</t>
  </si>
  <si>
    <t>University of Toronto, 2005</t>
  </si>
  <si>
    <t>Humber River Regional Hospital,1235 Wilson Avenue,Toronto ON  M3M 0B2</t>
  </si>
  <si>
    <t>University of Toronto, 01 Jul 2005  to 30 Jun 2006|PostGrad Yr 1 - Psychiatry
University of Toronto, 01 Jul 2006  to 30 Jun 2007|PostGrad Yr 2 - Psychiatry
University of Toronto, 01 Jul 2007  to 30 Jun 2008|PostGrad Yr 3 - Psychiatry
University of Toronto, 01 Jul 2008  to 30 Jun 2009|PostGrad Yr 4 - Psychiatry
University of Toronto, 01 Jul 2009  to 30 Jun 2010|PostGrad Yr 5 - Psychiatry
University of Toronto, 01 Jul 2010  to 30 Jun 2011|PostGrad Yr 5 - Psychiatry</t>
  </si>
  <si>
    <t>Lakha Singh Medicine Professional Corporation</t>
  </si>
  <si>
    <t>Dr. L. Singh (CPSO# 82982)</t>
  </si>
  <si>
    <t>Humber River Regional Hospital,1235 Wilson Avenue,Toronto ON  M3M 0B2,(416) 242-1000</t>
  </si>
  <si>
    <t>64667</t>
  </si>
  <si>
    <t xml:space="preserve">Active Member as of 18 Oct 1991 </t>
  </si>
  <si>
    <t xml:space="preserve">Independent Practice as of 18 Oct 1991 </t>
  </si>
  <si>
    <t>English, Hindi, Telugu</t>
  </si>
  <si>
    <t>Andhra Medical College, 1978</t>
  </si>
  <si>
    <t>Oakville Trafalgar,Memorial Hospital,3001 Hospital Gate,Oakville ON  L6M 0L8</t>
  </si>
  <si>
    <t>(905) 338-4663</t>
  </si>
  <si>
    <t>(905) 338-4481</t>
  </si>
  <si>
    <t>661 Martin street,Milton ON  L9T 3V9,Canada,Phone:905-878-8141 Ext. 8406,County:Regional Municipality of Halton,Electoral District:04</t>
  </si>
  <si>
    <t>Halton Healthcare Services Corporation,Georgetown Hospital:Georgetown
Milton Site Halton Healthcare Services:Milton
Oakville Trafalgar Memorial Hospital:Oakville</t>
  </si>
  <si>
    <t>University of Toronto, 01 Jul 1993  to 30 Jun 1994|Clinical Fellow - Psychiatry</t>
  </si>
  <si>
    <t>First certificate of registration issued: Independent Practice Certificate||Effective:   18 Oct 1991</t>
  </si>
  <si>
    <t>L.P. Voruganti Medicine Professional Corporation</t>
  </si>
  <si>
    <t>Issued Date:  May 11 2010</t>
  </si>
  <si>
    <t>Dr. L. Voruganti (CPSO# 64667)</t>
  </si>
  <si>
    <t>Oakville Trafalgar,Memorial Hospital,3001 Hospital Gate,Oakville ON  L6M 0L8,(905) 845-2571
1 Princess Anne Drive,1 Princess Anne Drive,Georgetown ON  L7G 2B8,(905) 873-0111
7030 Derry Road,7030 Derry Road,Milton ON  L9T 7H6,(905) 878-2383</t>
  </si>
  <si>
    <t>76541</t>
  </si>
  <si>
    <t>University of Ottawa, 2001</t>
  </si>
  <si>
    <t>Room 4217,100 Stokes Street,Toronto ON  M6J 1H4</t>
  </si>
  <si>
    <t>(416) 535-8501 Ext. 36721</t>
  </si>
  <si>
    <t>Lakshmi Ravindran Medicine Professional Corporation</t>
  </si>
  <si>
    <t>Issued Date:  Jan 01 2011</t>
  </si>
  <si>
    <t>Dr. L. Ravindran (CPSO# 76541)</t>
  </si>
  <si>
    <t>4217 - 100 Stokes Street,Toronto ON  M6J 1H4,(416) 535-8501</t>
  </si>
  <si>
    <t>85662</t>
  </si>
  <si>
    <t xml:space="preserve">Active Member as of 06 Aug 2009 </t>
  </si>
  <si>
    <t xml:space="preserve">Restricted as of 06 Aug 2009 </t>
  </si>
  <si>
    <t>Dibrugarh University, 1991</t>
  </si>
  <si>
    <t>Health Sciences North:Sudbury
Manitoulin Health Centre:Little Current
St Joseph's Continuing Care Centre,Sudbury:Sudbury</t>
  </si>
  <si>
    <t>First certificate of registration issued: Restricted certificate||Effective:   02 Oct 2006
Terms and conditions imposed on certificate by Registration Committee||Effective:   02 Oct 2006
Expiry date attached to certificate of registration.||Expiry Date: 01 Oct 2009
Terms and conditions amended by Registration Committee||Effective:   15 Aug 2007
Expired: Terms and conditions imposed on certificate by Registration Committee||Effective:   06 Aug 2009
Subsequent certificate of registration issued: Restricted certificate||Effective:   06 Aug 2009
Terms and conditions amended by Registration Committee||Effective:   17 Feb 2010
Expiry date removed from certificate of registration.||Effective:   17 Feb 2010</t>
  </si>
  <si>
    <t>Syiemlieh Aulakh Medicine Professional Corporation</t>
  </si>
  <si>
    <t>Issued Date:  Jul 13 2007</t>
  </si>
  <si>
    <t>Dr. L. Aulakh (CPSO# 85662)</t>
  </si>
  <si>
    <t>Sudbury Regional Hospital,680 Kirkwood Drive,Sudbury ON  P3E 1X3,(705) 675-5900</t>
  </si>
  <si>
    <t>42390</t>
  </si>
  <si>
    <t xml:space="preserve">Active Member as of 16 Aug 1988 </t>
  </si>
  <si>
    <t xml:space="preserve">Independent Practice as of 16 Aug 1988 </t>
  </si>
  <si>
    <t>University of Ibadan, 1973</t>
  </si>
  <si>
    <t>First certificate of registration issued: Postgraduate Education Certificate||Effective:   09 Jul 1976
Transfer of class of registration to: Hospital Practice Certificate||Effective:   31 Mar 1980
Expired: Resigned from membership.||Expiry:      31 Jul 1983
Subsequent certificate of registration Issued: Independent Practice Certificate||Effective:   16 Aug 1988</t>
  </si>
  <si>
    <t>L.K. Oyewumi Medicine Professional Corporation</t>
  </si>
  <si>
    <t>Issued Date:  Sep 11 2008</t>
  </si>
  <si>
    <t>Dr. L. Oyewumi (CPSO# 42390)</t>
  </si>
  <si>
    <t>381 Church Street,Markham ON  L3P 7P3,(905) 472-7011</t>
  </si>
  <si>
    <t>92392</t>
  </si>
  <si>
    <t xml:space="preserve">Independent Practice as of 11 Jul 2012 </t>
  </si>
  <si>
    <t>The University of Manitoba, 2007</t>
  </si>
  <si>
    <t>CHEO,401 Smyth Rd.,Ottawa ON  K1H 8M3</t>
  </si>
  <si>
    <t>613-737-7600 Ext. 3371</t>
  </si>
  <si>
    <t>613-738-4891</t>
  </si>
  <si>
    <t>Psychiatry||Effective: 30 Jun 2012||RCPSC Specialist
Child and Adolescent Psychiatry||Effective: 23 Sep 2014||RCPSC Specialist</t>
  </si>
  <si>
    <t>University of Toronto, 01 Jan 2010  to 30 Jun 2010|PostGrad Yr 3 - Psychiatry
University of Toronto, 01 Jul 2012  to 30 Jun 2013|Clinical Fellow - Psychiatry</t>
  </si>
  <si>
    <t>First certificate of registration issued: Postgraduate Education Certificate||Effective:   07 Jan 2010
Expired: Terms and conditions of certificate of registration||Expiry:      30 Jun 2010
Subsequent certificate of registration Issued: Independent Practice Certificate||Effective:   11 Jul 2012</t>
  </si>
  <si>
    <t>72580</t>
  </si>
  <si>
    <t xml:space="preserve">Active Member as of 21 Oct 2003 </t>
  </si>
  <si>
    <t xml:space="preserve">Independent Practice as of 21 Oct 2003 </t>
  </si>
  <si>
    <t>North York General Hospital,Branson Division,5th Floor,555 Finch Avenue West,Toronto ON  M2R 1N5</t>
  </si>
  <si>
    <t>University of Toronto, 01 Jul 1998  to 30 Jun 1999|PostGrad Yr 1 - Psychiatry
University of Toronto, 01 Jul 1999  to 30 Jun 2000|PostGrad Yr 2 - Psychiatry
University of Toronto, 01 Jul 2000  to 30 Jun 2001|PostGrad Yr 3 - Psychiatry
University of Toronto, 01 Jul 2001  to 30 Jun 2002|PostGrad Yr 4 - Psychiatry
University of Toronto, 01 Jul 2002  to 30 Sep 2002|PostGrad Yr 4 - Psychiatry
University of Toronto, 01 Oct 2002  to 30 Sep 2003|PostGrad Yr 5 - Psychiatry</t>
  </si>
  <si>
    <t>First certificate of registration issued: Postgraduate Education Certificate||Effective:   01 Jul 1998
Expired: Terms and conditions of certificate of registration||Expiry:      30 Sep 2003
Subsequent certificate of registration Issued: Independent Practice Certificate||Effective:   21 Oct 2003</t>
  </si>
  <si>
    <t>98671</t>
  </si>
  <si>
    <t xml:space="preserve">Active Member as of 28 Aug 2018 </t>
  </si>
  <si>
    <t xml:space="preserve">Independent Practice as of 28 Aug 2018 </t>
  </si>
  <si>
    <t>Trillium Health Partners,300 - 2085 Hurontario St,Mississauga ON  L5A 4G1</t>
  </si>
  <si>
    <t>(905) 795-8742</t>
  </si>
  <si>
    <t>University of Toronto,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Psychiatry
University of Toronto, 01 Jul 2017  to 31 Mar 2018|PostGrad Yr 5 - Psychiatry</t>
  </si>
  <si>
    <t>First certificate of registration issued: Postgraduate Education Certificate||Effective:   01 Jul 2012
Expired: Terms and conditions of certificate of registration||Expiry:      31 Mar 2018
Subsequent certificate of registration Issued: Independent Practice Certificate||Effective:   28 Aug 2018</t>
  </si>
  <si>
    <t>88442</t>
  </si>
  <si>
    <t xml:space="preserve">Independent Practice as of 31 Dec 2013 </t>
  </si>
  <si>
    <t>Ottawa Hospital General Campus,Department of Psychiatry,4th Floor,501 Smyth Road,Ottawa ON  K1H 8L6</t>
  </si>
  <si>
    <t>(613) 737-8056</t>
  </si>
  <si>
    <t>Psychiatry||Effective: 31 Dec 2013||RCPSC Specialist</t>
  </si>
  <si>
    <t>University of Ottawa, 01 Jul 2008  to 30 Jun 2009|PostGrad Yr 1 - Psychiatry
University of Ottawa, 01 Jul 2009  to 30 Jun 2010|PostGrad Yr 2 - Psychiatry
University of Ottawa, 01 Jul 2010  to 30 Jun 2011|PostGrad Yr 3 - Psychiatry
University of Ottawa, 01 Jul 2011  to 30 Jun 2012|PostGrad Yr 4 - Psychiatry
University of Ottawa, 01 Jul 2012  to 30 Jun 2013|PostGrad Yr 5 - Psychiatry
University of Ottawa, 01 Jul 2013  to 31 Dec 2013|PostGrad Yr 5 - Psychiatry</t>
  </si>
  <si>
    <t>First certificate of registration issued: Postgraduate Education Certificate||Effective:   01 Jul 2008
Transfer of class of registration to: Independent Practice Certificate||Effective:   31 Dec 2013</t>
  </si>
  <si>
    <t>Laura B. Campbell Medicine Professional Corporation</t>
  </si>
  <si>
    <t>Issued Date:  Oct 30 2014</t>
  </si>
  <si>
    <t>Dr. L. Campbell (CPSO# 88442)</t>
  </si>
  <si>
    <t>Ottawa Hospital General Campus,Department of Psychiatry,501 Smyth Road,Ottawa ON  K1H 8L6,(613) 737-8899</t>
  </si>
  <si>
    <t>73948</t>
  </si>
  <si>
    <t xml:space="preserve">Active Member as of 12 Jul 2004 </t>
  </si>
  <si>
    <t xml:space="preserve">Independent Practice as of 12 Jul 2004 </t>
  </si>
  <si>
    <t>McCabe, Laura Elizabeth (used until: 25 Oct 2006 )</t>
  </si>
  <si>
    <t>Toronto East General Hospital,Department of Psychiatry,825 Coxwell Avenue,Toronto ON  M4C 3E7</t>
  </si>
  <si>
    <t>(416) 469-6580 Ext. 6319</t>
  </si>
  <si>
    <t>Michael Garron Hospital - Toronto East Health Network:Toronto
Ross Memorial Hospital:Lindsay</t>
  </si>
  <si>
    <t>Psychiatry||Effective: 30 Jun 2004||RCPSC Specialist
Geriatric Psychiatry||Effective: 23 Sep 2014||RCPSC Specialist</t>
  </si>
  <si>
    <t>University of Toronto, 01 Jul 1999  to 30 Jun 2000|PostGrad Yr 1 - Psychiatry
University of Toronto, 01 Jul 2000  to 30 Jun 2001|PostGrad Yr 2 - Psychiatry
University of Toronto, 01 Jul 2001  to 30 Jun 2002|PostGrad Yr 3 - Psychiatry
University of Toronto, 01 Jul 2002  to 30 Jun 2003|PostGrad Yr 4 - Psychiatry
University of Toronto, 01 Jul 2003  to 30 Jun 2004|PostGrad Yr 5 - Psychiatry
University of Toronto, 01 Sep 2004  to 31 Aug 2005|Clinical Fellow - Psychiatry</t>
  </si>
  <si>
    <t>First certificate of registration issued: Postgraduate Education Certificate||Effective:   01 Jul 1999
Expired: Terms and conditions of certificate of registration||Expiry:      30 Jun 2004
Subsequent certificate of registration Issued: Independent Practice Certificate||Effective:   12 Jul 2004</t>
  </si>
  <si>
    <t>86917</t>
  </si>
  <si>
    <t>Matsos, Laura Elizabeth (used until: 15 Oct 2014 )</t>
  </si>
  <si>
    <t>Ron Joyce Childrens Health Centre,237 Barton Street East,Hamilton ON  L8L 2X2</t>
  </si>
  <si>
    <t>Psychiatry||Effective: 30 Jun 2013||RCPSC Specialist
Child and Adolescent Psychiatry||Effective: 27 Sep 2016||RCPSC Specialist</t>
  </si>
  <si>
    <t>McMaster University, 01 Jul 2007  to 30 Jun 2008|PostGrad Yr 1 - Psychiatry
McMaster University, 01 Jul 2008  to 30 Jun 2009|PostGrad Yr 2 - Psychiatry
McMaster University, 01 Jul 2009  to 30 Jun 2010|PostGrad Yr 3 - Psychiatry
McMaster University, 01 Jul 2010  to 30 Jun 2011|PostGrad Yr 4 - Psychiatry
McMaster University, 01 Jul 2011  to 30 Jun 2012|PostGrad Yr 4 - Psychiatry
McMaster University, 01 Jul 2012  to 30 Jun 2013|PostGrad Yr 5 - Psychiatry</t>
  </si>
  <si>
    <t>First certificate of registration issued: Postgraduate Education Certificate||Effective:   01 Jul 2007
Transfer of class of registration to: Independent Practice Certificate||Effective:   30 Jun 2013</t>
  </si>
  <si>
    <t>Rosato Medicine Professional Corporation</t>
  </si>
  <si>
    <t>Issued Date:  Jan 27 2015</t>
  </si>
  <si>
    <t>Dr. L. Rosato (CPSO# 86917)</t>
  </si>
  <si>
    <t>Ron Joyce Children's Health Centre,237 Barton Street East,Hamilton ON  L8L 2X2,(905) 521-2100
1200 Main Street West,1200 Main Street West,Hamilton ON  L8N 3Z5,(905) 521-2100</t>
  </si>
  <si>
    <t>93848</t>
  </si>
  <si>
    <t xml:space="preserve">Active Member as of 21 Jul 2016 </t>
  </si>
  <si>
    <t xml:space="preserve">Independent Practice as of 21 Jul 2016 </t>
  </si>
  <si>
    <t>University College, Cork, 2010</t>
  </si>
  <si>
    <t>C A M H,1001 Queen St West,Toronto ON  M6J 1H4</t>
  </si>
  <si>
    <t>University of Toronto, 01 Jul 2010  to 22 Sep 2010|Assessment Verification Period - Psychiatry
University of Toronto, 23 Sep 2010  to 30 Jun 2011|PostGrad Yr 1 - Psychiatry
University of Toronto, 01 Jul 2011  to 30 Jun 2012|PostGrad Yr 2 -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Psychiatry</t>
  </si>
  <si>
    <t>First certificate of registration issued: Pre Entry Assessment Program Certificate||Effective:   01 Jul 2010
Transfer of class of registration to: Postgraduate Education Certificate||Effective:   23 Sep 2010
Expired: Terms and conditions of certificate of registration||Expiry:      30 Jun 2016
Subsequent certificate of registration Issued: Independent Practice Certificate||Effective:   21 Jul 2016</t>
  </si>
  <si>
    <t>95341</t>
  </si>
  <si>
    <t xml:space="preserve">Active Member as of 04 Aug 2017 </t>
  </si>
  <si>
    <t xml:space="preserve">Independent Practice as of 04 Aug 2017 </t>
  </si>
  <si>
    <t>CAMH,250 College Street, 7th floor,Toronto, ON,Canada,Toronto ON  M5T 1R8</t>
  </si>
  <si>
    <t>(416) 535-8501 Ext. 39356</t>
  </si>
  <si>
    <t>(416) 260-4197</t>
  </si>
  <si>
    <t>University of Toronto, 01 Jul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Psychiatry
University of Toronto, 01 Jul 2016  to 30 Jun 2017|PostGrad Yr 5 - Psychiatry</t>
  </si>
  <si>
    <t>First certificate of registration issued: Postgraduate Education Certificate||Effective:   01 Jul 2011
Expired: Terms and conditions of certificate of registration||Expiry:      30 Jun 2017
Subsequent certificate of registration Issued: Independent Practice Certificate||Effective:   04 Aug 2017</t>
  </si>
  <si>
    <t>99036</t>
  </si>
  <si>
    <t xml:space="preserve">Active Member as of 11 Jan 2016 </t>
  </si>
  <si>
    <t xml:space="preserve">Independent Practice as of 11 Jan 2016 </t>
  </si>
  <si>
    <t>114 Maitland Street,Toronto ON  M4Y1E1</t>
  </si>
  <si>
    <t>(416) 924-1164 Ext. 3208</t>
  </si>
  <si>
    <t>Psychiatry||Effective: 30 Jun 2014||RCPSC Specialist
Child and Adolescent Psychiatry||Effective: 31 Dec 2015||RCPSC Specialist</t>
  </si>
  <si>
    <t>University of Toronto, 05 Jul 2012  to 27 Jul 2012|Elective Trainee - Psychiatry
University of Toronto, 01 Jul 2014  to 30 Jun 2015|PostGrad Yr 6 - Child and Adolescent Psychiatry
University of Toronto, 01 Jul 2015  to 31 Dec 2015|PostGrad Yr 6 - Paediatric Psychiatry</t>
  </si>
  <si>
    <t>First certificate of registration issued: Postgraduate Education Certificate||Effective:   06 Jul 2012
Expired: Terms and conditions of certificate of registration||Expiry:      27 Jul 2012
Subsequent certificate of registration Issued: Postgraduate Education Certificate||Effective:   01 Jul 2014
Expired: Terms and conditions of certificate of registration||Expiry:      31 Dec 2015
Subsequent certificate of registration Issued: Independent Practice Certificate||Effective:   11 Jan 2016</t>
  </si>
  <si>
    <t>108887</t>
  </si>
  <si>
    <t xml:space="preserve">Active Member as of 11 Sep 2018 </t>
  </si>
  <si>
    <t xml:space="preserve">Independent Practice as of 11 Sep 2018 </t>
  </si>
  <si>
    <t>114 Maitland Street,Toronto ON  M4Y 1E1</t>
  </si>
  <si>
    <t>(416) 924-1164</t>
  </si>
  <si>
    <t>University of Ottawa, 04 Jul 2016  to 18 Dec 2016|Elective Trainee - Child and Adolescent Psychiatry
University of Ottawa, 01 Jul 2017  to 30 Jun 2018|PostGrad Yr 6 - Child and Adolescent Psychiatry
University of Toronto, 15 Oct 2018  to 30 Jun 2019|Clinical Fellow - Psychiatry</t>
  </si>
  <si>
    <t>First certificate of registration issued: Postgraduate Education Certificate||Effective:   04 Jul 2016
Expired: Terms and conditions of certificate of registration||Expiry:      18 Dec 2016
Subsequent certificate of registration Issued: Postgraduate Education Certificate||Effective:   01 Jul 2017
Expired: Terms and conditions of certificate of registration||Expiry:      30 Jun 2018
Subsequent certificate of registration Issued: Independent Practice Certificate||Effective:   11 Sep 2018</t>
  </si>
  <si>
    <t>60869</t>
  </si>
  <si>
    <t>72 Loch Isle Road,Ottawa ON  K2H 8G8</t>
  </si>
  <si>
    <t>(613) 627-5485</t>
  </si>
  <si>
    <t>343 882 4695</t>
  </si>
  <si>
    <t>University of Ottawa, 01 Jan 1995  to 30 Jun 1995|Resident 4 - Psychiatry</t>
  </si>
  <si>
    <t>First certificate of registration issued: Postgraduate Education Certificate||Effective:   15 Jun 1989
Expired: Terms and conditions of certificate of registration||Expiry:      14 Jun 1990
Subsequent certificate of registration Issued: Independent Practice Certificate||Effective:   09 Aug 1990</t>
  </si>
  <si>
    <t>Donen Medicine Professional Corporation</t>
  </si>
  <si>
    <t>Dr. L. Donen (CPSO# 60869)</t>
  </si>
  <si>
    <t>72 Loch Isle Road,Ottawa ON  K2H 8G8,(613) 627-5485</t>
  </si>
  <si>
    <t>98053</t>
  </si>
  <si>
    <t xml:space="preserve">Independent Practice as of 04 Jun 2018 </t>
  </si>
  <si>
    <t>Parkwood Institute,Mental Health Building,550 Wellington Rd,London ON  N6A 0A7</t>
  </si>
  <si>
    <t>The University of Western Ontario, 01 Jul 2012  to 30 Jun 2013|PostGrad Yr 1 - Psychiatry
The University of Western Ontario, 01 Jul 2013  to 30 Jun 2014|PostGrad Yr 2 - Psychiatry
The University of Western Ontario, 01 Jul 2014  to 30 Jun 2015|PostGrad Yr 3 - Psychiatry
The University of Western Ontario, 01 Jul 2015  to 30 Jun 2016|PostGrad Yr 4 - Psychiatry
The University of Western Ontario, 01 Jul 2016  to 30 Jun 2017|PostGrad Yr 5 - Geriatric Psychiatry
The University of Western Ontario, 01 Jul 2017  to 30 Jun 2018|PostGrad Yr 6 - Geriatric Psychiatry</t>
  </si>
  <si>
    <t>First certificate of registration issued: Postgraduate Education Certificate||Effective:   01 Jul 2012
Transfer of class of registration to: Independent Practice Certificate||Effective:   04 Jun 2018</t>
  </si>
  <si>
    <t>33541</t>
  </si>
  <si>
    <t xml:space="preserve">Independent Practice as of 14 Jul 1982 </t>
  </si>
  <si>
    <t>University of Manchester, 1974</t>
  </si>
  <si>
    <t>90 Wharncliffe Road South,London ON  N6J 2K1</t>
  </si>
  <si>
    <t>(519) 432-3818</t>
  </si>
  <si>
    <t>(519) 432-1748</t>
  </si>
  <si>
    <t>First certificate of registration issued: Postgraduate Education Certificate||Effective:   07 Jul 1980
Transfer of class of registration to: Independent Practice Certificate||Effective:   14 Jul 1982</t>
  </si>
  <si>
    <t>Laurence Jerome Medicine Professional Corporation</t>
  </si>
  <si>
    <t>Dr. L. Jerome (CPSO# 33541)</t>
  </si>
  <si>
    <t>90 Wharncliffe Road South,London ON  N6J 2K1,(519) 432-3818</t>
  </si>
  <si>
    <t>105454</t>
  </si>
  <si>
    <t>Memorial University of Newfoundland, 2002</t>
  </si>
  <si>
    <t>First certificate of registration issued: Independent Practice Certificate||Effective:   06 Feb 2015</t>
  </si>
  <si>
    <t>Dr. Laurie A. Potter Medicine Professional Corporation</t>
  </si>
  <si>
    <t>Issued Date:  Jun 22 2015</t>
  </si>
  <si>
    <t>Dr. L. Potter (CPSO# 105454)</t>
  </si>
  <si>
    <t>53787</t>
  </si>
  <si>
    <t xml:space="preserve">Active Member as of 12 Apr 1984 </t>
  </si>
  <si>
    <t xml:space="preserve">Independent Practice as of 12 Apr 1984 </t>
  </si>
  <si>
    <t>Allan Memorial Institute,1025 Pine Avenue West,Montreal QC  H3A 1A1</t>
  </si>
  <si>
    <t>(514) 934-1934 Ext. 35502</t>
  </si>
  <si>
    <t>First certificate of registration issued: Independent Practice Certificate||Effective:   12 Apr 1984</t>
  </si>
  <si>
    <t>29242</t>
  </si>
  <si>
    <t>Michael Garron Hospital,825 Coxwell Avenue,Toronto ON  M4C 3E7</t>
  </si>
  <si>
    <t>(416) 469-6502</t>
  </si>
  <si>
    <t>4164696805</t>
  </si>
  <si>
    <t>First certificate of registration issued: Postgraduate Education Certificate||Effective:   14 Jun 1976
Transfer of class of registration to: Independent Practice Certificate||Effective:   24 Jun 1977</t>
  </si>
  <si>
    <t>64661</t>
  </si>
  <si>
    <t xml:space="preserve">Active Member as of 10 Oct 1991 </t>
  </si>
  <si>
    <t xml:space="preserve">Independent Practice as of 22 May 1996 </t>
  </si>
  <si>
    <t>University of Cape Town, 1981</t>
  </si>
  <si>
    <t>45 Sheppard Avenue East,Suite 900,Toronto ON  M2N 5W9</t>
  </si>
  <si>
    <t>647-821-6829</t>
  </si>
  <si>
    <t>647-342-1855</t>
  </si>
  <si>
    <t>First certificate of registration issued: Academic Practice Certificate||Effective:   10 Oct 1991
Transfer of class of registration to: Independent Practice Certificate||Effective:   22 May 1996</t>
  </si>
  <si>
    <t>L.R. Reznek Medicine Professional Corporation</t>
  </si>
  <si>
    <t>Issued Date:  Jul 30 2007</t>
  </si>
  <si>
    <t>Dr. L. Reznek (CPSO# 64661)</t>
  </si>
  <si>
    <t>Suite 900,45 Sheppard Avenue East,North York ON  M2N 5W9,(647) 821-6829</t>
  </si>
  <si>
    <t>58639</t>
  </si>
  <si>
    <t xml:space="preserve">Independent Practice as of 30 Aug 1988 </t>
  </si>
  <si>
    <t>St Joseph's Healthcare,Centre for Mountain Health Services,100 West 5th Street,Hamilton ON  L8N 3K7</t>
  </si>
  <si>
    <t>McMaster University, 01 Jul 1987  to 30 Jun 1988|Other - Comprehensive Internship
University of Toronto, 01 Jul 1988  to 30 Jun 1989|Resident 1 - Psychiatry
University of Toronto, 01 Jul 1989  to 30 Jun 1990|Resident 2 - Psychiatry
University of Toronto, 01 Jul 1990  to 30 Jun 1991|Resident 4 - Psychiatry</t>
  </si>
  <si>
    <t>First certificate of registration issued: Postgraduate Education Certificate||Effective:   01 Jul 1987
Transfer of class of registration to: Independent Practice Certificate||Effective:   30 Aug 1988</t>
  </si>
  <si>
    <t>Lawrence S Martin Medicine Professional Corporation</t>
  </si>
  <si>
    <t>Issued Date:  Oct 27 2008</t>
  </si>
  <si>
    <t>Dr. L. Martin (CPSO# 58639)</t>
  </si>
  <si>
    <t>St Joseph's Healthcare,Centre for Mountain Health Services,100 West 5th Street,Hamilton ON  L8N 3K7,(905) 522-1155</t>
  </si>
  <si>
    <t>24590</t>
  </si>
  <si>
    <t xml:space="preserve">Active Member as of 16 Jun 1972 </t>
  </si>
  <si>
    <t xml:space="preserve">Independent Practice as of 16 Jun 1972 </t>
  </si>
  <si>
    <t>McGill University, 1971</t>
  </si>
  <si>
    <t>73 Warren Road,Suite 201,Toronto ON  M4V 2R9</t>
  </si>
  <si>
    <t>(416) 960-5812</t>
  </si>
  <si>
    <t>(416) 961-7081</t>
  </si>
  <si>
    <t>First certificate of registration issued: Independent Practice Certificate||Effective:   16 Jun 1972</t>
  </si>
  <si>
    <t>Dr. S. Horodezky Medicine Professional Corporation</t>
  </si>
  <si>
    <t>Issued Date:  Aug 16 2011</t>
  </si>
  <si>
    <t>Dr. L. Horodezky (CPSO# 24590)</t>
  </si>
  <si>
    <t>Suite 201,73 Warren Road,Toronto ON  M4V 2R9,(416) 960-5812</t>
  </si>
  <si>
    <t>88652</t>
  </si>
  <si>
    <t>Royal Ottawa Mental Health Centre,Youth Program,1145 Carling Avenue,Ottawa ON  K1Z 7K4</t>
  </si>
  <si>
    <t>(613) 761-3603</t>
  </si>
  <si>
    <t>Carleton University,1125 Colonel By Drive,Suite 2600 CTTC Building,Ottawa ON  K1S 5B6,Canada,Phone:613-520-6674,Fax:613-520-4059,County:Regional Municipality of Ottawa-Carleton,Electoral District:07</t>
  </si>
  <si>
    <t>Psychiatry||Effective: 30 Jun 2013||RCPSC Specialist
Child and Adolescent Psychiatry||Effective: 23 Sep 2014||RCPSC Specialist</t>
  </si>
  <si>
    <t>University of Ottawa, 01 Jul 2008  to 30 Jun 2009|PostGrad Yr 1 - Psychiatry
University of Ottawa, 01 Jul 2009  to 30 Jun 2010|PostGrad Yr 2 - Psychiatry
University of Ottawa, 01 Jul 2010  to 30 Jun 2011|PostGrad Yr 3 - Psychiatry
University of Ottawa, 01 Jul 2011  to 30 Jun 2012|PostGrad Yr 4 - Psychiatry
University of Ottawa, 01 Jul 2012  to 30 Jun 2013|PostGrad Yr 5 - Psychiatry</t>
  </si>
  <si>
    <t>81390</t>
  </si>
  <si>
    <t xml:space="preserve">Active Member as of 15 Jan 2014 </t>
  </si>
  <si>
    <t xml:space="preserve">Independent Practice as of 15 Jan 2014 </t>
  </si>
  <si>
    <t>Rutherford, Leanna Elizabeth Duff (used until: 18 Jan 2009 )</t>
  </si>
  <si>
    <t>Childrens Hospital of Eastern Ont,Department of Psychiatry,401 Smyth Road,Ottawa ON  K1H 8L1</t>
  </si>
  <si>
    <t>Psychiatry||Effective: 30 Jun 2009||RCPSC Specialist
Child and Adolescent Psychiatry||Effective: 26 Sep 2013||RCPSC Specialist</t>
  </si>
  <si>
    <t>First certificate of registration issued: Postgraduate Education Certificate||Effective:   01 Jul 2004
Transfer of class of registration to: Independent Practice Certificate||Effective:   30 Jun 2009
Expired: Resigned from membership.||Expiry:      01 Jun 2012
Subsequent certificate of registration Issued: Independent Practice Certificate||Effective:   15 Jan 2014</t>
  </si>
  <si>
    <t>L E Isserlin Medicine Professional Corporation</t>
  </si>
  <si>
    <t>Issued Date:  Mar 03 2014</t>
  </si>
  <si>
    <t>Dr. L. Isserlin (CPSO# 81390)</t>
  </si>
  <si>
    <t>Children's Hospital of Eastern Ontario,Department of Psychiatry,401 Smyth Road,Ottawa ON  K1H 8L1,(613) 737-7600</t>
  </si>
  <si>
    <t>86606</t>
  </si>
  <si>
    <t>Waypoint Centre For Mental,Health Care,500 Church Street,Penetanguishene ON  L9M 1G3</t>
  </si>
  <si>
    <t>(705) 549-3181 Ext. 2867</t>
  </si>
  <si>
    <t>111453</t>
  </si>
  <si>
    <t xml:space="preserve">Active Member as of 25 Jun 2018 </t>
  </si>
  <si>
    <t xml:space="preserve">Independent Practice as of 25 Jun 2018 </t>
  </si>
  <si>
    <t>Memorial University of Newfoundland, 2011</t>
  </si>
  <si>
    <t>700 Coronation Blvd,Cambridge ON  N1R 3G2</t>
  </si>
  <si>
    <t>(519) 740-4900</t>
  </si>
  <si>
    <t>McMaster University, 27 Feb 2017  to 30 Jun 2017|Elective Trainee - Psychiatry
McMaster University, 01 Jul 2017  to 03 Sep 2017|PostGrad Yr 4 - Psychiatry</t>
  </si>
  <si>
    <t>First certificate of registration issued: Postgraduate Education Certificate||Effective:   27 Feb 2017
Expired: Terms and conditions of certificate of registration||Expiry:      03 Sep 2017
Subsequent certificate of registration Issued: Independent Practice Certificate||Effective:   25 Jun 2018</t>
  </si>
  <si>
    <t>Dr. Leanne Martin Medicine Professional Corporation</t>
  </si>
  <si>
    <t>Issued Date:  Sep 07 2018</t>
  </si>
  <si>
    <t>Dr. L. Martin (CPSO# 111453)</t>
  </si>
  <si>
    <t>700 Coronation Boulevard,Cambridge ON  N1R 3G2,(519) 740-4900</t>
  </si>
  <si>
    <t>61365</t>
  </si>
  <si>
    <t xml:space="preserve">Active Member as of 09 Apr 2018 </t>
  </si>
  <si>
    <t xml:space="preserve">Independent Practice as of 09 Apr 2018 </t>
  </si>
  <si>
    <t>University of Calgary, 1988</t>
  </si>
  <si>
    <t>500 Church St,Penetanguishene ON  L9M 1G3</t>
  </si>
  <si>
    <t>University of Ottawa, 01 Jul 1989  to 30 Jun 1990|Resident 1 - Psychiatry
University of Ottawa, 01 Jul 1990  to 30 Jun 1991|Resident 2 - Psychiatry
University of Ottawa, 01 Jul 1991  to 30 Jun 1992|Resident 3 - Psychiatry</t>
  </si>
  <si>
    <t>First certificate of registration issued: Postgraduate Education Certificate||Effective:   01 Jul 1989
Transfer of class of registration to: Independent Practice Certificate||Effective:   14 Feb 1990
Expired: Resigned from membership.||Expiry:      01 Jun 1992
Subsequent certificate of registration Issued: Independent Practice Certificate||Effective:   09 Apr 2018</t>
  </si>
  <si>
    <t>52416</t>
  </si>
  <si>
    <t xml:space="preserve">Independent Practice as of 18 Jul 1984 </t>
  </si>
  <si>
    <t>Department Of Psychiatry,North York General Hospital,4001 Leslie Street,Toronto ON  M2K 1E1</t>
  </si>
  <si>
    <t>(416) 756-6655 Ext. 6646</t>
  </si>
  <si>
    <t>(416) 756-6671</t>
  </si>
  <si>
    <t>Psychiatry||Effective: 29 May 1989||RCPSC Specialist
Child and Adolescent Psychiatry||Effective: 26 Sep 2013||RCPSC Specialist</t>
  </si>
  <si>
    <t>McMaster University, 01 Jul 1983  to 30 Jun 1984|Other - Rotating Internship
University of Toronto, 01 Jul 1984  to 30 Jun 1985|Resident 1 - Psychiatry
University of Toronto, 01 Jan 1986  to 30 Jun 1986|Resident 2 - Psychiatry
University of Toronto, 01 Jul 1986  to 31 Dec 1986|Resident 2 - Psychiatry
University of Toronto, 01 Jan 1987  to 30 Jun 1987|Resident 3 - Psychiatry
University of Toronto, 01 Jul 1987  to 30 Jun 1988|Resident 3 - Psychiatry
University of Toronto, 01 Jul 1988  to 30 Jun 1989|Resident 4 - Psychiatry</t>
  </si>
  <si>
    <t>First certificate of registration issued: Postgraduate Education Certificate||Effective:   01 Jul 1983
Transfer of class of registration to: Independent Practice Certificate||Effective:   18 Jul 1984</t>
  </si>
  <si>
    <t>L. Peltz Medicine Professional Corporation</t>
  </si>
  <si>
    <t>Issued Date:  Jun 02 2006</t>
  </si>
  <si>
    <t>Dr. L. Peltz (CPSO# 52415),Dr. L. Solomon (CPSO# 52416)</t>
  </si>
  <si>
    <t>555 University Avenue,Toronto ON  M5G 1X8,(416) 813-6600
Credit Valley Hospital,Credit Valley Hospital,2200 Eglinton Avenue West,Mississauga ON  L5M 2N1,(905) 813-4426</t>
  </si>
  <si>
    <t>87051</t>
  </si>
  <si>
    <t>Macharivilakathu Gopinatha Kurup, Lekha (used until: 14 May 2012 )</t>
  </si>
  <si>
    <t>English, Hindi, Malayalam, Tamil</t>
  </si>
  <si>
    <t>University of Kerala, 1994</t>
  </si>
  <si>
    <t>Mackenzie Health,10 Trench Street,Richmond Hill ON  L4C 4Z3</t>
  </si>
  <si>
    <t>(905) 883-1212 Ext. 3327</t>
  </si>
  <si>
    <t>University of Ottawa, 01 Jul 2007  to 22 Sep 2007|Assessment Verification Period - Psychiatry
University of Ottawa, 23 Sep 2007  to 30 Jun 2008|PostGrad Yr 2 - Psychiatry
University of Ottawa, 01 Jul 2008  to 30 Jun 2009|PostGrad Yr 3 - Psychiatry
University of Ottawa, 01 Jul 2009  to 30 Jun 2010|PostGrad Yr 4 - Psychiatry
University of Ottawa, 01 Jul 2010  to 30 Jun 2011|PostGrad Yr 5 - Psychiatry</t>
  </si>
  <si>
    <t>First certificate of registration issued: Pre Entry Assessment Program Certificate||Effective:   01 Jul 2007
Transfer of class of registration to: Postgraduate Education Certificate||Effective:   23 Sep 2007
Transfer of class of registration to: Independent Practice Certificate||Effective:   30 Jun 2011</t>
  </si>
  <si>
    <t>Dr. Lekha Kurup Medicine Professional Corporation</t>
  </si>
  <si>
    <t>Issued Date:  May 28 2012</t>
  </si>
  <si>
    <t>Dr. L. Kurup (CPSO# 87051)</t>
  </si>
  <si>
    <t>York Central Hospital,10 Trench Street,Richmond Hill ON  L4C 4Z3,(905) 883-1212</t>
  </si>
  <si>
    <t>24775</t>
  </si>
  <si>
    <t>McGill University, 1967</t>
  </si>
  <si>
    <t>1849 Yonge Street,Suite 907,Toronto ON  M4S 1Y2</t>
  </si>
  <si>
    <t>(416) 440-0213</t>
  </si>
  <si>
    <t>108171</t>
  </si>
  <si>
    <t xml:space="preserve">Active Member as of 23 Oct 2015 </t>
  </si>
  <si>
    <t xml:space="preserve">Restricted as of 23 Oct 2015 </t>
  </si>
  <si>
    <t>Stanley Medical College, 2004</t>
  </si>
  <si>
    <t>A2-636 LHSC-Victoria Hospital,PEPP Program,800 Commissioners Road East,London ON  N6A 5W9</t>
  </si>
  <si>
    <t>(519) 685-8054</t>
  </si>
  <si>
    <t>(519) 685-8074</t>
  </si>
  <si>
    <t>London Health Sciences Centre Victoria Hospital:London
London Health Sciences Centre,University Site:London
St Joseph's Health Care,London - Parkwood Hospital:London
St Joseph's Health Care-St Joseph's Site,London:London</t>
  </si>
  <si>
    <t>Psychiatry||Effective: 23 Oct 2015||CPSO Recognized Specialist</t>
  </si>
  <si>
    <t>First certificate of registration issued: Restricted certificate||Effective:   23 Oct 2015
Terms and conditions imposed on certificate by Registration Committee||Effective:   23 Oct 2015
Expiry date attached to certificate of registration.||Expiry Date: 30 Jun 2018
Expiry date attached to certificate of registration.||Expiry Date: 30 Jun 2020</t>
  </si>
  <si>
    <t>Lena Palaniyappan Medicine Professional Corporation</t>
  </si>
  <si>
    <t>Issued Date:  Oct 24 2016</t>
  </si>
  <si>
    <t>Dr. L. Palaniyappan (CPSO# 108171)</t>
  </si>
  <si>
    <t>LHSC - Victoria Hospital,A2 - 636,800 Commissioners Road East,London ON  N6A 5W9,(519) 685-8054</t>
  </si>
  <si>
    <t>51877</t>
  </si>
  <si>
    <t xml:space="preserve">Independent Practice as of 14 Jan 1985 </t>
  </si>
  <si>
    <t>(416) 923-9688</t>
  </si>
  <si>
    <t>St. Michael's Hospital,30 Bond Street,Toronto ON  M6B 1W8,Canada,Phone:(416) 864-5120,County:City of Toronto,Electoral District:10</t>
  </si>
  <si>
    <t>First certificate of registration issued: Postgraduate Education Certificate||Effective:   15 Jun 1982
Transfer of class of registration to: Independent Practice Certificate||Effective:   14 Jan 1985</t>
  </si>
  <si>
    <t>21898</t>
  </si>
  <si>
    <t xml:space="preserve">Active Member as of 16 Apr 1971 </t>
  </si>
  <si>
    <t xml:space="preserve">Independent Practice as of 16 Apr 1971 </t>
  </si>
  <si>
    <t>English Conjoint Board, 1956</t>
  </si>
  <si>
    <t>(416) 535-8501 Ext. 36187</t>
  </si>
  <si>
    <t>First certificate of registration issued: Independent Practice Certificate||Effective:   11 Jun 1969
Expired: Failure to Renew Membership||Expiry:      16 Apr 1971
Subsequent certificate of registration Issued: Independent Practice Certificate||Effective:   16 Apr 1971</t>
  </si>
  <si>
    <t>50644</t>
  </si>
  <si>
    <t>Centre for Addiction and,Mental Health,Unit 2,1001 Queen Street West,Toronto ON  M6J 1H4</t>
  </si>
  <si>
    <t>(416) 535-8501 Ext. 32622</t>
  </si>
  <si>
    <t>(416) 583-1260</t>
  </si>
  <si>
    <t>First certificate of registration issued: Postgraduate Education Certificate||Effective:   15 Jun 1981
Transfer of class of registration to: Independent Practice Certificate||Effective:   30 Jun 1983</t>
  </si>
  <si>
    <t>58538</t>
  </si>
  <si>
    <t>University of Rome, 1986</t>
  </si>
  <si>
    <t>Hotel Dieu Grace Healthcare,1453 Prince Road,Windsor ON  N9C 3Z4</t>
  </si>
  <si>
    <t>(519) 257-5111 Ext. 76970</t>
  </si>
  <si>
    <t>(519) 257-5255</t>
  </si>
  <si>
    <t>Hotel Dieu Grace Healthcare,Tayfour Campus:Windsor
London Health Sciences Centre South Street Hospital:London
Windsor Regional Hospital,Ouellette Campus:Windsor</t>
  </si>
  <si>
    <t>The University of Western Ontario, 01 Jul 1991  to 31 Dec 1991|Resident 5 - Psychiatry</t>
  </si>
  <si>
    <t>First certificate of registration issued: Postgraduate Education Certificate||Effective:   01 Jul 1987
Transfer of class of registration to: Independent Practice Certificate||Effective:   18 Dec 1991</t>
  </si>
  <si>
    <t>Dr. L. Cortese Medicine Professional Corporation</t>
  </si>
  <si>
    <t>Issued Date:  Apr 01 2010</t>
  </si>
  <si>
    <t>Dr. L. Cortese (CPSO# 58538)</t>
  </si>
  <si>
    <t>Hotel Dieu Grace HealthCare,1453 Prince Road,Windsor ON  N9C 3Z4,(519) 257-5111</t>
  </si>
  <si>
    <t>82406</t>
  </si>
  <si>
    <t xml:space="preserve">Active Member as of 05 Aug 2011 </t>
  </si>
  <si>
    <t xml:space="preserve">Independent Practice as of 05 Aug 2011 </t>
  </si>
  <si>
    <t>5th Floor,Suite 5C1020,1235 Wilson Avenue,Toronto ON  M3M 0B2</t>
  </si>
  <si>
    <t>(416) 242-1000 Ext. 43152</t>
  </si>
  <si>
    <t>First certificate of registration issued: Postgraduate Education Certificate||Effective:   01 Jul 2005
Expired: Terms and conditions of certificate of registration||Expiry:      30 Jun 2011
Subsequent certificate of registration Issued: Independent Practice Certificate||Effective:   05 Aug 2011</t>
  </si>
  <si>
    <t>Dr. Leora Glick Medicine Professional Corporation</t>
  </si>
  <si>
    <t>Issued Date:  Feb 12 2015</t>
  </si>
  <si>
    <t>Dr. L. Glick (CPSO# 82406)</t>
  </si>
  <si>
    <t>5th Floor,Suite 5C1020,1235 Wilson Avenue,Toronto ON  M3M 0B2,(416) 242-1000</t>
  </si>
  <si>
    <t>60935</t>
  </si>
  <si>
    <t xml:space="preserve">Active Member as of 22 Jun 1990 </t>
  </si>
  <si>
    <t>University of Ottawa, 1989</t>
  </si>
  <si>
    <t>PO Box 31023,725 College Street,Toronto,Toronto ON  M6G 1C0</t>
  </si>
  <si>
    <t>416-576-4024</t>
  </si>
  <si>
    <t>Psychiatry||Effective: 31 Jan 1996||RCPSC Specialist</t>
  </si>
  <si>
    <t>University of Toronto, 01 Jul 1995  to 31 Dec 1995|Resident 4 - Psychiatry
University of Toronto, 01 Jul 1996  to 30 Jun 1997|Clinical Fellow - Psychiatry
University of Toronto, 01 Jul 1997  to 30 Jun 1998|Clinical Fellow - Psychiatry</t>
  </si>
  <si>
    <t>First certificate of registration issued: Postgraduate Education Certificate||Effective:   12 Jun 1989
Expired: Terms and conditions of certificate of registration||Expiry:      11 Jun 1990
Subsequent certificate of registration Issued: Independent Practice Certificate||Effective:   22 Jun 1990</t>
  </si>
  <si>
    <t>84582</t>
  </si>
  <si>
    <t xml:space="preserve">Active Member as of 12 Jul 2012 </t>
  </si>
  <si>
    <t xml:space="preserve">Independent Practice as of 12 Jul 2012 </t>
  </si>
  <si>
    <t>English, French, Ukrainian</t>
  </si>
  <si>
    <t>University of Ottawa, 2006</t>
  </si>
  <si>
    <t>Child Youth Family Program,A3,1 Hospital Court,Oshawa ON  L1G 2B9</t>
  </si>
  <si>
    <t>(905) 433-4345</t>
  </si>
  <si>
    <t>University of Toronto, 01 Jul 2006  to 30 Jun 2007|PostGrad Yr 1 - Psychiatry
University of Toronto, 01 Jul 2007  to 30 Jun 2008|PostGrad Yr 2 - Psychiatry
University of Toronto, 01 Jul 2008  to 30 Jun 2009|PostGrad Yr 3 - Psychiatry
University of Toronto, 01 Jul 2009  to 30 Jun 2010|PostGrad Yr 4 - Psychiatry
University of Toronto, 01 Jul 2010  to 30 Jun 2011|PostGrad Yr 4 - Psychiatry
University of Toronto, 01 Jul 2011  to 30 Jun 2012|PostGrad Yr 5 - Psychiatry</t>
  </si>
  <si>
    <t>First certificate of registration issued: Postgraduate Education Certificate||Effective:   01 Jul 2006
Expired: Terms and conditions of certificate of registration||Expiry:      30 Jun 2012
Subsequent certificate of registration Issued: Independent Practice Certificate||Effective:   12 Jul 2012</t>
  </si>
  <si>
    <t>Dr. Lescia K. Tremblay Medicine Professional Corporation</t>
  </si>
  <si>
    <t>Issued Date:  Sep 26 2016</t>
  </si>
  <si>
    <t>Dr. L. Tremblay (CPSO# 84582)</t>
  </si>
  <si>
    <t>850 King Street West,Oshawa ON  L1J 2L5,(905) 576-8711
Child Youth Family Program,Child Youth Family Program,A3,1 Hospital Court,Oshawa ON  L1G 2B9,(905) 576-8711</t>
  </si>
  <si>
    <t>72550</t>
  </si>
  <si>
    <t>Mount Sinai Hospital,Department of Psychiatry,600 University Avenue, Room 925,Toronto ON  M5G 1X5</t>
  </si>
  <si>
    <t>(416) 586-4800 Ext. 5351</t>
  </si>
  <si>
    <t>Centre of Addiction &amp; Mental Health,- College Street Site:Toronto
Mount Sinai Hospital:Toronto
North Bay Regional Health Centre:North Bay</t>
  </si>
  <si>
    <t>Psychiatry||Effective: 30 Jun 2003||RCPSC Specialist
Geriatric Psychiatry||Effective: 23 Sep 2014||RCPSC Specialist</t>
  </si>
  <si>
    <t>Matthew Hodge Medicine Professional Corporation</t>
  </si>
  <si>
    <t>Issued Date:  Apr 23 2010</t>
  </si>
  <si>
    <t>Dr. M. Hodge (CPSO# 70425),Dr. L. Wiesenfeld (CPSO# 72550)</t>
  </si>
  <si>
    <t>3050 Lawrence Avenue East,Toronto ON  M1P 2V5,(416) 438-2911
3030 Birchmount Avenue,3030 Birchmount Avenue,Toronto ON  M1P 2V5,(416) 495-2400
285 Cummer Avenue,285 Cummer Avenue,Toronto ON  M2M 2G1,(416) 226-6780
1800 8th Street East,1800 8th Street East,Owen Sound ON  N4K 6M9,(519) 376-2121
725 Coursol Road,725 Coursol Road,Sturgeon Falls ON  P2B 2Y6,(705) 753-3110</t>
  </si>
  <si>
    <t>52992</t>
  </si>
  <si>
    <t xml:space="preserve">Independent Practice as of 01 Jun 1985 </t>
  </si>
  <si>
    <t>110 Eglinton Avenue West,Suite 303 C,Toronto ON  M4R 1A3</t>
  </si>
  <si>
    <t>(416) 928-6599</t>
  </si>
  <si>
    <t>First certificate of registration issued: Postgraduate Education Certificate||Effective:   13 Jun 1983
Transfer of class of registration to: Independent Practice Certificate||Effective:   01 Jun 1985</t>
  </si>
  <si>
    <t>66939</t>
  </si>
  <si>
    <t xml:space="preserve">Active Member as of 22 Mar 2018 </t>
  </si>
  <si>
    <t xml:space="preserve">Restricted as of 21 Feb 2018 </t>
  </si>
  <si>
    <t>Suite 403,265 Yorkland Boulevard,North York ON  M2J 1S5</t>
  </si>
  <si>
    <t>Queen's University, 01 Jul 1993  to 30 Jun 1994|PostGrad Yr 1 - Psychiatry
Queen's University, 01 Jul 1994  to 30 Jun 1995|Resident 1 - Psychiatry
Queen's University, 01 Jul 1995  to 30 Jun 1996|Resident 2 - Psychiatry
Queen's University, 01 Jul 1996  to 30 Jun 1997|Resident 3 - Psychiatry
Queen's University, 01 Jul 1997  to 30 Jun 1998|Resident 4 - Psychiatry</t>
  </si>
  <si>
    <t>First certificate of registration issued: Postgraduate Education Certificate||Effective:   01 Jul 1993
Transfer of class of registration to: Independent Practice Certificate||Effective:   30 Jun 1998
Transfer of class of certificate to: Restricted certificate||Effective:   21 Feb 2018
Terms and conditions imposed on certificate by Discipline Committee||Effective:   21 Feb 2018
Suspension of registration imposed: Discipline Committee||Effective:   22 Feb 2018
Suspension of registration removed||Effective:   22 Mar 2018</t>
  </si>
  <si>
    <t>86592</t>
  </si>
  <si>
    <t>(905) 430-4032</t>
  </si>
  <si>
    <t>314-7700 Hurontario Street,Brampton ON  L6Y 4M3,Canada,Phone:905-451-2123,County:Regional Municipality of Peel,Electoral District:05</t>
  </si>
  <si>
    <t>Dr. Leslie K.L. Wong Medicine Professional Corporation</t>
  </si>
  <si>
    <t>Dr. L. Wong (CPSO# 86592)</t>
  </si>
  <si>
    <t>Ontario Shores Centre for Mental Health Sciences,Forensic Psych. Division,700 Gordon Street,Whitby ON  L1N 5S9,(905) 430-4055</t>
  </si>
  <si>
    <t>73912</t>
  </si>
  <si>
    <t xml:space="preserve">Active Member as of 29 Apr 2005 </t>
  </si>
  <si>
    <t xml:space="preserve">Independent Practice as of 29 Apr 2005 </t>
  </si>
  <si>
    <t>Toronto Western Hospital,399 Bathurst Street,Toronto ON  M5T 2S8</t>
  </si>
  <si>
    <t>(416) 603-5800 Ext. 3672</t>
  </si>
  <si>
    <t>First certificate of registration issued: Postgraduate Education Certificate||Effective:   01 Jul 1999
Expired: Terms and conditions of certificate of registration||Expiry:      30 Jun 2004
Subsequent certificate of registration Issued: Independent Practice Certificate||Effective:   29 Apr 2005</t>
  </si>
  <si>
    <t>LL Buckley Medicine Professional Corporation</t>
  </si>
  <si>
    <t>Issued Date:  Apr 24 2012</t>
  </si>
  <si>
    <t>Dr. L. Buckley (CPSO# 73912)</t>
  </si>
  <si>
    <t>Toronto Western Hospital,East Wing 9th Floor,456 - 399 Bathurst Street,Toronto ON  M5T 2S8,(416) 603-5800</t>
  </si>
  <si>
    <t>27366</t>
  </si>
  <si>
    <t>English, Hungarian</t>
  </si>
  <si>
    <t>East Toronto Health Centre,1496 Danforth Avenue,Toronto ON  M4J 1N4</t>
  </si>
  <si>
    <t>Collingwood General and Marine,Hospital,Community Mental Health Centre,459 Hume Street,Collingwood ON  L9Y 1W9,Canada,Phone:(705) 444-6600,Fax:(705) 444-5131,County:County of Simcoe,Electoral District:05</t>
  </si>
  <si>
    <t>British Columbia
USA - Ohio
USA - Texas</t>
  </si>
  <si>
    <t>Collingwood General and Marine Hospital:Collingwood
Michael Garron Hospital - Toronto East Health Network:Toronto</t>
  </si>
  <si>
    <t>Psychiatry||Effective: 20 Nov 1979||RCPSC Specialist</t>
  </si>
  <si>
    <t>First certificate of registration issued: Postgraduate Education Certificate||Effective:   17 Jun 1974
Transfer of class of registration to: Independent Practice Certificate||Effective:   19 Jun 1975</t>
  </si>
  <si>
    <t>L. T. Kiraly Medicine Professional Corporation</t>
  </si>
  <si>
    <t>Issued Date:  Jun 07 2007</t>
  </si>
  <si>
    <t>Dr. L. Kiraly (CPSO# 27366)</t>
  </si>
  <si>
    <t>East Toronto Health Centre,1496 Danforth Avenue,Toronto ON  M4J 1N4,(416) 778-1496</t>
  </si>
  <si>
    <t>58587</t>
  </si>
  <si>
    <t xml:space="preserve">Active Member as of 10 Feb 1989 </t>
  </si>
  <si>
    <t xml:space="preserve">Independent Practice as of 10 Feb 1989 </t>
  </si>
  <si>
    <t>Hotel Dieu Hopital,166 Brock Street,Kingston ON  K7L 5G2</t>
  </si>
  <si>
    <t>613 544-9666</t>
  </si>
  <si>
    <t>Psychiatry||Effective: 09 Jun 1995||RCPSC Specialist</t>
  </si>
  <si>
    <t>Queen's University, 01 Jul 1987  to 30 Jun 1988|Other - Comprehensive Internship
Queen's University, 01 Jul 1988  to 30 Sep 1988|Other - Comprehensive Internship
Queen's University, 01 Jul 1991  to 30 Jun 1992|Resident 2 - Family Medicine
Queen's University, 01 Jul 1992  to 30 Jun 1993|Resident 1 - Psychiatry
Queen's University, 01 Jul 1993  to 28 May 1994|Resident 2 - Psychiatry
Queen's University, 29 May 1994  to 28 May 1995|Resident 3 - Psychiatry
Queen's University, 29 May 1995  to 30 Jun 1995|Resident 4 - Psychiatry</t>
  </si>
  <si>
    <t>First certificate of registration issued: Postgraduate Education Certificate||Effective:   01 Jul 1987
Expired: Terms and conditions of certificate of registration||Expiry:      30 Sep 1988
Subsequent certificate of registration Issued: Independent Practice Certificate||Effective:   10 Feb 1989</t>
  </si>
  <si>
    <t>Flynn and Vanner Medicine Professional Corporation</t>
  </si>
  <si>
    <t>Issued Date:  Dec 01 2004</t>
  </si>
  <si>
    <t>Dr. L. Flynn (CPSO# 58587),Dr. S. Vanner (CPSO# 52850)</t>
  </si>
  <si>
    <t>Hotel Dieu Hospital,166 Brock Street,Kingston ON  K7L 5G2,(613) 544-3310</t>
  </si>
  <si>
    <t>106602</t>
  </si>
  <si>
    <t xml:space="preserve">Active Member as of 09 Feb 2017 </t>
  </si>
  <si>
    <t xml:space="preserve">Restricted as of 09 Feb 2017 </t>
  </si>
  <si>
    <t>West China Medical University, 1988</t>
  </si>
  <si>
    <t>Centre for,Addiction and Mental Health,Geriatric Outpatient Program,80 Workman Way,Toronto ON  M6J 1H4</t>
  </si>
  <si>
    <t>(416)535 8501</t>
  </si>
  <si>
    <t>3660 Midland Avenue,Unit 103,Scarborough ON  M1V 0B8,Canada,Phone:4162913883,County:City of Toronto,Electoral District:10</t>
  </si>
  <si>
    <t>Psychiatry||Effective: 18 May 2017||RCPSC Specialist
Geriatric Psychiatry||Effective: 18 Oct 2017||CPSO Recognized Specialist</t>
  </si>
  <si>
    <t>First certificate of registration issued: Restricted certificate||Effective:   08 Jun 2015
Terms and conditions imposed on certificate by Registration Committee||Effective:   08 Jun 2015
Expiry date attached to certificate of registration.||Expiry Date: 07 Jun 2018
Expired: Terms and conditions imposed on certificate by Registration Committee||Effective:   09 Feb 2017
Subsequent certificate of registration issued: Restricted certificate||Effective:   09 Feb 2017
Terms and conditions amended by Registration Committee||Effective:   14 Sep 2017
Terms and conditions amended by Registration Committee||Effective:   18 Oct 2017</t>
  </si>
  <si>
    <t>Dr. Li Chu Medicine Professional Corporation</t>
  </si>
  <si>
    <t>Issued Date:  Aug 13 2015</t>
  </si>
  <si>
    <t>Dr. L. Chu (CPSO# 106602)</t>
  </si>
  <si>
    <t>Centre for Addiction and Mental Health,Geriatric Outpatient Program,80 Workman Way,Toronto ON  M6J 1H4,(416) 535-8501
Mount Sinai Hospital,Mount Sinai Hospital,3660 Midland Avenue,Suite 103,Toronto ON  M1V 0B8,(416) 291-3883</t>
  </si>
  <si>
    <t>63312</t>
  </si>
  <si>
    <t xml:space="preserve">Active Member as of 11 Jan 1991 </t>
  </si>
  <si>
    <t xml:space="preserve">Independent Practice as of 07 Sep 2001 </t>
  </si>
  <si>
    <t>English, Farsi, Hindi, Panjabi/Punjabi, Urdu</t>
  </si>
  <si>
    <t>Punjab University, Pakistan, 1975</t>
  </si>
  <si>
    <t>Department of Psychiatry,Royal Victoria Hospital,201 Georgian Drive,Barrie ON  L4M 6M2</t>
  </si>
  <si>
    <t>(705) 728-9802 Ext. 47210</t>
  </si>
  <si>
    <t>First certificate of registration issued: Hospital Practice Certificate||Effective:   11 Jan 1991
Transfer of class of registration to: Independent Practice Certificate||Effective:   07 Sep 2001</t>
  </si>
  <si>
    <t>Liaqat Ali Medicine Professional Corporation</t>
  </si>
  <si>
    <t>Issued Date:  Aug 17 2006</t>
  </si>
  <si>
    <t>Dr. L. Ali (CPSO# 63312)</t>
  </si>
  <si>
    <t>111255</t>
  </si>
  <si>
    <t xml:space="preserve">Active Member as of 04 Jan 2017 </t>
  </si>
  <si>
    <t xml:space="preserve">Independent Practice as of 18 Jun 2018 </t>
  </si>
  <si>
    <t>University of Ottawa, 04 Jan 2017  to 30 Jun 2017|Elective Trainee - Psychiatry
University of Ottawa, 01 Jul 2017  to 30 Jun 2018|PostGrad Yr 6 - Child and Adolescent Psychiatry
University of Ottawa, 01 Jul 2018  to 30 Apr 2019|PostGrad Yr 6 - Child and Adolescent Psychiatry</t>
  </si>
  <si>
    <t>First certificate of registration issued: Postgraduate Education Certificate||Effective:   04 Jan 2017
Transfer of class of registration to: Independent Practice Certificate||Effective:   18 Jun 2018</t>
  </si>
  <si>
    <t>26451</t>
  </si>
  <si>
    <t>838 Fennell Avenue East,Hamilton ON  L8V 1V6</t>
  </si>
  <si>
    <t>(905) 389-6336</t>
  </si>
  <si>
    <t>(905) 389-6657</t>
  </si>
  <si>
    <t>71960</t>
  </si>
  <si>
    <t>West 3,569 Davis Drive,Newmarket ON  L3Y 2P9</t>
  </si>
  <si>
    <t>(905) 895-4529 Ext. 2242</t>
  </si>
  <si>
    <t>(416) 447-8608</t>
  </si>
  <si>
    <t>University of Toronto, 01 Oct 1997  to 31 Mar 1998|PostGrad Yr 5 - Psychiatry</t>
  </si>
  <si>
    <t>First certificate of registration issued: Postgraduate Education Certificate||Effective:   01 Oct 1997
Expired: Terms and conditions of certificate of registration||Expiry:      31 Mar 1998
Subsequent certificate of registration issued: Restricted certificate||Effective:   17 Jul 1998
Expired: Terms and conditions of certificate of registration||Expiry:      21 Jan 1999
Subsequent certificate of registration Issued: Independent Practice Certificate||Effective:   21 Jan 1999</t>
  </si>
  <si>
    <t>Liliana Ulic Medicine Professional Corporation</t>
  </si>
  <si>
    <t>Dr. L. Ulic (CPSO# 71960)</t>
  </si>
  <si>
    <t>Southlake Regional Health Centre,West 3, Suite 893,569 Davis Drive,Newmarket ON  L3Y 2P9,(905) 895-4521</t>
  </si>
  <si>
    <t>30848</t>
  </si>
  <si>
    <t xml:space="preserve">Active Member as of 28 Jun 1979 </t>
  </si>
  <si>
    <t xml:space="preserve">Independent Practice as of 28 Jun 1979 </t>
  </si>
  <si>
    <t>The University of Western Ontario, 1969</t>
  </si>
  <si>
    <t>436 Gilmour Street,Ottawa ON  K2P 0R8</t>
  </si>
  <si>
    <t>(613) 238-3909</t>
  </si>
  <si>
    <t>First certificate of registration issued: Independent Practice Certificate||Effective:   28 Jun 1979</t>
  </si>
  <si>
    <t>Linda Morse Medicine Professional Corporation</t>
  </si>
  <si>
    <t>Issued Date:  Nov 14 2011</t>
  </si>
  <si>
    <t>Dr. L. Morse (CPSO# 30848)</t>
  </si>
  <si>
    <t>Suite 301,436 Gilmour Street,Ottawa ON  K2P 0R8,(613) 238-3909</t>
  </si>
  <si>
    <t>76235</t>
  </si>
  <si>
    <t xml:space="preserve">Independent Practice as of 01 Nov 2006 </t>
  </si>
  <si>
    <t>Homewood Health Centre,Department of Psychiatry,150 Delhi Street,Guelph ON  N1E 6K9</t>
  </si>
  <si>
    <t>700 Coronation Blvd,Canada,Phone:519-740-4900,Fax:519-740-4936,County:Regional Municipality of Waterloo,Electoral District:03</t>
  </si>
  <si>
    <t>Cambridge Memorial Hospital:Cambridge
Guelph General Hospital:Guelph
Homewood Health Centre:Guelph</t>
  </si>
  <si>
    <t>Psychiatry||Effective: 31 Oct 2006||RCPSC Specialist</t>
  </si>
  <si>
    <t>McMaster University, 01 Jul 2001  to 30 Jun 2002|PostGrad Yr 1 - Psychiatry
McMaster University, 01 Jul 2002  to 30 Jun 2003|PostGrad Yr 2 - Psychiatry
McMaster University, 01 Jul 2003  to 30 Jun 2004|PostGrad Yr 3 - Psychiatry
McMaster University, 01 Jul 2004  to 31 Jan 2005|PostGrad Yr 3 - Psychiatry
McMaster University, 01 Feb 2005  to 31 Jan 2006|PostGrad Yr 4 - Psychiatry
McMaster University, 01 Feb 2006  to 31 Oct 2006|PostGrad Yr 5 - Psychiatry</t>
  </si>
  <si>
    <t>First certificate of registration issued: Postgraduate Education Certificate||Effective:   01 Jul 2001
Transfer of class of registration to: Independent Practice Certificate||Effective:   01 Nov 2006</t>
  </si>
  <si>
    <t>Dr. Linda McColl Medicine Professional Corporation</t>
  </si>
  <si>
    <t>Issued Date:  Sep 29 2014</t>
  </si>
  <si>
    <t>Dr. L. McColl (CPSO# 76235)</t>
  </si>
  <si>
    <t>700 Coronation Boulevard,Cambridge ON  N1R 3G2,(519) 621-2330
Homewood,Homewood,Department of Psychiatry,150 Delhi Street,Guelph ON  N1E 6K9,(519) 824-1010
115 Delhi Street,115 Delhi Street,Guelph ON  N1E 4J4,(519) 822-5350</t>
  </si>
  <si>
    <t>64558</t>
  </si>
  <si>
    <t>Geriatric Psychiatry,Community Services of Ottawa,Room 131Y,75 Bruyere Street,Ottawa ON  K1N 5C8</t>
  </si>
  <si>
    <t>(613) 562-0283</t>
  </si>
  <si>
    <t>(613) 562-0259</t>
  </si>
  <si>
    <t>University of Ottawa, 01 Jul 1996  to 30 Jun 1997|Clinical Fellow - Psychiatry</t>
  </si>
  <si>
    <t>Linda Gobessi Medicine Professional Corporation</t>
  </si>
  <si>
    <t>Issued Date:  Jun 26 2008</t>
  </si>
  <si>
    <t>Dr. L. Gobessi (CPSO# 64558)</t>
  </si>
  <si>
    <t>Geriatric Psychiatry,Community Services of Ottawa,129Y-131Y - 75 Bruyere Street,Ottawa ON  K1N 5C7,(613) 562-0283</t>
  </si>
  <si>
    <t>50803</t>
  </si>
  <si>
    <t xml:space="preserve">Independent Practice as of 03 Feb 1987 </t>
  </si>
  <si>
    <t>(613) 233-8271</t>
  </si>
  <si>
    <t>University of Toronto, 14 Jun 1982  to 13 Jun 1983|Other - Comprehensive Internship
University of Toronto, 01 Jul 1983  to 30 Jun 1984|Resident 2 - Family Medicine
University of Toronto, 01 Jul 1985  to 30 Jun 1986|Resident 1 - Psychiatry
University of Toronto, 01 Jul 1986  to 30 Jun 1987|Resident 2 - Psychiatry
University of Toronto, 01 Jul 1988  to 31 Dec 1988|Resident 4 - Psychiatry</t>
  </si>
  <si>
    <t>First certificate of registration issued: Postgraduate Education Certificate||Effective:   14 Jun 1982
Expired: Terms and conditions of certificate of registration||Expiry:      30 Jun 1984
Subsequent certificate of registration Issued: Postgraduate Education Certificate||Effective:   01 Jul 1985
Transfer of class of registration to: Independent Practice Certificate||Effective:   03 Feb 1987</t>
  </si>
  <si>
    <t>74271</t>
  </si>
  <si>
    <t xml:space="preserve">Active Member as of 03 Sep 1999 </t>
  </si>
  <si>
    <t xml:space="preserve">Independent Practice as of 03 Sep 1999 </t>
  </si>
  <si>
    <t>Baycrest Hospital,Department of Psychiatry,3560 Bathurst Street,Toronto ON  M6A 2E1</t>
  </si>
  <si>
    <t>(416) 785-2500 Ext. 2747</t>
  </si>
  <si>
    <t>(416) 785-2484</t>
  </si>
  <si>
    <t>First certificate of registration issued: Independent Practice Certificate||Effective:   03 Sep 1999</t>
  </si>
  <si>
    <t>84771</t>
  </si>
  <si>
    <t xml:space="preserve">Active Member as of 19 Aug 2011 </t>
  </si>
  <si>
    <t xml:space="preserve">Independent Practice as of 19 Aug 2011 </t>
  </si>
  <si>
    <t>C P R I,600 Sanatorium Road,London ON  N6H 3W7</t>
  </si>
  <si>
    <t>(519) 858-2774 Ext. 2919</t>
  </si>
  <si>
    <t>McMaster University, 01 Jul 2006  to 28 Feb 2007|PostGrad Yr 1 - Family Medicine
McMaster University, 01 Mar 2007  to 30 Jun 2007|PostGrad Yr 1 - Psychiatry
McMaster University, 01 Jul 2007  to 30 Jun 2008|PostGrad Yr 2 - Psychiatry
McMaster University, 01 Jul 2008  to 30 Jun 2009|PostGrad Yr 3 - Psychiatry
McMaster University, 01 Jul 2009  to 30 Jun 2010|PostGrad Yr 4 - Psychiatry
McMaster University, 01 Jul 2010  to 30 Jun 2011|PostGrad Yr 5 - Psychiatry</t>
  </si>
  <si>
    <t>First certificate of registration issued: Postgraduate Education Certificate||Effective:   01 Jul 2006
Expired: Terms and conditions of certificate of registration||Expiry:      30 Jun 2011
Subsequent certificate of registration Issued: Independent Practice Certificate||Effective:   19 Aug 2011</t>
  </si>
  <si>
    <t>53017</t>
  </si>
  <si>
    <t xml:space="preserve">Independent Practice as of 09 Oct 1985 </t>
  </si>
  <si>
    <t>Dalhousie University, 1983</t>
  </si>
  <si>
    <t>(519) 464-4500</t>
  </si>
  <si>
    <t>First certificate of registration issued: Postgraduate Education Certificate||Effective:   15 Jun 1983
Transfer of class of registration to: Independent Practice Certificate||Effective:   09 Oct 1985</t>
  </si>
  <si>
    <t>Dr. Linda Susan Hussey Medicine Professional Corporation</t>
  </si>
  <si>
    <t>Dr. L. Hussey (CPSO# 53017)</t>
  </si>
  <si>
    <t>31590</t>
  </si>
  <si>
    <t xml:space="preserve">Active Member as of 26 May 1999 </t>
  </si>
  <si>
    <t xml:space="preserve">Independent Practice as of 26 May 1999 </t>
  </si>
  <si>
    <t>Cohen, Linda Susan (used until: 27 Apr 1999 )</t>
  </si>
  <si>
    <t>The Promenade,1 Promenade Circle,Suite 302,Thornhill ON  L4J 4P8</t>
  </si>
  <si>
    <t>(905) 762-0526</t>
  </si>
  <si>
    <t>(905) 762-0527</t>
  </si>
  <si>
    <t>McMaster University, 01 Jul 1977  to 30 Jun 1978|Resident 2 - Psychiatry
McMaster University, 01 Jul 1978  to 30 Jun 1979|Resident 3 - Psychiatry
McMaster University, 01 Jul 1979  to 30 Jun 1980|Resident 4 - Psychiatry</t>
  </si>
  <si>
    <t>First certificate of registration issued: Postgraduate Education Certificate||Effective:   06 Jul 1976
Transfer of class of registration to: Independent Practice Certificate||Effective:   20 Jun 1980
Expired: Resigned from membership.||Expiry:      31 May 1984
Subsequent certificate of registration Issued: Independent Practice Certificate||Effective:   26 May 1999</t>
  </si>
  <si>
    <t>Saffer Medicine Professional Corporation</t>
  </si>
  <si>
    <t>Issued Date:  Mar 09 2007</t>
  </si>
  <si>
    <t>Dr. L. Saffer (CPSO# 31590),Dr. M. Saffer (CPSO# 28170)</t>
  </si>
  <si>
    <t>The Promenade,302 - 1 Promenade Circle,Thornhill ON  L4J 4P8,(905) 762-0525</t>
  </si>
  <si>
    <t>98781</t>
  </si>
  <si>
    <t>Toronto Western Hospital,Department of Psychiatry,399 Bathurst Street,Toronto ON  M5T 2S8</t>
  </si>
  <si>
    <t>4166035800 Ext. 3996</t>
  </si>
  <si>
    <t>68912</t>
  </si>
  <si>
    <t>123 James Street North,Hamilton ON  L8R 2K8</t>
  </si>
  <si>
    <t>(905) 667-4848</t>
  </si>
  <si>
    <t>(905) 667-4873</t>
  </si>
  <si>
    <t>32742</t>
  </si>
  <si>
    <t xml:space="preserve">Active Member as of 23 Jul 1981 </t>
  </si>
  <si>
    <t>OATC,500 Queen Street East,Sault Ste Marie ON  P6A 2A1,Canada,Phone:(705) 759-8080,County:Territorial District of Algoma,Electoral District:08
Algoma Treatment and,Remand Centre,800 Great Northern Road,Sault Ste Marie ON  P6B 0B5,Canada,County:Territorial District of Algoma,Electoral District:08</t>
  </si>
  <si>
    <t>The University of Western Ontario, 01 Jul 1995  to 30 Jun 1996|Resident 4 - Psychiatry
The University of Western Ontario, 01 Jul 1996  to 31 Dec 1996|Resident 4 - Psychiatry</t>
  </si>
  <si>
    <t>Lino A. Pistor Medicine Professional Corporation</t>
  </si>
  <si>
    <t>Issued Date:  Jun 27 2007</t>
  </si>
  <si>
    <t>Dr. L. Pistor (CPSO# 32742)</t>
  </si>
  <si>
    <t>Sault Area Hospital,750 Great Northern Road,Sault Ste Marie ON  P6B 0A8,(705) 759-3434
800 Great Northern Road,800 Great Northern Road,Sault Ste Marie ON  P6B 0B5
500 Queen Street East,500 Queen Street East,Sault Ste Marie ON  P6A 2A1,(705) 759-8080</t>
  </si>
  <si>
    <t>65761</t>
  </si>
  <si>
    <t xml:space="preserve">Independent Practice as of 08 Jul 1992 </t>
  </si>
  <si>
    <t>University of Pretoria, 1985</t>
  </si>
  <si>
    <t>Department of Psychiatry,Sunnybrook Health Sciences Centre,Room FG-52,2075 Bayview Avenue,North York ON  M4N 3M5</t>
  </si>
  <si>
    <t>(416) 480-4070</t>
  </si>
  <si>
    <t>First certificate of registration issued: Independent Practice Certificate||Effective:   08 Jul 1992</t>
  </si>
  <si>
    <t>54575</t>
  </si>
  <si>
    <t xml:space="preserve">Active Member as of 06 Aug 2010 </t>
  </si>
  <si>
    <t xml:space="preserve">Independent Practice as of 06 Aug 2010 </t>
  </si>
  <si>
    <t>CAMH,100 Stokes Street,Toronto ON  M6J 1H4</t>
  </si>
  <si>
    <t>(416) 535-8501 Ext. 23636</t>
  </si>
  <si>
    <t>Centre for Addiction &amp; Mental Health,Queen Street Site:Toronto
Sault Area Hospital:Sault Ste Marie</t>
  </si>
  <si>
    <t>First certificate of registration issued: Postgraduate Education Certificate||Effective:   01 Jul 1984
Transfer of class of registration to: Independent Practice Certificate||Effective:   30 Jul 1987
Expired: Resigned from membership.||Expiry:      29 Jun 2009
Subsequent certificate of registration Issued: Independent Practice Certificate||Effective:   06 Aug 2010</t>
  </si>
  <si>
    <t>L. Trevor Young Medicine Professional Corporation</t>
  </si>
  <si>
    <t>Issued Date:  Mar 28 2014</t>
  </si>
  <si>
    <t>Dr. L. Young (CPSO# 54575)</t>
  </si>
  <si>
    <t>CAMH,100 Stokes Street,Toronto ON  M6J 1H4,(416) 535-8501</t>
  </si>
  <si>
    <t>68945</t>
  </si>
  <si>
    <t>Ramshaw, Anna Louise (used until: 02 May 2010 )</t>
  </si>
  <si>
    <t>Ctre for Addiction &amp; Mental Health,Forensic Service,1001 Queen Street West,Toronto ON  M6J 1H4</t>
  </si>
  <si>
    <t>(416) 535-8501 Ext. 32471</t>
  </si>
  <si>
    <t>L. Ramshaw Medicine Professional Corporation</t>
  </si>
  <si>
    <t>Issued Date:  May 26 2010</t>
  </si>
  <si>
    <t>Dr. L. Ramshaw (CPSO# 68945)</t>
  </si>
  <si>
    <t>Centre for Addiction and Mental Health,Forensic Service,1001 Queen Street West,Units 3-4,Toronto ON  M6J 1H4,(416) 535-8501</t>
  </si>
  <si>
    <t>67862</t>
  </si>
  <si>
    <t xml:space="preserve">Independent Practice as of 14 Dec 1999 </t>
  </si>
  <si>
    <t>The University of Western Ontario, 1994</t>
  </si>
  <si>
    <t>430 Waterloo St.,London ON  N6B 2P2</t>
  </si>
  <si>
    <t>(519) 679-3200</t>
  </si>
  <si>
    <t>(519) 679-3201</t>
  </si>
  <si>
    <t>The University of Western Ontario, 01 Jul 1994  to 30 Jun 1995|PostGrad Yr 1 - Psychiatry
The University of Western Ontario, 01 Jul 1995  to 30 Jun 1996|Resident 1 - Psychiatry
The University of Western Ontario, 01 Jul 1996  to 30 Jun 1997|PostGrad Yr 3 - Psychiatry
The University of Western Ontario, 01 Jul 1997  to 31 Jul 1997|PostGrad Yr 3 - Psychiatry
The University of Western Ontario, 01 Aug 1997  to 30 Jun 1998|PostGrad Yr 4 - Psychiatry
The University of Western Ontario, 01 Jul 1998  to 31 Jul 1998|PostGrad Yr 4 - Psychiatry
The University of Western Ontario, 01 Aug 1998  to 30 Jun 1999|PostGrad Yr 5 - Psychiatry
The University of Western Ontario, 01 Jul 1999  to 31 Jul 1999|PostGrad Yr 5 - Psychiatry
The University of Western Ontario, 01 Aug 1999  to 31 Dec 1999|Clinical Fellow - Psychiatry</t>
  </si>
  <si>
    <t>First certificate of registration issued: Postgraduate Education Certificate||Effective:   01 Jul 1994
Transfer of class of registration to: Independent Practice Certificate||Effective:   14 Dec 1999</t>
  </si>
  <si>
    <t>74583</t>
  </si>
  <si>
    <t xml:space="preserve">Active Member as of 30 Mar 2000 </t>
  </si>
  <si>
    <t xml:space="preserve">Independent Practice as of 30 Mar 2000 </t>
  </si>
  <si>
    <t>First certificate of registration issued: Independent Practice Certificate||Effective:   30 Mar 2000</t>
  </si>
  <si>
    <t>Lisa McMurray Medicine Professional Corporation</t>
  </si>
  <si>
    <t>Issued Date:  Jul 10 2012</t>
  </si>
  <si>
    <t>Dr. L. McMurray (CPSO# 74583)</t>
  </si>
  <si>
    <t>55689</t>
  </si>
  <si>
    <t>958 Carlaw Avenue,Toronto ON  M4K 3M1</t>
  </si>
  <si>
    <t>(416) 466-0937</t>
  </si>
  <si>
    <t>(416) 423-7353</t>
  </si>
  <si>
    <t>303 Pediatrics,Suite 303,89 Humber College Boulevard,Toronto ON  M9V 4B8,Canada,Phone:(416) 466-0937,Fax:(416) 423-7353,County:City of Toronto,Electoral District:10
South Riverdale Community,Health Centre,955 Queen Street East,Toronto ON  M4M 3P3,Canada,Phone:(416) 461-2493,Fax:(416) 423-7353,County:City of Toronto,Electoral District:10</t>
  </si>
  <si>
    <t>University of Toronto, 17 Jun 1985  to 16 Jun 1986|Other - Comprehensive Internship
University of Toronto, 01 Jul 1986  to 30 Jun 1987|Resident 1 - Psychiatry
University of Toronto, 01 Jul 1987  to 30 Jun 1988|Resident 2 - Psychiatry
University of Toronto, 01 Jul 1988  to 30 Jun 1989|Resident 3 - Psychiatry
University of Toronto, 01 Jul 1989  to 30 Jun 1990|Resident 4 - Psychiatry</t>
  </si>
  <si>
    <t>70267</t>
  </si>
  <si>
    <t>Department of Psychiatry,Mount Sinai Hospital,600 University Avenue 9th Floor,Toronto ON  M5G 1X5</t>
  </si>
  <si>
    <t>(416) 586-4800 Ext. 4514</t>
  </si>
  <si>
    <t>Centre of Addiction &amp; Mental Health,- College Street Site:Toronto
Mount Sinai Hospital:Toronto
St Michael's Hospital:Toronto</t>
  </si>
  <si>
    <t>59987</t>
  </si>
  <si>
    <t>McGill University, 1984</t>
  </si>
  <si>
    <t>Psychiatry||Effective: 16 Jun 1988||RCPSC Specialist</t>
  </si>
  <si>
    <t>59941</t>
  </si>
  <si>
    <t>240 Glengrove Avenue West,Toronto ON  M4R 1P3</t>
  </si>
  <si>
    <t>(416) 482-4518</t>
  </si>
  <si>
    <t>Mount Sinai Hospital,600 University Avenue,Toronto,Toronto ON  M5G 1X5,Canada,Phone:4165864800 Ext. 8374,County:City of Toronto,Electoral District:10</t>
  </si>
  <si>
    <t>First certificate of registration issued: Postgraduate Education Certificate||Effective:   01 Jul 1988
Transfer of class of registration to: Independent Practice Certificate||Effective:   10 Jul 1989</t>
  </si>
  <si>
    <t>28030</t>
  </si>
  <si>
    <t xml:space="preserve">Active Member as of 28 Jan 1976 </t>
  </si>
  <si>
    <t xml:space="preserve">Independent Practice as of 28 Jan 1976 </t>
  </si>
  <si>
    <t>St Joseph's Care Group,35 N Algoma St,Thunder Bay ON  P7B5G7</t>
  </si>
  <si>
    <t>(807) 343-4367</t>
  </si>
  <si>
    <t>(807) 345-4994</t>
  </si>
  <si>
    <t>290 Munro Street,Thunder Bay ON  P7A7T1,Canada,Phone:807 684-7980,Fax:807 683-4360,County:District of Thunder Bay,Electoral District:09</t>
  </si>
  <si>
    <t>First certificate of registration issued: Postgraduate Education Certificate||Effective:   14 Jun 1974
Transfer of class of registration to: Independent Practice Certificate||Effective:   28 Jan 1976</t>
  </si>
  <si>
    <t>114525</t>
  </si>
  <si>
    <t xml:space="preserve">Active Member as of 01 Mar 2018 </t>
  </si>
  <si>
    <t xml:space="preserve">Restricted as of 01 Mar 2018 </t>
  </si>
  <si>
    <t>Guntur Medical College, 1999</t>
  </si>
  <si>
    <t>Hotel Dieu Hospital,Child &amp; Youth Mental Health,Brock 5,166 Brock Street,Kingston ON  K7L 5G2</t>
  </si>
  <si>
    <t>(613) 544-3400 Ext. 2508</t>
  </si>
  <si>
    <t>Child and Adolescent Psychiatry||Effective: 01 Mar 2018||CPSO Recognized Specialist</t>
  </si>
  <si>
    <t>First certificate of registration issued: Restricted certificate||Effective:   01 Mar 2018
Terms and conditions imposed on certificate by Registration Committee||Effective:   01 Mar 2018
Expiry date attached to certificate of registration.||Expiry Date: 30 Jun 2021</t>
  </si>
  <si>
    <t>86228</t>
  </si>
  <si>
    <t>Womens College Hospital,76 Grenville Street,Toronto ON  M5S 1B2</t>
  </si>
  <si>
    <t>(416) 323-6400 Ext. 3044</t>
  </si>
  <si>
    <t>416-323-6356</t>
  </si>
  <si>
    <t>Lori Wasserman Medicine Professional Corporation</t>
  </si>
  <si>
    <t>Issued Date:  Aug 17 2012</t>
  </si>
  <si>
    <t>Dr. L. Wasserman (CPSO# 86228)</t>
  </si>
  <si>
    <t>Women's College Hospital,76 Grenville Street,Toronto ON  M5S 1B2,(416) 323-6400</t>
  </si>
  <si>
    <t>50552</t>
  </si>
  <si>
    <t>23 Chiltern Hill Road,Toronto ON  M6C 3B4</t>
  </si>
  <si>
    <t>(416) 787-9569</t>
  </si>
  <si>
    <t>First certificate of registration issued: Postgraduate Education Certificate||Effective:   14 Jun 1982
Transfer of class of registration to: Independent Practice Certificate||Effective:   29 Nov 1985</t>
  </si>
  <si>
    <t>81078</t>
  </si>
  <si>
    <t xml:space="preserve">Active Member as of 28 Aug 2012 </t>
  </si>
  <si>
    <t xml:space="preserve">Independent Practice as of 28 Aug 2012 </t>
  </si>
  <si>
    <t>St. Joseph's Health Centre,30 The Queensway,5M-27,Toronto ON  M6R 1B5</t>
  </si>
  <si>
    <t>(416) 530-6591</t>
  </si>
  <si>
    <t>University of Toronto, 01 Jul 2004  to 30 Jun 2005|PostGrad Yr 1 - Family Medicine
University of Toronto, 01 Jul 2005  to 30 Jun 2006|PostGrad Yr 2 - Psychiatry
University of Toronto, 01 Jul 2006  to 30 Jun 2007|PostGrad Yr 2 - Psychiatry
University of Toronto, 01 Jul 2007  to 30 Jun 2008|PostGrad Yr 3 - Psychiatry
University of Toronto, 01 Jul 2008  to 30 Jun 2009|PostGrad Yr 3 - Psychiatry
University of Toronto, 01 Jul 2009  to 30 Jun 2010|PostGrad Yr 4 - Psychiatry
University of Toronto, 01 Jul 2010  to 30 Jun 2011|PostGrad Yr 5 - Psychiatry
University of Toronto, 01 Jul 2011  to 31 May 2012|PostGrad Yr 5 - Psychiatry</t>
  </si>
  <si>
    <t>First certificate of registration issued: Postgraduate Education Certificate||Effective:   01 Jul 2004
Expired: Terms and conditions of certificate of registration||Expiry:      31 May 2012
Subsequent certificate of registration Issued: Independent Practice Certificate||Effective:   28 Aug 2012</t>
  </si>
  <si>
    <t>Dr. Lori Weisberg Medicine Professional Corporation</t>
  </si>
  <si>
    <t>Issued Date:  Nov 20 2013</t>
  </si>
  <si>
    <t>Dr. L. Weisberg (CPSO# 81078)</t>
  </si>
  <si>
    <t>St. Joseph's Health Centre,Suite 5M-27,30 The Queensway,Toronto ON  M6R 1B5,(416) 530-6519
305 - 124 Merton Street,305 - 124 Merton Street,Toronto ON  M4S 1A1</t>
  </si>
  <si>
    <t>91026</t>
  </si>
  <si>
    <t xml:space="preserve">Independent Practice as of 31 Dec 2014 </t>
  </si>
  <si>
    <t>5197494300 Ext. 2313</t>
  </si>
  <si>
    <t>McMaster University, 01 Jul 2009  to 30 Jun 2010|PostGrad Yr 1 - Psychiatry
McMaster University, 01 Jul 2010  to 30 Jun 2011|PostGrad Yr 2 - Psychiatry
McMaster University, 01 Jul 2011  to 30 Jun 2012|PostGrad Yr 3 - Psychiatry
McMaster University, 01 Jul 2012  to 30 Jun 2013|PostGrad Yr 4 - Psychiatry
McMaster University, 01 Jul 2013  to 31 Dec 2013|PostGrad Yr 4 - Psychiatry
McMaster University, 01 Jan 2014  to 30 Jun 2014|PostGrad Yr 5 - Psychiatry
McMaster University, 01 Jul 2014  to 31 Dec 2014|PostGrad Yr 5 - Psychiatry</t>
  </si>
  <si>
    <t>First certificate of registration issued: Postgraduate Education Certificate||Effective:   01 Jul 2009
Transfer of class of registration to: Independent Practice Certificate||Effective:   31 Dec 2014</t>
  </si>
  <si>
    <t>Dr. Lori-Anne Williams Medicine Professional Corporation</t>
  </si>
  <si>
    <t>Issued Date:  Feb 13 2015</t>
  </si>
  <si>
    <t>Dr. L. Williams (CPSO# 91026)</t>
  </si>
  <si>
    <t>Grand River Hospital,Department of Psychiatry,835 King Street West,Kitchener ON  N2G 1G3,(519) 749-4300</t>
  </si>
  <si>
    <t>22773</t>
  </si>
  <si>
    <t xml:space="preserve">Active Member as of 18 Jun 1970 </t>
  </si>
  <si>
    <t xml:space="preserve">Independent Practice as of 18 Jun 1970 </t>
  </si>
  <si>
    <t>First certificate of registration issued: Postgraduate Education Certificate||Effective:   01 Jul 1965
Expired: Terms and conditions of certificate of registration||Expiry:      30 Jun 1966
Transfer of class of registration to: Independent Practice Certificate||Effective:   18 Jun 1970</t>
  </si>
  <si>
    <t>102366</t>
  </si>
  <si>
    <t xml:space="preserve">Active Member as of 27 Nov 2013 </t>
  </si>
  <si>
    <t xml:space="preserve">Independent Practice as of 27 Nov 2013 </t>
  </si>
  <si>
    <t>176 Lakeshore Drive,Suite 15,North Bay ON  P1A 2A8</t>
  </si>
  <si>
    <t>(705) 478-0810</t>
  </si>
  <si>
    <t>7054786468</t>
  </si>
  <si>
    <t>Psychiatry||Effective: 06 Oct 2013||RCPSC Specialist</t>
  </si>
  <si>
    <t>First certificate of registration issued: Independent Practice Certificate||Effective:   27 Nov 2013</t>
  </si>
  <si>
    <t>60720</t>
  </si>
  <si>
    <t>4001 Leslie Street,8 North,North York ON  M2K 1E1</t>
  </si>
  <si>
    <t>University of Toronto, 12 Jun 1989  to 11 Jun 1990|Other - Rotating Internship
University of Toronto, 01 Jul 1991  to 30 Jun 1992|Resident 1 - Psychiatry
University of Toronto, 01 Jul 1992  to 30 Jun 1993|Resident 2 - Psychiatry
University of Toronto, 01 Jul 1993  to 30 Jun 1994|Resident 3 - Psychiatry
University of Toronto, 01 Jul 1994  to 30 Jun 1995|Resident 4 - Psychiatry
University of Toronto, 01 Jul 1995  to 30 Jun 1996|Clinical Fellow - Psychiatry</t>
  </si>
  <si>
    <t>Lorne Tugg Medicine Professional Corporation</t>
  </si>
  <si>
    <t>Issued Date:  Nov 07 2007</t>
  </si>
  <si>
    <t>Dr. L. Tugg (CPSO# 60720)</t>
  </si>
  <si>
    <t>4001 Leslie Street,North York ON  M2K 1E1,(416) 756-6655</t>
  </si>
  <si>
    <t>56675</t>
  </si>
  <si>
    <t xml:space="preserve">Independent Practice as of 17 Mar 1989 </t>
  </si>
  <si>
    <t>University of Padova, 1985</t>
  </si>
  <si>
    <t>55 Stadacona Drive,Toronto ON  M3H 2Z8</t>
  </si>
  <si>
    <t>(416) 484-0446</t>
  </si>
  <si>
    <t>700 Gordon Street,Whitby Ontario,L1N 3S5,Whitby ON  L1N 3S5,Canada,Phone:(905) 668-5881 Ext. 6696,County:Regional Municipality of Durham,Electoral District:05</t>
  </si>
  <si>
    <t>First certificate of registration issued: Postgraduate Education Certificate||Effective:   16 Jun 1986
Transfer of class of registration to: Independent Practice Certificate||Effective:   17 Mar 1989</t>
  </si>
  <si>
    <t>Dr. Lorne Chapman Medicine Professional Corporation</t>
  </si>
  <si>
    <t>Issued Date:  Feb 08 2011</t>
  </si>
  <si>
    <t>Dr. L. Chapman (CPSO# 56675)</t>
  </si>
  <si>
    <t>FCRU,700 Gordon Street,Whitby ON  L1N 5S9,(905) 430-4055
55 Stadacona Drive,55 Stadacona Drive,Toronto ON  M3H 2Z8,(416) 484-0446</t>
  </si>
  <si>
    <t>56967</t>
  </si>
  <si>
    <t xml:space="preserve">Independent Practice as of 24 Nov 1987 </t>
  </si>
  <si>
    <t>Suite 400,723 Rymal Road West,Hamilton ON  L9B 2W2</t>
  </si>
  <si>
    <t>(905) 522-1384</t>
  </si>
  <si>
    <t>(905) 522-2738</t>
  </si>
  <si>
    <t>First certificate of registration issued: Postgraduate Education Certificate||Effective:   01 Jul 1986
Transfer of class of registration to: Independent Practice Certificate||Effective:   24 Nov 1987</t>
  </si>
  <si>
    <t>52415</t>
  </si>
  <si>
    <t>Credit Valley Hospital,2200 Eglinton Avenue West,Mississauga ON  L5M 2N1</t>
  </si>
  <si>
    <t>First certificate of registration issued: Postgraduate Education Certificate||Effective:   01 Jul 1983
Transfer of class of registration to: Independent Practice Certificate||Effective:   19 Jul 1984</t>
  </si>
  <si>
    <t>87177</t>
  </si>
  <si>
    <t xml:space="preserve">Active Member as of 27 Jun 2007 </t>
  </si>
  <si>
    <t xml:space="preserve">Restricted as of 27 Jun 2007 </t>
  </si>
  <si>
    <t>State University of Haiti, 1976</t>
  </si>
  <si>
    <t>4801 South University Drive , 239,The Atrium,Davie, FL3 3028,Davie FL  33028,United States</t>
  </si>
  <si>
    <t>(954)249-1984</t>
  </si>
  <si>
    <t>SAH General Hosp of Sault Ste Marie,Department of Psychiatry,969 Queen Street East,Sault Ste Marie ON  P6B 0A8,Canada,Phone:(705) 759-3434 Ext. 4615,County:Territorial District of Algoma,Electoral District:08</t>
  </si>
  <si>
    <t>New Brunswick
USA - Florida
USA - New York</t>
  </si>
  <si>
    <t>Psychiatry||Effective: 27 Jun 2007||CPSO Recognized Specialist</t>
  </si>
  <si>
    <t>First certificate of registration issued: Restricted certificate||Effective:   27 Jun 2007
Terms and conditions imposed on certificate by Registration Committee||Effective:   27 Jun 2007
Expiry date attached to certificate of registration.||Expiry Date: 26 Dec 2008
Terms and conditions amended by Registration Committee||Effective:   19 Nov 2008
Terms and conditions amended by Registration Committee||Effective:   19 Nov 2008</t>
  </si>
  <si>
    <t>L. B. Antoine Medicine Professional Corporation</t>
  </si>
  <si>
    <t>Inactive: Dec  2 2011</t>
  </si>
  <si>
    <t>113917</t>
  </si>
  <si>
    <t xml:space="preserve">Active Member as of 18 Sep 2017 </t>
  </si>
  <si>
    <t xml:space="preserve">Independent Practice as of 18 Sep 2017 </t>
  </si>
  <si>
    <t>University of Port Harcourt, 2000</t>
  </si>
  <si>
    <t>Grey Bruce Health Services,Owen Sound Hospital,1800 8th Street East,Owen Sound ON  N4K 6M9</t>
  </si>
  <si>
    <t>5193762121</t>
  </si>
  <si>
    <t>First certificate of registration issued: Independent Practice Certificate||Effective:   18 Sep 2017</t>
  </si>
  <si>
    <t>Dr. Louis Obikaonu Medicine Professional Corporation</t>
  </si>
  <si>
    <t>Issued Date:  Jan 29 2018</t>
  </si>
  <si>
    <t>Dr. L. Obikaonu (CPSO# 113917)</t>
  </si>
  <si>
    <t>Grey Bruce Health Services,Owen Sound Hospital,1800 8th Street East,Owen Sound ON  N4K 6M9,(519) 376-2121</t>
  </si>
  <si>
    <t>63032</t>
  </si>
  <si>
    <t xml:space="preserve">Active Member as of 14 Aug 1990 </t>
  </si>
  <si>
    <t xml:space="preserve">Independent Practice as of 14 Aug 1990 </t>
  </si>
  <si>
    <t>The University of British Columbia, 1988</t>
  </si>
  <si>
    <t>Psychiatry||Effective: 31 Dec 1994||RCPSC Specialist</t>
  </si>
  <si>
    <t>First certificate of registration issued: Independent Practice Certificate||Effective:   14 Aug 1990</t>
  </si>
  <si>
    <t>Louis Soucy Medicine Professional Corporation</t>
  </si>
  <si>
    <t>Dr. L. Soucy (CPSO# 63032)</t>
  </si>
  <si>
    <t>1145 Carling Avenue,Ottawa ON  K1Z 7K4,(613) 722-6521</t>
  </si>
  <si>
    <t>74267</t>
  </si>
  <si>
    <t xml:space="preserve">Active Member as of 01 Sep 1999 </t>
  </si>
  <si>
    <t xml:space="preserve">Independent Practice as of 01 Sep 1999 </t>
  </si>
  <si>
    <t>University of Pretoria, 1974</t>
  </si>
  <si>
    <t>Sleep &amp; Alertness Clinic,790 Bay Street,Suite 800,P.O. Box 32,Toronto ON  M5G 1N8</t>
  </si>
  <si>
    <t>(416) 837-8181 Ext. 203</t>
  </si>
  <si>
    <t>(647) 427-4928</t>
  </si>
  <si>
    <t>Psychiatry||Effective: 11 Jun 1991||RCPSC Specialist</t>
  </si>
  <si>
    <t>University of Toronto, 01 Jul 2010  to 31 Oct 2010|Clinical Fellow - Psychiatry</t>
  </si>
  <si>
    <t>First certificate of registration issued: Independent Practice Certificate||Effective:   01 Sep 1999</t>
  </si>
  <si>
    <t>Louis T. Van Zyl Medicine Professional Corporation</t>
  </si>
  <si>
    <t>Dr. L. Van Zyl (CPSO# 74267)</t>
  </si>
  <si>
    <t>Sleep &amp; Alertness Clinic,790 Bay Street,Suite 950,Toronto ON  M5G 1N8,(416) 837-8181</t>
  </si>
  <si>
    <t>71586</t>
  </si>
  <si>
    <t xml:space="preserve">Active Member as of 19 Jun 1997 </t>
  </si>
  <si>
    <t xml:space="preserve">Independent Practice as of 19 Jun 1997 </t>
  </si>
  <si>
    <t>University of Sherbrooke, 1985</t>
  </si>
  <si>
    <t>Geriatric Psychiatry Community,Services of Ottawa,Room 131 Y,75 Bruyere Street,Ottawa ON  K1N 5C7</t>
  </si>
  <si>
    <t>Sisters of Charity Health Services,43 Bruyere,Ottawa ON  K1N 5C8,Canada,Phone:(613) 562-6262,Fax:(613) 562-0259,County:Regional Municipality of Ottawa-Carleton,Electoral District:07</t>
  </si>
  <si>
    <t>Psychiatry||Effective: 12 Nov 1990||RCPSC Specialist</t>
  </si>
  <si>
    <t>First certificate of registration issued: Independent Practice Certificate||Effective:   19 Jun 1997</t>
  </si>
  <si>
    <t>Louise Carrier Medicine Professional Corporation</t>
  </si>
  <si>
    <t>Issued Date:  Oct 13 2006</t>
  </si>
  <si>
    <t>Dr. L. Carrier (CPSO# 71586)</t>
  </si>
  <si>
    <t>Geriatric Psychiatry Community Services of Ottawa,131Y - 75 Bruyere Street,Ottawa ON  K1N 5C7,(613) 562-0283
43 Bruyere Street,43 Bruyere Street,Ottawa ON  K1N 5C8,(613) 562-6262</t>
  </si>
  <si>
    <t>57303</t>
  </si>
  <si>
    <t xml:space="preserve">Independent Practice as of 19 Feb 1987 </t>
  </si>
  <si>
    <t>University of Montreal, 1985</t>
  </si>
  <si>
    <t>Providence Continuing Care Centre,- Mental Health Services,752 King Street West,Postal Bag 603,Kingston ON  K7L 4X3</t>
  </si>
  <si>
    <t>613 544-4900 Ext. 53503</t>
  </si>
  <si>
    <t>Queen's University, 01 Jul 1989  to 30 Jun 1990|Resident 4 - Psychiatry</t>
  </si>
  <si>
    <t>First certificate of registration issued: Postgraduate Education Certificate||Effective:   01 Jul 1986
Transfer of class of registration to: Independent Practice Certificate||Effective:   19 Feb 1987</t>
  </si>
  <si>
    <t>Louise Teitelbaum Medicine Professional Corporation</t>
  </si>
  <si>
    <t>Issued Date:  Mar 27 2008</t>
  </si>
  <si>
    <t>Dr. L. Teitelbaum (CPSO# 57303)</t>
  </si>
  <si>
    <t>Providence Continuing Care Centre,Postal Bag 603,752 King Street West,Kingston ON  K7L 4X3,(613) 546-1101</t>
  </si>
  <si>
    <t>32260</t>
  </si>
  <si>
    <t xml:space="preserve">Active Member as of 01 Apr 1981 </t>
  </si>
  <si>
    <t xml:space="preserve">Independent Practice as of 01 Apr 1981 </t>
  </si>
  <si>
    <t>The University of British Columbia, 1976</t>
  </si>
  <si>
    <t>875 University Ave East  Unit #30,Waterloo ON  N2K 0A1</t>
  </si>
  <si>
    <t>226-647-5009</t>
  </si>
  <si>
    <t>226-647-5209</t>
  </si>
  <si>
    <t>CMHAWWD,80 waterloo  Street,Guelph ON  N1E 4J3,Canada,Phone:(519) 576-2333,Fax:(519) 576-8980,County:County of Wellington,Electoral District:03
CMHAWW,Suite 202,130 Weber Street West,Kitchener ON  N2H 4A2,Canada,Phone:(519) 576-2333,Fax:(519) 576-8980,County:Regional Municipality of Waterloo,Electoral District:03
Grand Valley Institute for Women,1575 Homer  Watson BLVD,Kitchener ON  N2P 2C5,Canada,County:Regional Municipality of Waterloo,Electoral District:03
Lang  Farm Medical Center,1145 Concssion Rd,Canada,County:Regional Municipality of Waterloo,Electoral District:03</t>
  </si>
  <si>
    <t>First certificate of registration issued: Postgraduate Education Certificate||Effective:   15 Jun 1976
Transfer of class of registration to: Independent Practice Certificate||Effective:   01 Apr 1981</t>
  </si>
  <si>
    <t>L.J. Ligate Medicine Professional Corporation</t>
  </si>
  <si>
    <t>Issued Date:  Dec 15 2008</t>
  </si>
  <si>
    <t>Dr. L. Ligate (CPSO# 32260)</t>
  </si>
  <si>
    <t>80 Waterloo Avenue,Guelph ON  N1H 0A1,(519) 821-2060
1145 Concession Road,1145 Concession Road,Cambridge ON  N3H 4L5,(519) 576-2333
Suite 202,Suite 202,130 Weber Street West,Kitchener ON  N2K 4A2,(519) 576-2333
Unit 30,Unit 30,875 University Avenue East,Waterloo ON  N2K 0A1,(519) 206-0100
1575 Homer Watson Boulevard,1575 Homer Watson Boulevard,Kitchener ON  N2C 2C5,(519) 895-8145</t>
  </si>
  <si>
    <t>112532</t>
  </si>
  <si>
    <t xml:space="preserve">Restricted as of 12 Jun 2017 </t>
  </si>
  <si>
    <t>University of Missouri(Kansas City), 2008</t>
  </si>
  <si>
    <t>4163633751 Ext. 2301</t>
  </si>
  <si>
    <t>4163637945</t>
  </si>
  <si>
    <t>USA - Alaska</t>
  </si>
  <si>
    <t>Psychiatry||Effective: 12 Jun 2017||CPSO Recognized Specialist
Child and Adolescent Psychiatry||Effective: 12 Jun 2017||CPSO Recognized Specialist</t>
  </si>
  <si>
    <t>First certificate of registration issued: Restricted certificate||Effective:   12 Jun 2017
Terms and conditions imposed on certificate by Registration Committee||Effective:   12 Jun 2017
Expiry date attached to certificate of registration.||Expiry Date: 11 Dec 2018</t>
  </si>
  <si>
    <t>96960</t>
  </si>
  <si>
    <t xml:space="preserve">Active Member as of 01 Apr 2013 </t>
  </si>
  <si>
    <t xml:space="preserve">Restricted as of 01 Apr 2013 </t>
  </si>
  <si>
    <t>Fac Fed de Ciencias Med de Porto Alegre, 1997</t>
  </si>
  <si>
    <t>St Josephs Healthcare,Dept of Psychiatry and Behavioural,Neurosciences,100 West 5th Street - Room C118,Hamilton ON  L8N 3K7</t>
  </si>
  <si>
    <t>(905) 522-1155 Ext. 35499</t>
  </si>
  <si>
    <t>Psychiatry||Effective: 01 Apr 2013||CPSO Recognized Specialist</t>
  </si>
  <si>
    <t>McMaster University, 15 Sep 2011  to 02 Dec 2011|PEAP - Clinical Fellow - Psychiatry
McMaster University, 03 Dec 2011  to 30 Jun 2012|Clinical Fellow - Psychiatry
McMaster University, 01 Jul 2012  to 31 Mar 2013|Clinical Fellow - Psychiatry</t>
  </si>
  <si>
    <t>First certificate of registration issued: Pre Entry Assessment Program Certificate||Effective:   21 Oct 2011
Transfer of class of registration to: Postgraduate Education Certificate||Effective:   05 Dec 2011
Expired: Terms and conditions of certificate of registration||Expiry:      31 Mar 2013
Subsequent certificate of registration issued: Restricted certificate||Effective:   01 Apr 2013
Expiry date attached to certificate of registration.||Expiry Date: 30 Jun 2019</t>
  </si>
  <si>
    <t>L. Minuzzi Medicine Professional Corporation</t>
  </si>
  <si>
    <t>Issued Date:  Nov 29 2016</t>
  </si>
  <si>
    <t>Dr. L. Minuzzi (CPSO# 96960)</t>
  </si>
  <si>
    <t>St Joseph's Healthcare,Department of Psychiatry and Behavioural Neuroscie,100 West 5th Street,Room C122,Hamilton ON  L8N 3K7,(905) 522-1155</t>
  </si>
  <si>
    <t>23814</t>
  </si>
  <si>
    <t xml:space="preserve">Active Member as of 08 Jul 1971 </t>
  </si>
  <si>
    <t xml:space="preserve">Independent Practice as of 08 Jul 1971 </t>
  </si>
  <si>
    <t>University of Alberta, 1970</t>
  </si>
  <si>
    <t>Mental Health Services,Canadian Forces Base Petawawa,258 Somme  Bldg N-111,Petawawa On,Petawawa ON  K8H 2X3</t>
  </si>
  <si>
    <t>First certificate of registration issued: Independent Practice Certificate||Effective:   08 Jul 1971</t>
  </si>
  <si>
    <t>52693</t>
  </si>
  <si>
    <t>139 Boardwalk Drive,Toronto ON  M4L 3X9</t>
  </si>
  <si>
    <t>(416) 690-1951</t>
  </si>
  <si>
    <t>101531</t>
  </si>
  <si>
    <t>Women's College Hospital,Women's Mental Health Program,76 Greenville St,7th Floor,Toronto ON  M5S 1B2</t>
  </si>
  <si>
    <t>University of Toronto, 01 Jul 2013  to 30 Jun 2014|PostGrad Yr 1 - Psychiatry
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
University of Toronto, 01 Jul 2018  to 30 Jun 2019|PostGrad Yr 5 - Psychiatry</t>
  </si>
  <si>
    <t>51024</t>
  </si>
  <si>
    <t>University of Ottawa, 1982</t>
  </si>
  <si>
    <t>Suite 408-1,49 High Street,Barrie ON  L4N 5J4</t>
  </si>
  <si>
    <t>(705) 721-7813</t>
  </si>
  <si>
    <t>(705) 721-9217</t>
  </si>
  <si>
    <t>First certificate of registration issued: Postgraduate Education Certificate||Effective:   14 Jun 1982
Transfer of class of registration to: Independent Practice Certificate||Effective:   31 Aug 1984</t>
  </si>
  <si>
    <t>Dr. Alex Luczak Medicine Professional Corporation</t>
  </si>
  <si>
    <t>Issued Date:  May 26 2011</t>
  </si>
  <si>
    <t>Dr. L. Luczak (CPSO# 51024)</t>
  </si>
  <si>
    <t>Suite 408 1,49 High Street,Barrie ON  L4N 5J4,(705) 721-7813</t>
  </si>
  <si>
    <t>52774</t>
  </si>
  <si>
    <t xml:space="preserve">Independent Practice as of 20 Feb 1985 </t>
  </si>
  <si>
    <t>Suite 209,1246 Yonge Street,Toronto ON  M4T 1W5</t>
  </si>
  <si>
    <t>(416) 929-0896</t>
  </si>
  <si>
    <t>(416) 929-2516</t>
  </si>
  <si>
    <t>First certificate of registration issued: Postgraduate Education Certificate||Effective:   13 Jun 1983
Transfer of class of registration to: Independent Practice Certificate||Effective:   20 Feb 1985</t>
  </si>
  <si>
    <t>69771</t>
  </si>
  <si>
    <t xml:space="preserve">Active Member as of 02 Feb 1996 </t>
  </si>
  <si>
    <t xml:space="preserve">Independent Practice as of 02 Feb 1996 </t>
  </si>
  <si>
    <t>English, French, Portuguese</t>
  </si>
  <si>
    <t>Stratford medical centre,Stratford ON  N5A 0E6</t>
  </si>
  <si>
    <t>(519) 305-8500</t>
  </si>
  <si>
    <t>(519)305-8501</t>
  </si>
  <si>
    <t>First certificate of registration issued: Independent Practice Certificate||Effective:   02 Feb 1996</t>
  </si>
  <si>
    <t>Cleto Medicine Professional Corporation</t>
  </si>
  <si>
    <t>Issued Date:  Jan 23 2007</t>
  </si>
  <si>
    <t>Dr. L. Cleto (CPSO# 69771)</t>
  </si>
  <si>
    <t>Stratford General Hospital,46 General Hospital Drive,Stratford ON  N5A 2Y6,(519) 272-8234</t>
  </si>
  <si>
    <t>64822</t>
  </si>
  <si>
    <t xml:space="preserve">Active Member as of 09 Feb 1996 </t>
  </si>
  <si>
    <t xml:space="preserve">Independent Practice as of 09 Feb 1996 </t>
  </si>
  <si>
    <t>Universidad De El Salvador, 1974</t>
  </si>
  <si>
    <t>Unit 43,2300 Finch Avenue West,North York ON  M9M 2Y3</t>
  </si>
  <si>
    <t>(416) 744-7227</t>
  </si>
  <si>
    <t>(416) 744-8603</t>
  </si>
  <si>
    <t>University of Toronto, 01 Jan 1992  to 30 Jun 1992|Resident 1 - Psychiatry
University of Toronto, 01 Jul 1992  to 31 Jan 1993|Resident 1 - Psychiatry
University of Toronto, 01 Feb 1993  to 30 Jun 1993|Resident 2 - Psychiatry
University of Toronto, 01 Jul 1993  to 05 Feb 1994|Resident 2 - Psychiatry
University of Toronto, 06 Feb 1994  to 30 Jun 1994|Resident 3 - Psychiatry
University of Toronto, 01 Jul 1994  to 05 Feb 1995|Resident 3 - Psychiatry
University of Toronto, 06 Feb 1995  to 30 Jun 1995|Resident 4 - Psychiatry
University of Toronto, 01 Jul 1995  to 31 Jan 1996|Resident 4 - Psychiatry</t>
  </si>
  <si>
    <t>First certificate of registration issued: Postgraduate Education Certificate||Effective:   06 Feb 1992
Expired: Terms and conditions of certificate of registration||Expiry:      31 Jan 1996
Subsequent certificate of registration Issued: Independent Practice Certificate||Effective:   09 Feb 1996</t>
  </si>
  <si>
    <t>Roldan Lozano Medicine Professional Corporation</t>
  </si>
  <si>
    <t>Dr. L. Roldan Lozano (CPSO# 64822)</t>
  </si>
  <si>
    <t>Unit 43,2300 Finch Avenue West,Toronto ON  M9M 2Y3,(416) 744-7227</t>
  </si>
  <si>
    <t>29531</t>
  </si>
  <si>
    <t xml:space="preserve">Active Member as of 09 Aug 1977 </t>
  </si>
  <si>
    <t xml:space="preserve">Independent Practice as of 09 Aug 1977 </t>
  </si>
  <si>
    <t>University of Palacky, 1965</t>
  </si>
  <si>
    <t>353 Waverley Street West,Ottawa ON  K2P 0W4</t>
  </si>
  <si>
    <t>(613) 235-8331</t>
  </si>
  <si>
    <t>First certificate of registration issued: Independent Practice Certificate||Effective:   09 Aug 1977</t>
  </si>
  <si>
    <t>Dr. Edward Krul Medicine Professional Corporation</t>
  </si>
  <si>
    <t>Issued Date:  May 16 2006</t>
  </si>
  <si>
    <t>Dr. L. Krul (CPSO# 29531)</t>
  </si>
  <si>
    <t>353 Waverley Street,Ottawa ON  K2P 0W4,(613) 235-8331</t>
  </si>
  <si>
    <t>59678</t>
  </si>
  <si>
    <t xml:space="preserve">Active Member as of 01 Jan 1990 </t>
  </si>
  <si>
    <t xml:space="preserve">Independent Practice as of 29 Jul 1992 </t>
  </si>
  <si>
    <t>1206 Centre St.,Suite 302,Thornhill ON  L4J 3M9</t>
  </si>
  <si>
    <t>(905) 597-1120</t>
  </si>
  <si>
    <t>(905) 597-1126</t>
  </si>
  <si>
    <t>Psychiatry||Effective: 15 Dec 1994||RCPSC Specialist</t>
  </si>
  <si>
    <t>University of Toronto, 13 Jun 1988  to 12 Jun 1989|Other - Rotating Internship
University of Toronto, 01 Jul 1990  to 30 Jun 1991|Resident 1 - Psychiatry
University of Toronto, 01 Jul 1991  to 30 Sep 1992|Resident 2 - Psychiatry
University of Toronto, 01 Oct 1992  to 14 Sep 1993|Resident 3 - Psychiatry
University of Toronto, 15 Sep 1993  to 31 Dec 1994|Resident 4 - Psychiatry</t>
  </si>
  <si>
    <t>First certificate of registration issued: Postgraduate Education Certificate||Effective:   13 Jun 1988
Expired: Terms and conditions of certificate of registration||Expiry:      12 Jun 1989
Subsequent certificate of registration Issued: Postgraduate Education Certificate||Effective:   01 Jan 1990
Transfer of class of registration to: Independent Practice Certificate||Effective:   29 Jul 1992</t>
  </si>
  <si>
    <t>Luna Soberano Roher Medicine Professional Corporation</t>
  </si>
  <si>
    <t>Issued Date:  Sep 14 2009</t>
  </si>
  <si>
    <t>Dr. L. Roher (CPSO# 59678)</t>
  </si>
  <si>
    <t>Suite 302,1206 Centre Street,Thornhill ON  L4J 3M9,(905) 597-1120</t>
  </si>
  <si>
    <t>63583</t>
  </si>
  <si>
    <t xml:space="preserve">Independent Practice as of 23 Jun 1992 </t>
  </si>
  <si>
    <t>1234 Kingston Road Unit 110,Toronto ON  M1N 1P3</t>
  </si>
  <si>
    <t>(647) 812 0495</t>
  </si>
  <si>
    <t>647 498 1200</t>
  </si>
  <si>
    <t>7 Eaton South eating disorders,Toronto General Hospital,200 Elizabeth St,Toronto ON  M5G 2C4,Canada,Phone:416 340 4229,Fax:(416) 340-3430,County:City of Toronto,Electoral District:10</t>
  </si>
  <si>
    <t>University of Toronto, 01 Jul 1992  to 30 Jun 1993|Resident 1 - Psychiatry
University of Toronto, 01 Jul 1993  to 30 Jun 1994|Resident 2 - Psychiatry
University of Toronto, 01 Jul 1994  to 30 Jun 1995|Resident 3 - Psychiatry
University of Toronto, 01 Jul 1995  to 30 Jun 1996|Resident 4 - Psychiatry
University of Toronto, 01 Jul 1996  to 30 Jun 1997|Clinical Fellow - Psychiatry
University of Toronto, 01 Jul 1997  to 30 Jun 1998|Clinical Fellow - Psychiatry</t>
  </si>
  <si>
    <t>First certificate of registration issued: Postgraduate Education Certificate||Effective:   17 Jun 1991
Transfer of class of registration to: Independent Practice Certificate||Effective:   23 Jun 1992</t>
  </si>
  <si>
    <t>Lynda Molleken Medicine Professional Corporation</t>
  </si>
  <si>
    <t>Issued Date:  Sep 04 2013</t>
  </si>
  <si>
    <t>Dr. L. Molleken (CPSO# 63583)</t>
  </si>
  <si>
    <t>110 - 1234 Kingston Road,Toronto ON  M1N 1P3,(647) 812-0495
Toronto General Hospital,Toronto General Hospital,200 Elizabeth Street,7 Eaton South,Toronto ON  M5G 2C4,(416) 340-4229
32 Canadian Forces Health Services Centre,32 Canadian Forces Health Services Centre,Toronto ON  M3K 0A1</t>
  </si>
  <si>
    <t>80916</t>
  </si>
  <si>
    <t xml:space="preserve">Active Member as of 14 Jul 2010 </t>
  </si>
  <si>
    <t>Ottawa Hospital General Campus,Department of Psychiatry,501 Smyth Road,Ottawa ON  K1H 8L6</t>
  </si>
  <si>
    <t>Psychiatry||Effective: 14 Jul 2010||RCPSC Specialist</t>
  </si>
  <si>
    <t>University of Ottawa, 01 Jul 2004  to 30 Jun 2005|PostGrad Yr 1 - Psychiatry
University of Ottawa, 01 Jul 2005  to 30 Jun 2006|PostGrad Yr 2 - Psychiatry
University of Ottawa, 01 Jul 2006  to 30 Jun 2007|PostGrad Yr 3 - Psychiatry
University of Ottawa, 01 Jul 2007  to 30 Jun 2008|PostGrad Yr 4 - Psychiatry
University of Ottawa, 01 Jul 2008  to 30 Jun 2009|PostGrad Yr 4 - Psychiatry
University of Ottawa, 01 Jul 2009  to 12 Jul 2009|PostGrad Yr 4 - Psychiatry
University of Ottawa, 13 Jul 2009  to 12 Jul 2010|PostGrad Yr 5 - Psychiatry</t>
  </si>
  <si>
    <t>First certificate of registration issued: Postgraduate Education Certificate||Effective:   01 Jul 2004
Expired: Terms and conditions of certificate of registration||Expiry:      12 Jul 2010
Subsequent certificate of registration Issued: Independent Practice Certificate||Effective:   14 Jul 2010</t>
  </si>
  <si>
    <t>52012</t>
  </si>
  <si>
    <t xml:space="preserve">Active Member as of 21 Jan 1985 </t>
  </si>
  <si>
    <t xml:space="preserve">Independent Practice as of 21 Jan 1985 </t>
  </si>
  <si>
    <t>University of Santo Tomas, 1970</t>
  </si>
  <si>
    <t>Brookdale Plaza,Unit 4,871 - 875 Chemong Road,Peterborough ON  K9H 5Z5</t>
  </si>
  <si>
    <t>(705) 743-0152</t>
  </si>
  <si>
    <t>First certificate of registration issued: Postgraduate Education Certificate||Effective:   01 Jul 1980
Expired: Terms and conditions of certificate of registration||Expiry:      30 Jun 1984
Subsequent certificate of registration Issued: Independent Practice Certificate||Effective:   21 Jan 1985</t>
  </si>
  <si>
    <t>Madeline Dayot-Venida Medicine Professional Corporation</t>
  </si>
  <si>
    <t>Issued Date:  Mar 13 2006</t>
  </si>
  <si>
    <t>Dr. M. Dayot-Venida (CPSO# 52012)</t>
  </si>
  <si>
    <t>871-875 Chemong Road,Brookdale Plaza,Unit 4,Peterborough ON  K9H 5Z5,(705) 743-0152</t>
  </si>
  <si>
    <t>73839</t>
  </si>
  <si>
    <t>UHN Princess Margaret Cancer Centre,Room 749 16th Floor,610 University Avenue,Toronto ON  M5G 2M9</t>
  </si>
  <si>
    <t>(416) 946-4501 Ext. 7505</t>
  </si>
  <si>
    <t>University of Toronto, 01 Jul 1999  to 30 Jun 2000|PostGrad Yr 1 - Psychiatry
University of Toronto, 01 Jul 2000  to 30 Jun 2001|PostGrad Yr 2 - Psychiatry
University of Toronto, 01 Jul 2001  to 30 Jun 2002|PostGrad Yr 3 - Psychiatry
University of Toronto, 01 Jul 2002  to 30 Jun 2003|PostGrad Yr 3 - Psychiatry
University of Toronto, 01 Jul 2003  to 30 Jun 2004|PostGrad Yr 4 - Psychiatry
University of Toronto, 01 Jul 2004  to 30 Jun 2005|PostGrad Yr 5 - Psychiatry
University of Toronto, 01 Jul 2005  to 30 Jun 2006|Clinical Fellow - Psychiatry
University of Toronto, 01 Jul 2006  to 30 Jun 2007|Clinical Fellow - Psychiatry</t>
  </si>
  <si>
    <t>Dr. Madeline Li Medicine Professional Corporation</t>
  </si>
  <si>
    <t>Dr. M. Li (CPSO# 73839)</t>
  </si>
  <si>
    <t>UHN Princess Margaret Hospital,Room 749,610 University Avenue,Toronto ON  M5G 2M9,(416) 946-4501</t>
  </si>
  <si>
    <t>31206</t>
  </si>
  <si>
    <t xml:space="preserve">Active Member as of 12 Jun 1978 </t>
  </si>
  <si>
    <t xml:space="preserve">Independent Practice as of 30 Oct 1979 </t>
  </si>
  <si>
    <t>Agarwal, Madhulika (used until: 20 Jul 1982 )</t>
  </si>
  <si>
    <t>Suite 101,585 Springbank Drive,London ON  N6J 1H3</t>
  </si>
  <si>
    <t>(519) 641-1001</t>
  </si>
  <si>
    <t>(519) 641-1033</t>
  </si>
  <si>
    <t>United Kingdom
USA - California
USA - Michigan</t>
  </si>
  <si>
    <t>Family Medicine||Effective: 01 Jul 1980||CFPC Specialist
Psychiatry||Effective: 06 Jun 1983||RCPSC Specialist</t>
  </si>
  <si>
    <t>First certificate of registration issued: Postgraduate Education Certificate||Effective:   12 Jun 1978
Transfer of class of registration to: Independent Practice Certificate||Effective:   30 Oct 1979</t>
  </si>
  <si>
    <t>M.A. Gupta Medicine Professional Corporation</t>
  </si>
  <si>
    <t>Dr. M. Gupta (CPSO# 31206)</t>
  </si>
  <si>
    <t>101 - 585 Springbank Drive,London ON  N6J 1H3,(519) 641-1001</t>
  </si>
  <si>
    <t>68714</t>
  </si>
  <si>
    <t xml:space="preserve">Active Member as of 21 Apr 1995 </t>
  </si>
  <si>
    <t xml:space="preserve">Independent Practice as of 21 Apr 1995 </t>
  </si>
  <si>
    <t>Andhra University, 1972</t>
  </si>
  <si>
    <t>L-23,692 Euclid Avenue,Toronto ON  M6G 2T9</t>
  </si>
  <si>
    <t>(416) 901-9020 Ext. 24</t>
  </si>
  <si>
    <t>(416) 901-7217</t>
  </si>
  <si>
    <t>First certificate of registration issued: Independent Practice Certificate||Effective:   21 Apr 1995</t>
  </si>
  <si>
    <t>65902</t>
  </si>
  <si>
    <t xml:space="preserve">Active Member as of 13 Aug 1992 </t>
  </si>
  <si>
    <t xml:space="preserve">Independent Practice as of 13 Aug 1992 </t>
  </si>
  <si>
    <t>English, Hindi, Kannada</t>
  </si>
  <si>
    <t>South West Centre,401 Sunset Drive,St Thomas ON  N5R 3C6</t>
  </si>
  <si>
    <t>(519) 631-8510 Ext. 49866</t>
  </si>
  <si>
    <t>(519) 6312361</t>
  </si>
  <si>
    <t>59, rosehip place,London ON  N6K4H4,Canada,County:County of Middlesex,Electoral District:02</t>
  </si>
  <si>
    <t>First certificate of registration issued: Independent Practice Certificate||Effective:   13 Aug 1992</t>
  </si>
  <si>
    <t>Dr. M. V. Arunprakash Medicine Professional Corporation</t>
  </si>
  <si>
    <t>Issued Date:  Feb 02 2006</t>
  </si>
  <si>
    <t>Dr. M. Arun Prakash (CPSO# 65902)</t>
  </si>
  <si>
    <t>Unit A - 309 Commissioners Road West,London ON  N6J 1Y4,(519) 472-8880</t>
  </si>
  <si>
    <t>56590</t>
  </si>
  <si>
    <t xml:space="preserve">Active Member as of 11 Feb 1986 </t>
  </si>
  <si>
    <t xml:space="preserve">Independent Practice as of 07 Dec 1987 </t>
  </si>
  <si>
    <t>Lawler, Maeve Patricia (used until: 15 Sep 1986 )</t>
  </si>
  <si>
    <t>National University of Ireland, 1979</t>
  </si>
  <si>
    <t>Senior Out Reach Program,Providence Care,202-640 Cataraqui Woods,Kingston ON  K7P 2Y5</t>
  </si>
  <si>
    <t>First certificate of registration issued: Academic Practice Certificate||Effective:   11 Feb 1986
Transfer of class of registration to: Independent Practice Certificate||Effective:   07 Dec 1987</t>
  </si>
  <si>
    <t>75552</t>
  </si>
  <si>
    <t xml:space="preserve">Active Member as of 01 Aug 2000 </t>
  </si>
  <si>
    <t xml:space="preserve">Independent Practice as of 01 Aug 2000 </t>
  </si>
  <si>
    <t>Ain Shams University, 1981</t>
  </si>
  <si>
    <t>305 Baldwin Avenue,Cornwall ON  K6H 4J6</t>
  </si>
  <si>
    <t>(613) 938-6167</t>
  </si>
  <si>
    <t>(613) 938-0720</t>
  </si>
  <si>
    <t>Psychiatry||Effective: 31 Dec 1999||RCPSC Specialist</t>
  </si>
  <si>
    <t>First certificate of registration issued: Independent Practice Certificate||Effective:   01 Aug 2000</t>
  </si>
  <si>
    <t>Hanna Medicine Professional Corporation</t>
  </si>
  <si>
    <t>Issued Date:  Oct 16 2003</t>
  </si>
  <si>
    <t>Dr. M. Hanna (CPSO# 75552)</t>
  </si>
  <si>
    <t>Cornwall Community Hospital,840 McConnell Avenue,Cornwall ON  K6H 5S5,(613) 938-4240
Suite 3,Suite 3,305 Baldwin Avenue,Cornwall ON  K6H 4J6,(613) 938-6167</t>
  </si>
  <si>
    <t>117099</t>
  </si>
  <si>
    <t xml:space="preserve">Active Member as of 09 Nov 2018 </t>
  </si>
  <si>
    <t xml:space="preserve">Restricted as of 09 Nov 2018 </t>
  </si>
  <si>
    <t>Jagiellonian University, 2012</t>
  </si>
  <si>
    <t>Oakville Trafalgar Memorial Hosp,3001 Hospital Gate,Oakville ON  L6M 0L8</t>
  </si>
  <si>
    <t>North Halton Mental Health Clinic,217 Main St E,Milton ON  L9T 1N9,Canada,County:Regional Municipality of Halton,Electoral District:04</t>
  </si>
  <si>
    <t>Psychiatry||Effective: 09 Nov 2018||CPSO Recognized Specialist</t>
  </si>
  <si>
    <t>First certificate of registration issued: Restricted certificate||Effective:   09 Nov 2018
Terms and conditions imposed on certificate by Registration Committee||Effective:   09 Nov 2018
Expiry date attached to certificate of registration.||Expiry Date: 08 May 2020</t>
  </si>
  <si>
    <t>52982</t>
  </si>
  <si>
    <t xml:space="preserve">Active Member as of 03 Jul 1981 </t>
  </si>
  <si>
    <t xml:space="preserve">Independent Practice as of 29 Dec 1986 </t>
  </si>
  <si>
    <t>University of Cairo, 1973</t>
  </si>
  <si>
    <t>Child &amp; Alolescent Mental Health,1235 Wilson Avenue,Toronto ON  M3M 0B2</t>
  </si>
  <si>
    <t>(416)242-1000 Ext. 43151</t>
  </si>
  <si>
    <t>(416)242-1024</t>
  </si>
  <si>
    <t>Humber River Hospital,Wilson Site:Toronto
Trillium Health Partners,Mississauga Hospital:Mississauga</t>
  </si>
  <si>
    <t>First certificate of registration issued: Postgraduate Education Certificate||Effective:   03 Jul 1981
Transfer of class of registration to: Independent Practice Certificate||Effective:   29 Dec 1986</t>
  </si>
  <si>
    <t>Kodsi Medicine Professional Corporation</t>
  </si>
  <si>
    <t>Issued Date:  Feb 15 2008</t>
  </si>
  <si>
    <t>Dr. M. Kodsi (CPSO# 52982)</t>
  </si>
  <si>
    <t>THP - 100 Queensway West,Mississauga ON  L5B 1B8,(905) 848-7100
HRH - 1235 Wilson Avenue,HRH - 1235 Wilson Avenue,Toronto ON  M3M 0B2</t>
  </si>
  <si>
    <t>81370</t>
  </si>
  <si>
    <t>Room 5883,596 Davis Drive,Newmarket ON  L3Y 2P9</t>
  </si>
  <si>
    <t>(905) 895-4521 Ext. 2862</t>
  </si>
  <si>
    <t>Psychiatry||Effective: 11 Sep 2009||RCPSC Specialist</t>
  </si>
  <si>
    <t>The University of Western Ontario, 01 Jul 2004  to 30 Jun 2005|PostGrad Yr 1 - Orthopedic Surgery
The University of Western Ontario, 01 Jul 2005  to 02 Sep 2005|PostGrad Yr 2 - Orthopedic Surgery
The University of Western Ontario, 03 Sep 2005  to 30 Jun 2006|PostGrad Yr 1 - Psychiatry
The University of Western Ontario, 01 Jul 2006  to 02 Sep 2006|PostGrad Yr 2 - Psychiatry
The University of Western Ontario, 03 Sep 2006  to 30 Jun 2007|PostGrad Yr 3 - Psychiatry
The University of Western Ontario, 01 Jul 2007  to 11 Dec 2007|PostGrad Yr 3 - Psychiatry
The University of Western Ontario, 12 Dec 2007  to 10 Dec 2008|PostGrad Yr 4 - Psychiatry
The University of Western Ontario, 11 Dec 2008  to 10 Sep 2009|PostGrad Yr 5 - Psychiatry</t>
  </si>
  <si>
    <t>First certificate of registration issued: Postgraduate Education Certificate||Effective:   01 Jul 2004
Expired: Terms and conditions of certificate of registration||Expiry:      10 Sep 2009
Subsequent certificate of registration Issued: Independent Practice Certificate||Effective:   11 Sep 2009</t>
  </si>
  <si>
    <t>Memarpour Medicine Professional Corporation</t>
  </si>
  <si>
    <t>Issued Date:  Nov 09 2009</t>
  </si>
  <si>
    <t>Dr. M. Memarpour (CPSO# 81370)</t>
  </si>
  <si>
    <t>West Building 5th Floor,596 Davis Drive,Room 5883,Newmarket ON  L3Y 2P9,(905) 895-4521</t>
  </si>
  <si>
    <t>111927</t>
  </si>
  <si>
    <t xml:space="preserve">Independent Practice as of 01 Aug 2017 </t>
  </si>
  <si>
    <t>(905) 813-2200</t>
  </si>
  <si>
    <t>James Potter Road Medical Center,9715 James Potter Rd, Unit 102,Brampton,Brampton ON  L6X 3B9,Canada,Phone:(905) 457-5800,County:Regional Municipality of Peel,Electoral District:05
James Potter Road Medical Center,9715 James Potter Rd, Unit 102,Brampton ON  L6X 3B9,Canada,Phone:(905) 457-5800,County:Regional Municipality of Peel,Electoral District:05</t>
  </si>
  <si>
    <t>Psychiatry||Effective: 22 Jul 2017||RCPSC Specialist</t>
  </si>
  <si>
    <t>University of Toronto, 01 Jun 2017  to 31 Jul 2017|Elective Trainee - Psychiatry</t>
  </si>
  <si>
    <t>First certificate of registration issued: Postgraduate Education Certificate||Effective:   01 Jun 2017
Expired: Terms and conditions of certificate of registration||Expiry:      31 Jul 2017
Subsequent certificate of registration Issued: Independent Practice Certificate||Effective:   01 Aug 2017</t>
  </si>
  <si>
    <t>Dr. Mahgul Malik Medicine Professional Corporation</t>
  </si>
  <si>
    <t>Issued Date:  Mar 14 2018</t>
  </si>
  <si>
    <t>Dr. M. Malik (CPSO# 111927)</t>
  </si>
  <si>
    <t>Trillium Health Partners,Credit Valley Hospital,Department of Pyschiatry,2200 Eglinton Avenue West,Mississauga ON  L5M 2N1,(905) 831-4421
James Porter Road Medical Centre,James Porter Road Medical Centre,9715 James Potter Road, Unit 102,Brampton ON  L6X 3B9,(905) 457-5800</t>
  </si>
  <si>
    <t>68552</t>
  </si>
  <si>
    <t>Afrikaans, English, Gujarati</t>
  </si>
  <si>
    <t>Royal College of Surgeons in Ireland, 1975</t>
  </si>
  <si>
    <t>103 Hospital Drive,Saskatoon SK  S7N0W8</t>
  </si>
  <si>
    <t>3066551000</t>
  </si>
  <si>
    <t>Newfoundland and Labrador
Saskatchewan
South Africa</t>
  </si>
  <si>
    <t>First certificate of registration issued: Independent Practice Certificate||Effective:   12 Sep 1994
Expired: Failure to Renew Membership||Expiry:      11 Aug 2007
Subsequent certificate of registration Issued: Independent Practice Certificate||Effective:   04 Jul 2008
Expired: Resigned from membership.||Expiry:      23 Jun 2010
Subsequent certificate of registration Issued: Independent Practice Certificate||Effective:   12 Jul 2012</t>
  </si>
  <si>
    <t>50651</t>
  </si>
  <si>
    <t xml:space="preserve">Active Member as of 07 Apr 1987 </t>
  </si>
  <si>
    <t xml:space="preserve">Independent Practice as of 03 Jul 1997 </t>
  </si>
  <si>
    <t>Bihar University, 1972</t>
  </si>
  <si>
    <t>The Person Centered Psychotherapy,Clinic,265 Yorkland Blvd,Toronto ON  M2J 1S5</t>
  </si>
  <si>
    <t>(416) 229 2399</t>
  </si>
  <si>
    <t>First certificate of registration issued: Postgraduate Education Certificate||Effective:   16 Jun 1980
Expired: Terms and conditions of certificate of registration||Expiry:      30 Jun 1985
Subsequent certificate of registration Issued: Hospital Practice Certificate||Effective:   07 Apr 1987
Transfer of class of certificate to: Restricted certificate||Effective:   07 Apr 1987
Transfer of class of registration to: Hospital Practice Certificate||Effective:   10 Apr 1987
Transfer of class of registration to: Independent Practice Certificate||Effective:   03 Jul 1997</t>
  </si>
  <si>
    <t>68086</t>
  </si>
  <si>
    <t xml:space="preserve">Active Member as of 04 Jul 1996 </t>
  </si>
  <si>
    <t xml:space="preserve">Independent Practice as of 04 Jul 1996 </t>
  </si>
  <si>
    <t>Bialystok University, 1988</t>
  </si>
  <si>
    <t>(416) 242-1000 Ext. 43029</t>
  </si>
  <si>
    <t>Timmins and District Hospital,700 Ross Ave East,Timmins ON  P4N 8P2,Canada,Phone:(705) 267-6315,County:Territorial District of Cochrane,Electoral District:08</t>
  </si>
  <si>
    <t>Humber River Hospital,Wilson Site:Toronto
Timmins and District Hospital:Timmins</t>
  </si>
  <si>
    <t>Psychiatry||Effective: 30 Sep 2000||RCPSC Specialist</t>
  </si>
  <si>
    <t>University of Toronto, 01 Jul 1994  to 30 Jun 1995|PostGrad Yr 1 - Family Medicine
University of Toronto, 01 Jul 1995  to 30 Jun 1996|PostGrad Yr 2 - Family Medicine
University of Toronto, 01 Jul 1996  to 30 Jun 1997|PostGrad Yr 2 - Psychiatry
University of Toronto, 01 Jul 1997  to 24 Sep 1997|PostGrad Yr 2 - Psychiatry
University of Toronto, 25 Sep 1997  to 17 Dec 1997|PostGrad Yr 2 - Psychiatry
University of Toronto, 18 Dec 1997  to 31 Dec 1997|PostGrad Yr 3 - Psychiatry
University of Toronto, 01 Jan 1998  to 31 Dec 1998|PostGrad Yr 3 - Psychiatry
University of Toronto, 01 Jan 1999  to 31 Dec 1999|PostGrad Yr 4 - Psychiatry
University of Toronto, 01 Jan 2000  to 30 Jun 2000|PostGrad Yr 5 - Psychiatry</t>
  </si>
  <si>
    <t>First certificate of registration issued: Postgraduate Education Certificate||Effective:   01 Jul 1994
Expired: Terms and conditions of certificate of registration||Expiry:      30 Jun 1996
Subsequent certificate of registration Issued: Independent Practice Certificate||Effective:   04 Jul 1996</t>
  </si>
  <si>
    <t>60276</t>
  </si>
  <si>
    <t xml:space="preserve">Active Member as of 01 Sep 1988 </t>
  </si>
  <si>
    <t xml:space="preserve">Independent Practice as of 01 Sep 1988 </t>
  </si>
  <si>
    <t>First certificate of registration issued: Independent Practice Certificate||Effective:   01 Sep 1988</t>
  </si>
  <si>
    <t>Shenava Medicine Professional Corporation</t>
  </si>
  <si>
    <t>55418</t>
  </si>
  <si>
    <t xml:space="preserve">Independent Practice as of 03 Jan 1989 </t>
  </si>
  <si>
    <t>Psychosocial Oncology,The Ottawa Hospital, 501 Smyth Road,Ottawa,Ontario,Ottawa ON  K1H 8L6</t>
  </si>
  <si>
    <t>(613) 737-7700 Ext. 70516</t>
  </si>
  <si>
    <t>613-737-8331</t>
  </si>
  <si>
    <t>University of Ottawa, 15 Jun 1985  to 15 Jun 1986|Other - Rotating Internship
University of Ottawa, 01 Jul 1986  to 30 Jun 1987|Resident 1 - Pediatrics
University of Ottawa, 01 Jul 1987  to 30 Jun 1988|Resident 2 - Psychiatry
University of Ottawa, 01 Jul 1988  to 30 Jun 1989|Resident 3 - Psychiatry
University of Ottawa, 01 Jul 1989  to 30 Jun 1990|Resident 4 - Psychiatry
University of Ottawa, 01 Jul 1990  to 31 Dec 1990|Clinical Fellow - Psychiatry</t>
  </si>
  <si>
    <t>First certificate of registration issued: Postgraduate Education Certificate||Effective:   15 Jun 1985
Transfer of class of registration to: Independent Practice Certificate||Effective:   03 Jan 1989</t>
  </si>
  <si>
    <t>64559</t>
  </si>
  <si>
    <t xml:space="preserve">Active Member as of 11 Aug 1992 </t>
  </si>
  <si>
    <t xml:space="preserve">Independent Practice as of 11 Aug 1992 </t>
  </si>
  <si>
    <t>University of Madras, 1973</t>
  </si>
  <si>
    <t>77 Queensway West,Suite 212,Mississauga ON  L5B 1B7</t>
  </si>
  <si>
    <t>(905) 848-8677</t>
  </si>
  <si>
    <t>(905) 848-5855</t>
  </si>
  <si>
    <t>William Osler Health System at,Etobicoke General Hospital and,Brampton Civic Hospital,Etobicoke ON  M9V 1R8,Canada,Phone:(416) 747-3400,County:City of Toronto,Electoral District:10</t>
  </si>
  <si>
    <t>Trillium Health Partners,Mississauga Hospital:Mississauga
William Osler Health Centre Etobicoke General Site:Toronto</t>
  </si>
  <si>
    <t>McMaster University, 30 Aug 1991  to 31 Jul 1992|PostGrad Yr 4 - Psychiatry</t>
  </si>
  <si>
    <t>First certificate of registration issued: Postgraduate Education Certificate||Effective:   30 Aug 1991
Expired: Terms and conditions of certificate of registration||Expiry:      31 Jul 1992
Subsequent certificate of registration Issued: Independent Practice Certificate||Effective:   11 Aug 1992</t>
  </si>
  <si>
    <t>M. Johnson Medicine Professional Corporation</t>
  </si>
  <si>
    <t>Issued Date:  Jul 24 2006</t>
  </si>
  <si>
    <t>Dr. M. Johnson (CPSO# 64559)</t>
  </si>
  <si>
    <t>2100 Bovaird Drive East,Brampton ON  L6R 3J7
77 Queensway West,77 Queensway West,Suite 212,Mississauga ON  L5B 1B7,(905) 848-8677
100 Queensway West,100 Queensway West,Mississauga ON  L5B 1B8,(905) 848-7100
101 Humber College Boulevard,101 Humber College Boulevard,Etobicoke ON  M9V 1R8,(905) 848-8677</t>
  </si>
  <si>
    <t>91245</t>
  </si>
  <si>
    <t xml:space="preserve">Active Member as of 20 Mar 2015 </t>
  </si>
  <si>
    <t xml:space="preserve">Independent Practice as of 20 Mar 2015 </t>
  </si>
  <si>
    <t>University of Cairo, 1987</t>
  </si>
  <si>
    <t>University of Toronto, 01 Jul 2009  to 22 Sep 2009|Assessment Verification Period - Psychiatry
University of Toronto, 23 Sep 2009  to 30 Jun 2010|PostGrad Yr 2 - Psychiatry
University of Toronto, 01 Jul 2010  to 30 Jun 2011|PostGrad Yr 3 - Psychiatry
University of Toronto, 01 Jul 2011  to 30 Jun 2012|PostGrad Yr 4 - Psychiatry
University of Toronto, 01 Jul 2012  to 30 Jun 2013|PostGrad Yr 5 - Psychiatry</t>
  </si>
  <si>
    <t>First certificate of registration issued: Pre Entry Assessment Program Certificate||Effective:   01 Jul 2009
Transfer of class of registration to: Postgraduate Education Certificate||Effective:   23 Sep 2009
Expired: Terms and conditions of certificate of registration||Expiry:      30 Jun 2013
Subsequent certificate of registration issued: Restricted certificate||Effective:   16 Aug 2013
Expired: Terms and conditions imposed on certificate by Registration Committee||Effective:   20 Mar 2015
Subsequent certificate of registration Issued: Independent Practice Certificate||Effective:   20 Mar 2015</t>
  </si>
  <si>
    <t>43819</t>
  </si>
  <si>
    <t xml:space="preserve">Active Member as of 05 Sep 1985 </t>
  </si>
  <si>
    <t xml:space="preserve">Independent Practice as of 28 Aug 1990 </t>
  </si>
  <si>
    <t>University of Delhi, 1973</t>
  </si>
  <si>
    <t>940 King Street West,Suite #2,Kitchener ON  N2G 1G4</t>
  </si>
  <si>
    <t>(519) 745-7113</t>
  </si>
  <si>
    <t>First certificate of registration issued: Postgraduate Education Certificate||Effective:   05 Jul 1976
Expired: Terms and conditions of certificate of registration||Expiry:      30 Jun 1981
Subsequent certificate of registration Issued: Hospital Practice Certificate||Effective:   05 Sep 1985
Transfer of class of registration to: Independent Practice Certificate||Effective:   28 Aug 1990</t>
  </si>
  <si>
    <t>99933</t>
  </si>
  <si>
    <t xml:space="preserve">Active Member as of 14 Aug 2017 </t>
  </si>
  <si>
    <t xml:space="preserve">Restricted as of 14 Aug 2017 </t>
  </si>
  <si>
    <t>University of The West Indies,Trinidad, 2004</t>
  </si>
  <si>
    <t>Credit Valley Hospital,Department of Psychiatry,2200 Eglinton Avenue West,Mississauga ON  L5M 2N1</t>
  </si>
  <si>
    <t>(905) 813-2371</t>
  </si>
  <si>
    <t>240 Duncan Mill Rd,North York ON  M3B 3S6,Canada,Phone:416 840-5991,County:City of Toronto,Electoral District:10
200 Front St W,Toronto ON  M5V 3K2,Canada,Phone:416599 9000,County:City of Toronto,Electoral District:10</t>
  </si>
  <si>
    <t>Psychiatry||Effective: 27 Feb 2013||CPSO Recognized Specialist</t>
  </si>
  <si>
    <t>First certificate of registration issued: Restricted certificate||Effective:   27 Feb 2013
Terms and conditions imposed on certificate by Registration Committee||Effective:   27 Feb 2013
Expiry date attached to certificate of registration.||Expiry Date: 26 Aug 2014
Terms and conditions amended by Registration Committee||Effective:   31 Jul 2014
Terms and conditions amended by Registration Committee||Effective:   08 Dec 2014
Expiry date removed from certificate of registration.||Effective:   09 Dec 2014
Expired: Failure to Renew Membership||Expiry:      10 Aug 2017
Subsequent certificate of registration issued: Restricted certificate||Effective:   14 Aug 2017</t>
  </si>
  <si>
    <t>M. Singh Medicine Professional Corporation</t>
  </si>
  <si>
    <t>Issued Date:  Sep 30 2014</t>
  </si>
  <si>
    <t>Dr. M. Singh (CPSO# 99933)</t>
  </si>
  <si>
    <t>Credit Valley Hospital,Department of Psychiatry,2200 Eglinton Avenue West,Mississauga ON  L5M 2N1,(905) 813-2371
Simcoe Place  Health Clinic,Simcoe Place  Health Clinic,200 Front Street West,Toronto ON  M5V 3K2,(416) 599-9000
Health Care Plus Clinic,Health Care Plus Clinic,Unit A - 1408 Queen Street West,Toronto ON  M6K 1L9,(416) 532-8277
Apoilo Research,Apoilo Research,201 - 240 Duncan Mill,Toronto ON  M3B 3S6,(416) 840-5991</t>
  </si>
  <si>
    <t>33006</t>
  </si>
  <si>
    <t xml:space="preserve">Active Member as of 01 Jul 1968 </t>
  </si>
  <si>
    <t xml:space="preserve">Independent Practice as of 20 Oct 1994 </t>
  </si>
  <si>
    <t>Osmania University, 1962</t>
  </si>
  <si>
    <t>Durham Children's Aid Society,Children's Clinic,1320 Airport Boulevard,Oshawa ON  L1H 7K4</t>
  </si>
  <si>
    <t>(905) 433-1551</t>
  </si>
  <si>
    <t>(905) 433-0603</t>
  </si>
  <si>
    <t>9889 Markham Rd.,Suite 211,Markham,Markham ON  L6E 0B5,Canada,Phone:(905) 472-9658 Ext. 215,Fax:(905) 472-7945,County:Regional Municipality of York,Electoral District:05</t>
  </si>
  <si>
    <t>First certificate of registration issued: Postgraduate Education Certificate||Effective:   01 Jul 1968
Transfer of class of registration to: Hospital Practice Certificate||Effective:   02 Feb 1972
Transfer of class of certificate to: Restricted certificate||Effective:   14 Dec 1981
Transfer of class of registration to: Independent Practice Certificate||Effective:   20 Oct 1994</t>
  </si>
  <si>
    <t>Keesari Medicine Professional Corporation</t>
  </si>
  <si>
    <t>Issued Date:  Dec 19 2006</t>
  </si>
  <si>
    <t>Dr. M. Keesari (CPSO# 33006)</t>
  </si>
  <si>
    <t>2705 - 17 Barberry Place,Toronto ON  M2K 3E2,(416) 730-0931
Markham Psychologists &amp; Psychiatrists,Markham Psychologists &amp; Psychiatrists,211 - 9889 Hwy 48,Markham ON  L6E 0B5,(905) 472-9658
Children's Clinic,Children's Clinic,Durham Children's Aid Society,1320 Airport Boulevard,Oshawa ON  L1H 7K4,(905) 433-1551</t>
  </si>
  <si>
    <t>69802</t>
  </si>
  <si>
    <t xml:space="preserve">Active Member as of 15 Mar 1996 </t>
  </si>
  <si>
    <t xml:space="preserve">Independent Practice as of 15 Mar 1996 </t>
  </si>
  <si>
    <t>University of Colombo, 1982</t>
  </si>
  <si>
    <t>Timmins and District Hospital,700 Ross Avenue East,Timmins ON  P4N 8P2</t>
  </si>
  <si>
    <t>Canadian Mental Health Association,330 Second Avenue,Timmins ON  P4N 8A4,Canada,Phone:(705) 267-8100,County:Territorial District of Cochrane,Electoral District:08</t>
  </si>
  <si>
    <t>First certificate of registration issued: Independent Practice Certificate||Effective:   15 Mar 1996</t>
  </si>
  <si>
    <t>M. Raveendran Medicine Professional Corporation</t>
  </si>
  <si>
    <t>Dr. M. Raveendran (CPSO# 69802)</t>
  </si>
  <si>
    <t>Timmins and District Hospital,700 Ross Avenue East,Timmins ON  P4N 8P2,(705) 360-6036
Canadian Mental Health Association,Canadian Mental Health Association,201 - 330 Second Avenue,Timmins ON  P4N 8A4,(705) 267-8100</t>
  </si>
  <si>
    <t>78188</t>
  </si>
  <si>
    <t xml:space="preserve">Active Member as of 07 Jan 2015 </t>
  </si>
  <si>
    <t>Sunnybrook Health Sciences Centre,Department of Psychiatry,2075 Bayview Ave,M4N 3M5,Toronto ON  M5B 1W8</t>
  </si>
  <si>
    <t>416-480-6100</t>
  </si>
  <si>
    <t>First certificate of registration issued: Independent Practice Certificate||Effective:   30 Jun 2002</t>
  </si>
  <si>
    <t>84654</t>
  </si>
  <si>
    <t>Ontario Shores Centre for,Mental Health Sciences,Building 5,700 Gordon Street,Whitby ON  L1N 5S9</t>
  </si>
  <si>
    <t>(905) 430-4020</t>
  </si>
  <si>
    <t>Peterborough Regional Health Centre,1 Hospital Drive,Peterborough ON  K9J 7C6,Canada,Phone:705-743-2121,County:County of Peterborough,Electoral District:06
Hospital For Sick Children,555 University Avenue,Toronto, Ontario,Toronto ON  M5G 1X8,Canada,Phone:416-813-1500,County:City of Toronto,Electoral District:10</t>
  </si>
  <si>
    <t>Hospital For Sick Children:Toronto
Ontario Shores Centre for Mental Health Sciences:Whitby
Peterborough Regional Health Centre:Peterborough</t>
  </si>
  <si>
    <t>66313</t>
  </si>
  <si>
    <t xml:space="preserve">Active Member as of 11 May 1993 </t>
  </si>
  <si>
    <t xml:space="preserve">Independent Practice as of 11 May 1993 </t>
  </si>
  <si>
    <t>9 Notre-Dame Sud,Ville Marie QC  J9V 1X3</t>
  </si>
  <si>
    <t>(819) 629-3179</t>
  </si>
  <si>
    <t>C M H A,20 May Street South,P O Box 249,New Liskeard ON  P0J 1P0,Canada,Phone:(705) 647-4444,Fax:(705) 647-4434,County:Territorial District of Timiskaming,Electoral District:08</t>
  </si>
  <si>
    <t>Englehart and District Hospital:Englehart
Kirkland and District Hospital:Kirkland Lake
Notre-Dame Hospital:Hearst
Temiskaming Hospital:New Liskeard</t>
  </si>
  <si>
    <t>Psychiatry||Effective: 22 Nov 1982||RCPSC Specialist</t>
  </si>
  <si>
    <t>First certificate of registration issued: Independent Practice Certificate||Effective:   11 May 1993</t>
  </si>
  <si>
    <t>51054</t>
  </si>
  <si>
    <t xml:space="preserve">Independent Practice as of 25 Jul 1983 </t>
  </si>
  <si>
    <t>The University of British Columbia, 1980</t>
  </si>
  <si>
    <t>301-292 Montreal Rd,Ottawa ON  K1L 6B7</t>
  </si>
  <si>
    <t>(613) 909-7549</t>
  </si>
  <si>
    <t>(613) 909-1194</t>
  </si>
  <si>
    <t>Kapuskasing Counselling Services,1-29 Byng Street,Kapuskasing ON  P5N 1W6,Canada,Phone:(705) 335-8468,Fax:(705) 337-6008,County:Territorial District of Cochrane,Electoral District:08</t>
  </si>
  <si>
    <t>Bruyere Continuing Care-Elisabeth Bruyere Site:Ottawa
Montfort Hospital:Ottawa
Sensenbrenner Hospital:Kapuskasing</t>
  </si>
  <si>
    <t>First certificate of registration issued: Postgraduate Education Certificate||Effective:   01 Jul 1980
Transfer of class of registration to: Independent Practice Certificate||Effective:   25 Jul 1983</t>
  </si>
  <si>
    <t>71280</t>
  </si>
  <si>
    <t xml:space="preserve">Active Member as of 05 Aug 2004 </t>
  </si>
  <si>
    <t xml:space="preserve">Independent Practice as of 05 Aug 2004 </t>
  </si>
  <si>
    <t>Warnock, Marcia Dawn (used until: 06 Apr 2000 )</t>
  </si>
  <si>
    <t>Quarry Ridge Medical Centre,Suite 203,1 Quarry Ridge Road,Barrie ON  L4M 7G1</t>
  </si>
  <si>
    <t>(705) 728-9843</t>
  </si>
  <si>
    <t>(705) 728-8476</t>
  </si>
  <si>
    <t>Psychiatry||Effective: 01 Jun 2004||RCPSC Specialist
Child and Adolescent Psychiatry||Effective: 23 Sep 2014||RCPSC Specialist</t>
  </si>
  <si>
    <t>Queen's University, 01 Jul 1997  to 30 Jun 1998|PostGrad Yr 1 - Psychiatry
Queen's University, 01 Jul 1998  to 30 Jun 1999|PostGrad Yr 2 - Psychiatry
Queen's University, 01 Jul 1999  to 30 Jun 2000|PostGrad Yr 3 - Psychiatry
Queen's University, 01 Jul 2000  to 30 Jun 2001|PostGrad Yr 3 - Psychiatry
Queen's University, 01 Jul 2001  to 30 Jun 2002|PostGrad Yr 4 - Psychiatry
Queen's University, 01 Jul 2002  to 31 May 2003|PostGrad Yr 4 - Psychiatry
Queen's University, 01 Jun 2003  to 31 May 2004|PostGrad Yr 5 - Psychiatry</t>
  </si>
  <si>
    <t>First certificate of registration issued: Postgraduate Education Certificate||Effective:   01 Jul 1997
Expired: Terms and conditions of certificate of registration||Expiry:      31 May 2004
Subsequent certificate of registration Issued: Independent Practice Certificate||Effective:   05 Aug 2004</t>
  </si>
  <si>
    <t>92242</t>
  </si>
  <si>
    <t xml:space="preserve">Postgraduate Education as of 14 Aug 2018 </t>
  </si>
  <si>
    <t>Universidade Federal Do Ceara, 1999</t>
  </si>
  <si>
    <t>Postgraduate Medical Education,McMaster University,Room MDCL - 3101A,1280 Main Street West,Hamilton ON  L8S 4K1</t>
  </si>
  <si>
    <t>Psychiatry||Effective: 07 Jul 2018||RCPSC Specialist</t>
  </si>
  <si>
    <t>University of Toronto, 01 Nov 2009  to 23 Jan 2010|PEAP - Clinical Fellow - Psychiatry
University of Toronto, 24 Jan 2010  to 30 Jun 2010|Clinical Fellow - Psychiatry
University of Toronto, 01 Jul 2010  to 30 Jun 2011|Clinical Fellow - Psychiatry
University of Toronto, 01 Jul 2011  to 31 Dec 2011|Clinical Fellow - Psychiatry
McMaster University, 08 Jan 2018  to 30 Jun 2018|Elective Trainee - Child and Adolescent Psychiatry
McMaster University, 01 Jul 2018  to 09 Jul 2018|Elective Trainee - Child and Adolescent Psychiatry
McMaster University, 14 Aug 2018  to 30 Jun 2019|PostGrad Yr 6 - Child and Adolescent Psychiatry</t>
  </si>
  <si>
    <t>First certificate of registration issued: Pre Entry Assessment Program Certificate||Effective:   03 Nov 2009
Transfer of class of registration to: Postgraduate Education Certificate||Effective:   24 Jan 2010
Expired: Terms and conditions of certificate of registration||Expiry:      31 Dec 2011
Subsequent certificate of registration Issued: Postgraduate Education Certificate||Effective:   23 Jan 2018
Expired: Terms and conditions of certificate of registration||Expiry:      30 Jun 2018
Subsequent certificate of registration Issued: Postgraduate Education Certificate||Effective:   14 Aug 2018</t>
  </si>
  <si>
    <t>80362</t>
  </si>
  <si>
    <t>Shapir Jasovich, Marcia Helena (used until: 24 Aug 2004 )</t>
  </si>
  <si>
    <t>English, Hebrew, Portuguese, Spanish</t>
  </si>
  <si>
    <t>Federal University of Rio De Janerio, 1981</t>
  </si>
  <si>
    <t>Suite 501,600 Sherbourne Street,Toronto ON  M4X 1W4</t>
  </si>
  <si>
    <t>(416) 929-7389</t>
  </si>
  <si>
    <t>(416) 929-7390</t>
  </si>
  <si>
    <t>Psychiatry||Effective: 15 Feb 2008||RCPSC Specialist</t>
  </si>
  <si>
    <t>McMaster University, 31 Dec 2003  to 30 Jun 2004|International Specialist Physician - Psychiatry</t>
  </si>
  <si>
    <t>First certificate of registration issued: Postgraduate Education Certificate||Effective:   31 Dec 2003
Expired: Terms and conditions of certificate of registration||Expiry:      30 Jun 2004
Subsequent certificate of registration issued: Restricted certificate||Effective:   15 Oct 2004
Expired: Terms and conditions imposed on certificate by Registration Committee||Effective:   17 Nov 2004
Subsequent certificate of registration issued: Restricted certificate||Effective:   04 Oct 2005
Terms and conditions amended by Registration Committee||Effective:   29 Jun 2007
Expiry date removed from certificate of registration.||Effective:   29 Jun 2007
Expired: Terms and conditions imposed on certificate by Registration Committee||Effective:   24 Mar 2008
Subsequent certificate of registration Issued: Independent Practice Certificate||Effective:   24 Mar 2008</t>
  </si>
  <si>
    <t>78630</t>
  </si>
  <si>
    <t xml:space="preserve">Active Member as of 18 Oct 2002 </t>
  </si>
  <si>
    <t xml:space="preserve">Independent Practice as of 18 Oct 2002 </t>
  </si>
  <si>
    <t>Child Youth and Family Program,CAMH,80 Workman Way,Toronto ON  M6J 1H4</t>
  </si>
  <si>
    <t>(416) 535-8501 Ext. 34621</t>
  </si>
  <si>
    <t>Queen West Community Health Centre,168 Bathurst Street,Toronto ON  M5V 2R4,Canada,Phone:(416) 703-8480,County:City of Toronto,Electoral District:10</t>
  </si>
  <si>
    <t>First certificate of registration issued: Independent Practice Certificate||Effective:   18 Oct 2002</t>
  </si>
  <si>
    <t>57315</t>
  </si>
  <si>
    <t xml:space="preserve">Independent Practice as of 21 Jul 1987 </t>
  </si>
  <si>
    <t>Sirota, Marcie (used until: 03 Aug 2009 )</t>
  </si>
  <si>
    <t>89 Glen Rush Boulevard LL,North York ON  M5N 2V2</t>
  </si>
  <si>
    <t>(416) 782-5452</t>
  </si>
  <si>
    <t>First certificate of registration issued: Postgraduate Education Certificate||Effective:   16 Jun 1986
Transfer of class of registration to: Independent Practice Certificate||Effective:   21 Jul 1987</t>
  </si>
  <si>
    <t>Marcia Sirota Medicine Professional Corporation</t>
  </si>
  <si>
    <t>Issued Date:  Sep 17 2009</t>
  </si>
  <si>
    <t>Dr. M. Sirota (CPSO# 57315)</t>
  </si>
  <si>
    <t>89 Glen Rush Boulevard,Lower Level,North York ON  M5N 2V2,(416) 782-5452</t>
  </si>
  <si>
    <t>108348</t>
  </si>
  <si>
    <t>University of Milan, 1985</t>
  </si>
  <si>
    <t>C.A.M.H.,80 Workman Way,Toronto ON  M6J 1H4</t>
  </si>
  <si>
    <t>416-5358501 Ext. 33509</t>
  </si>
  <si>
    <t>51198</t>
  </si>
  <si>
    <t xml:space="preserve">Active Member as of 04 Jul 1984 </t>
  </si>
  <si>
    <t>114 Maitland St.,Toronto ON  M4Y 1E1</t>
  </si>
  <si>
    <t>(416) 934-7894</t>
  </si>
  <si>
    <t>Otolaryngology - Head and Neck Surgery||Effective: 05 Sep 1986||RCPSC Specialist
Psychiatry||Effective: 14 Nov 1991||RCPSC Specialist</t>
  </si>
  <si>
    <t>University of Toronto, 15 Jun 1981  to 15 Jun 1982|Other - Rotating Internship
University of Toronto, 01 Jul 1982  to 30 Jun 1983|Resident 1 - Otolaryngology - Head and Neck Surgery
University of Toronto, 01 Jul 1984  to 30 Jun 1985|Resident 3 - Otolaryngology - Head and Neck Surgery
University of Toronto, 01 Jul 1985  to 30 Jun 1986|Resident 4 - Otolaryngology - Head and Neck Surgery
University of Toronto, 25 Jul 1988  to 30 Jun 1989|Resident 1 - Psychiatry
University of Toronto, 01 Jul 1989  to 30 Jun 1990|Resident 2 - Psychiatry
University of Toronto, 01 Jul 1990  to 30 Jun 1991|Resident 4 - Psychiatry
University of Toronto, 01 Jul 1991  to 31 Dec 1991|Resident 4 - Psychiatry</t>
  </si>
  <si>
    <t>First certificate of registration issued: Postgraduate Education Certificate||Effective:   15 Jun 1981
Expired: Terms and conditions of certificate of registration||Expiry:      30 Jun 1983
Subsequent certificate of registration Issued: Postgraduate Education Certificate||Effective:   04 Jul 1984
Transfer of class of registration to: Independent Practice Certificate||Effective:   23 Jul 1986</t>
  </si>
  <si>
    <t>32003</t>
  </si>
  <si>
    <t xml:space="preserve">Active Member as of 15 Jun 1976 </t>
  </si>
  <si>
    <t xml:space="preserve">Independent Practice as of 01 Oct 1980 </t>
  </si>
  <si>
    <t>The University of Western Ontario, 1976</t>
  </si>
  <si>
    <t>Suite 30,186 King Street,London ON  N6A 1C7</t>
  </si>
  <si>
    <t>(519) 642-3599</t>
  </si>
  <si>
    <t>RHAC,Suite 30,186 King Street,London ON  N6A 1C7,Canada,Phone:(519) 434-1601,County:County of Middlesex,Electoral District:02</t>
  </si>
  <si>
    <t>First certificate of registration issued: Postgraduate Education Certificate||Effective:   15 Jun 1976
Transfer of class of registration to: Independent Practice Certificate||Effective:   01 Oct 1980</t>
  </si>
  <si>
    <t>Pelz Medicine Professional Corporation</t>
  </si>
  <si>
    <t>Issued Date:  Jun 26 2007</t>
  </si>
  <si>
    <t>Dr. D. Pelz (CPSO# 28203),Dr. M. Pelz (CPSO# 32003)</t>
  </si>
  <si>
    <t>London Health Sciences Centre,University Hospital,Department of Diagnostic Radiology,339 Windermere Road,London ON  N6A 5A5,(519) 685-8500</t>
  </si>
  <si>
    <t>55417</t>
  </si>
  <si>
    <t xml:space="preserve">Independent Practice as of 19 Jan 1987 </t>
  </si>
  <si>
    <t>Sunnybrook Health Sciences Centre,Room FG42,2075 Bayview Avenue,Toronto ON  M4N 3M5</t>
  </si>
  <si>
    <t>(416) 480-6832</t>
  </si>
  <si>
    <t>(416) 480-5866</t>
  </si>
  <si>
    <t>Centre of Addiction &amp; Mental Health,- College Street Site:Toronto
Sunnybrook Health Sciences Centre:Toronto</t>
  </si>
  <si>
    <t>University of Ottawa, 15 Jun 1985  to 15 Jun 1986|Other - Rotating Internship
University of Toronto, 01 Jul 1986  to 30 Jun 1987|Resident 1 - Psychiatry
University of Toronto, 01 Jul 1988  to 30 Jun 1989|Resident 3 - Psychiatry
University of Toronto, 01 Jul 1989  to 30 Jun 1990|Resident 4 - Psychiatry
University of Toronto, 01 Jul 1990  to 30 Jun 1991|Clinical Fellow - Psychiatry
University of Toronto, 01 Jul 1991  to 30 Jun 1992|Clinical Fellow - Psychiatry</t>
  </si>
  <si>
    <t>First certificate of registration issued: Postgraduate Education Certificate||Effective:   15 Jun 1985
Transfer of class of registration to: Independent Practice Certificate||Effective:   19 Jan 1987</t>
  </si>
  <si>
    <t>105184</t>
  </si>
  <si>
    <t>485 Silvercreek Parkway N Unit 1,Guelph ON  N1H 7K5</t>
  </si>
  <si>
    <t>1-844-264-2993</t>
  </si>
  <si>
    <t>(519) 836-7459</t>
  </si>
  <si>
    <t>First certificate of registration issued: Independent Practice Certificate||Effective:   12 Nov 2014</t>
  </si>
  <si>
    <t>91868</t>
  </si>
  <si>
    <t xml:space="preserve">Independent Practice as of 16 Jul 2009 </t>
  </si>
  <si>
    <t>(416) 535-8501 Ext. 4368</t>
  </si>
  <si>
    <t>University of Toronto, 01 Aug 2009  to 30 Jun 2010|Clinical Fellow - Psychiatry
University of Toronto, 01 Jul 2010  to 30 Jun 2011|Clinical Fellow - Psychiatry
University of Toronto, 01 Jul 2011  to 31 Dec 2011|Clinical Fellow - Psychiatry</t>
  </si>
  <si>
    <t>First certificate of registration issued: Independent Practice Certificate||Effective:   16 Jul 2009</t>
  </si>
  <si>
    <t>M. Hahn Medicine Professional Corporation</t>
  </si>
  <si>
    <t>Issued Date:  Sep 17 2018</t>
  </si>
  <si>
    <t>Dr. M. Hahn (CPSO# 91868)</t>
  </si>
  <si>
    <t>Centre for Addiction and Mental Health,739 - 250 College Street,Toronto ON  M5T 1R8,(416) 535-8501</t>
  </si>
  <si>
    <t>31183</t>
  </si>
  <si>
    <t xml:space="preserve">Independent Practice as of 16 Oct 1979 </t>
  </si>
  <si>
    <t>45 St Clair Avenue West,Suite 200,Toronto ON  M4V 1K9</t>
  </si>
  <si>
    <t>(416) 962-5775</t>
  </si>
  <si>
    <t>(416) 962-1205</t>
  </si>
  <si>
    <t>First certificate of registration issued: Postgraduate Education Certificate||Effective:   12 Jun 1978
Transfer of class of registration to: Independent Practice Certificate||Effective:   16 Oct 1979</t>
  </si>
  <si>
    <t>58550</t>
  </si>
  <si>
    <t xml:space="preserve">Independent Practice as of 09 Sep 1988 </t>
  </si>
  <si>
    <t>Janeway Room 4J129,300 Prince Phillip Drive,St John's NL  A1S 3V6</t>
  </si>
  <si>
    <t>(709) 777-4197</t>
  </si>
  <si>
    <t>(709) 722-0408</t>
  </si>
  <si>
    <t>Psychiatry||Effective: 29 May 1992||RCPSC Specialist
Child and Adolescent Psychiatry||Effective: 26 Sep 2013||RCPSC Specialist</t>
  </si>
  <si>
    <t>McMaster University, 01 Jul 1987  to 30 Jun 1988|Other - Rotating Internship
The University of Western Ontario, 01 Jul 1988  to 30 Jun 1989|Resident 1 - Psychiatry
Queen's University, 01 Jul 1989  to 30 Jun 1990|Resident 2 - Psychiatry
The University of Western Ontario, 01 Jul 1990  to 30 Jun 1991|Resident 3 - Psychiatry
The University of Western Ontario, 01 Jul 1991  to 30 Jun 1992|Resident 4 - Psychiatry</t>
  </si>
  <si>
    <t>First certificate of registration issued: Postgraduate Education Certificate||Effective:   01 Jul 1987
Transfer of class of registration to: Independent Practice Certificate||Effective:   09 Sep 1988</t>
  </si>
  <si>
    <t>32230</t>
  </si>
  <si>
    <t xml:space="preserve">Active Member as of 23 Jan 1979 </t>
  </si>
  <si>
    <t xml:space="preserve">Independent Practice as of 11 Mar 1981 </t>
  </si>
  <si>
    <t>University of London, 1975</t>
  </si>
  <si>
    <t>Suite 201,1245 Danforth Avenue,Toronto ON  M4J 5B5</t>
  </si>
  <si>
    <t>(416) 463-7077</t>
  </si>
  <si>
    <t>(647) 436-8840</t>
  </si>
  <si>
    <t>First certificate of registration issued: Postgraduate Education Certificate||Effective:   23 Jan 1979
Transfer of class of registration to: Independent Practice Certificate||Effective:   11 Mar 1981</t>
  </si>
  <si>
    <t>26187</t>
  </si>
  <si>
    <t xml:space="preserve">Active Member as of 09 Oct 1973 </t>
  </si>
  <si>
    <t xml:space="preserve">Independent Practice as of 09 Oct 1973 </t>
  </si>
  <si>
    <t>Bulgarian, English</t>
  </si>
  <si>
    <t>Valko Tchervenko Academy of Medicine, 1967</t>
  </si>
  <si>
    <t>Suite 503,600 Sherbourne Street,Toronto ON  M4X 1W4</t>
  </si>
  <si>
    <t>(416) 443-1169</t>
  </si>
  <si>
    <t>First certificate of registration issued: Independent Practice Certificate||Effective:   09 Oct 1973</t>
  </si>
  <si>
    <t>Dr. M. Gitev Medicine Professional Corporation</t>
  </si>
  <si>
    <t>Dr. M. Gitev (CPSO# 26187)</t>
  </si>
  <si>
    <t>Suite 503,600 Sherbourne Street,Toronto ON  M4X 1W4,(416) 443-1169</t>
  </si>
  <si>
    <t>105203</t>
  </si>
  <si>
    <t xml:space="preserve">Active Member as of 20 Nov 2014 </t>
  </si>
  <si>
    <t xml:space="preserve">Independent Practice as of 20 Nov 2014 </t>
  </si>
  <si>
    <t>The University of British Columbia, 1983</t>
  </si>
  <si>
    <t>Toronto General Hospital,Norman Urquhart, 8th Floor, # 802,200 Elizabeth Street,Toronto Ontario M5G 2C4,Toronto ON  M5G 2C4</t>
  </si>
  <si>
    <t>(416) 340-5145</t>
  </si>
  <si>
    <t>(416) 340-5004</t>
  </si>
  <si>
    <t>Psychiatry||Effective: 13 Jun 1988||RCPSC Specialist</t>
  </si>
  <si>
    <t>First certificate of registration issued: Independent Practice Certificate||Effective:   20 Nov 2014</t>
  </si>
  <si>
    <t>116920</t>
  </si>
  <si>
    <t xml:space="preserve">Restricted as of 07 Sep 2018 </t>
  </si>
  <si>
    <t>Universidad Autonoma De Madrid, 2002</t>
  </si>
  <si>
    <t>Queen's University,Richardon Hall,74 University Ave,Kingston ON  K7L 3N9</t>
  </si>
  <si>
    <t>(613) 533-2020</t>
  </si>
  <si>
    <t>Psychiatry||Effective: 07 Sep 2018||CPSO Recognized Specialist</t>
  </si>
  <si>
    <t>First certificate of registration issued: Restricted certificate||Effective:   07 Sep 2018
Terms and conditions imposed on certificate by Registration Committee||Effective:   07 Sep 2018
Expiry date attached to certificate of registration.||Expiry Date: 30 Jun 2021</t>
  </si>
  <si>
    <t>63057</t>
  </si>
  <si>
    <t xml:space="preserve">Active Member as of 02 Jul 1996 </t>
  </si>
  <si>
    <t>Bismonte, Maria Dulce (used until: 25 May 1992 )</t>
  </si>
  <si>
    <t>English, Filipino, Tagalog</t>
  </si>
  <si>
    <t>University of Santo Tomas, 1974</t>
  </si>
  <si>
    <t>Suite 206,1525 Albion Road,Toronto ON  M9V 5G5</t>
  </si>
  <si>
    <t>(416) 236-9728</t>
  </si>
  <si>
    <t>(416) 744-8106</t>
  </si>
  <si>
    <t>University of Toronto, 01 Jul 1990  to 30 Jun 1991|Resident 1 - Psychiatry
University of Toronto, 01 Jul 1991  to 30 Jun 1992|Resident 2 - Psychiatry
University of Toronto, 01 Jul 1992  to 31 Dec 1992|Resident 2 - Psychiatry
University of Toronto, 01 Jan 1993  to 30 Jun 1993|Resident 3 - Psychiatry
University of Toronto, 01 Jul 1993  to 30 Nov 1993|Resident 3 - Psychiatry
University of Toronto, 01 Dec 1993  to 30 Jun 1994|Resident 4 - Psychiatry
University of Toronto, 01 Jul 1994  to 31 Dec 1994|Resident 4 - Psychiatry
University of Toronto, 01 Jul 1996  to 30 Jun 1997|Clinical Fellow - Psychiatry</t>
  </si>
  <si>
    <t>First certificate of registration issued: Postgraduate Education Certificate||Effective:   21 Aug 1990
Expired: Terms and conditions of certificate of registration||Expiry:      31 Dec 1994
Subsequent certificate of registration issued: Restricted certificate||Effective:   03 Feb 1995
Expired: Terms and conditions imposed on certificate by Registration Committee||Effective:   02 Feb 1996
Subsequent certificate of registration Issued: Independent Practice Certificate||Effective:   02 Jul 1996</t>
  </si>
  <si>
    <t>Dr. Maria Dulce Bismonte Medicine Professional Corporation</t>
  </si>
  <si>
    <t>Issued Date:  Apr 03 2017</t>
  </si>
  <si>
    <t>Dr. M. Bismonte (CPSO# 63057)</t>
  </si>
  <si>
    <t>Suite 206,1525 Albion Road,Toronto ON  M9V 5G5,(416) 236-9728</t>
  </si>
  <si>
    <t>65680</t>
  </si>
  <si>
    <t>English, Italian, Spanish</t>
  </si>
  <si>
    <t>University of Siena, 1976</t>
  </si>
  <si>
    <t>Department of Psychiatry,Toronto General Hospital,200 Elizabeth Street,Toronto ON  M5G 2C4</t>
  </si>
  <si>
    <t>(416) 340-4458</t>
  </si>
  <si>
    <t>Department of Psychiatry,Community Mental Health,Toronto Western Hospital,Toronto ON  M5T 2S8,Canada,Phone:(416) 603-5800 Ext. 2089,Fax:(416) 603-5490,County:City of Toronto,Electoral District:10</t>
  </si>
  <si>
    <t>University of Toronto, 01 Jul 1992  to 30 Jun 1993|Resident 1 - Psychiatry
University of Toronto, 01 Jul 1993  to 30 Jun 1994|Resident 2 - Psychiatry
University of Toronto, 01 Jul 1994  to 30 Jun 1995|Resident 3 - Psychiatry
University of Toronto, 01 Jul 1995  to 30 Jun 1996|Resident 4 - Psychiatry
University of Toronto, 01 Jul 1996  to 30 Jun 1997|Resident 4 - Psychiatry
University of Toronto, 01 Jul 1997  to 30 Jun 1998|Clinical Fellow - Psychiatry
University of Toronto, 01 Jul 1998  to 30 Jun 1999|Clinical Fellow - Psychiatry</t>
  </si>
  <si>
    <t>First certificate of registration issued: Postgraduate Education Certificate||Effective:   01 Jul 1992
Transfer of class of registration to: Independent Practice Certificate||Effective:   30 Jun 1999</t>
  </si>
  <si>
    <t>Dr. Esther Elliott Medicine Professional Corporation</t>
  </si>
  <si>
    <t>Issued Date:  Oct 26 2016</t>
  </si>
  <si>
    <t>Dr. M. Elliott (CPSO# 65680)</t>
  </si>
  <si>
    <t>Toronto General Hosptial,Department of Psychiatry,Room EN8-240,200 Elizabeth Street,Toronto ON  M5G 2C4,(416) 340-4458</t>
  </si>
  <si>
    <t>86742</t>
  </si>
  <si>
    <t xml:space="preserve">Independent Practice as of 03 Jan 2013 </t>
  </si>
  <si>
    <t>Aga Khan University, 2005</t>
  </si>
  <si>
    <t>Providence Care Hospital,752 King Street West,P.O. Box 603,Kingston ON  K7L 4X3</t>
  </si>
  <si>
    <t>(613) 5444900</t>
  </si>
  <si>
    <t>76 Stuart St,Kingston ON  K7L 2V7,Canada,Phone:(613) 549-6666,County:County of Frontenac,Electoral District:06</t>
  </si>
  <si>
    <t>Psychiatry||Effective: 31 Dec 2012||RCPSC Specialist
Geriatric Psychiatry||Effective: 21 Sep 2015||RCPSC Specialist</t>
  </si>
  <si>
    <t>Queen's University, 01 Jul 2007  to 22 Sep 2007|Assessment Verification Period - Psychiatry
Queen's University, 23 Sep 2007  to 30 Jun 2008|PostGrad Yr 1 - Psychiatry
Queen's University, 01 Jul 2008  to 30 Jun 2009|PostGrad Yr 2 - Psychiatry
Queen's University, 01 Jul 2009  to 30 Jun 2010|PostGrad Yr 3 - Psychiatry
Queen's University, 01 Jul 2010  to 30 Jun 2011|PostGrad Yr 4 - Psychiatry
Queen's University, 01 Jul 2011  to 30 Jun 2012|PostGrad Yr 5 - Psychiatry
Queen's University, 01 Jul 2012  to 31 Dec 2012|PostGrad Yr 5 - Psychiatry
Queen's University, 01 Jan 2013  to 30 Jun 2013|Clinical Fellow - Psychiatry
Queen's University, 01 Jul 2013  to 30 Jun 2014|Clinical Fellow - Psychiatry
Queen's University, 01 Jul 2014  to 25 Aug 2014|Clinical Fellow - Psychiatry
Queen's University, 26 Aug 2014  to 31 Dec 2014|Clinical Fellow - Psychiatry</t>
  </si>
  <si>
    <t>First certificate of registration issued: Pre Entry Assessment Program Certificate||Effective:   01 Jul 2007
Transfer of class of registration to: Postgraduate Education Certificate||Effective:   23 Sep 2007
Transfer of class of registration to: Independent Practice Certificate||Effective:   03 Jan 2013</t>
  </si>
  <si>
    <t>Maria Hussain Medicine Professional Corporation</t>
  </si>
  <si>
    <t>Issued Date:  Jan 14 2015</t>
  </si>
  <si>
    <t>Dr. M. Hussain (CPSO# 86742)</t>
  </si>
  <si>
    <t>Providence Care,Division of Geriatric Psychiatry,752 King Street West,Kingston ON  K7L 4X3,(613) 546-1101
Kingston General Hospital,Kingston General Hospital,76 Stuart Street,Kingston ON  K7L 2V7,(613) 549-6666</t>
  </si>
  <si>
    <t>51932</t>
  </si>
  <si>
    <t xml:space="preserve">Independent Practice as of 05 Aug 1988 </t>
  </si>
  <si>
    <t>University of Rome, 1975</t>
  </si>
  <si>
    <t>First certificate of registration issued: Postgraduate Education Certificate||Effective:   01 Jul 1982
Transfer of class of registration to: Independent Practice Certificate||Effective:   05 Aug 1988</t>
  </si>
  <si>
    <t>61812</t>
  </si>
  <si>
    <t xml:space="preserve">Independent Practice as of 01 Jul 1994 </t>
  </si>
  <si>
    <t>Academy of Medicine, Cracow, 1982</t>
  </si>
  <si>
    <t>(416) 924-3854</t>
  </si>
  <si>
    <t>(416) 924-9428</t>
  </si>
  <si>
    <t>First certificate of registration issued: Postgraduate Education Certificate||Effective:   07 Dec 1989
Expired: Terms and conditions of certificate of registration||Expiry:      30 Jun 1994
Subsequent certificate of registration Issued: Independent Practice Certificate||Effective:   01 Jul 1994</t>
  </si>
  <si>
    <t>Maria Koczorowska Medicine Professional Corporation</t>
  </si>
  <si>
    <t>Issued Date:  Dec 02 2005</t>
  </si>
  <si>
    <t>Dr. M. Koczorowska (CPSO# 61812)</t>
  </si>
  <si>
    <t>B - 53 Melgund Road,Toronto ON  M5R 2A1,(416) 924-3854</t>
  </si>
  <si>
    <t>82509</t>
  </si>
  <si>
    <t xml:space="preserve">Active Member as of 04 Jan 2012 </t>
  </si>
  <si>
    <t xml:space="preserve">Independent Practice as of 04 Jan 2012 </t>
  </si>
  <si>
    <t>Halton Seniors' Mental Health,Outreach Program,5230 South Service Road,Burlington ON  L7L 5K2</t>
  </si>
  <si>
    <t>Psychiatry||Effective: 31 Dec 2011||RCPSC Specialist
Geriatric Psychiatry||Effective: 23 Sep 2014||RCPSC Specialist</t>
  </si>
  <si>
    <t>McMaster University, 01 Jul 2005  to 30 Jun 2006|PostGrad Yr 1 - Psychiatry
McMaster University, 01 Jul 2006  to 30 Jun 2007|PostGrad Yr 2 - Psychiatry
McMaster University, 01 Jul 2007  to 30 Jun 2008|PostGrad Yr 2 - Psychiatry
McMaster University, 01 Jul 2008  to 30 Jun 2009|PostGrad Yr 3 - Psychiatry
McMaster University, 01 Jul 2009  to 30 Jun 2010|PostGrad Yr 4 - Psychiatry
McMaster University, 01 Jul 2010  to 30 Jun 2011|PostGrad Yr 5 - Psychiatry
McMaster University, 01 Jul 2011  to 31 Dec 2011|PostGrad Yr 5 - Psychiatry</t>
  </si>
  <si>
    <t>First certificate of registration issued: Postgraduate Education Certificate||Effective:   01 Jul 2005
Expired: Terms and conditions of certificate of registration||Expiry:      31 Dec 2011
Subsequent certificate of registration Issued: Independent Practice Certificate||Effective:   04 Jan 2012</t>
  </si>
  <si>
    <t>Mariam Aziz Medicine Professional Corporation</t>
  </si>
  <si>
    <t>Issued Date:  Nov 08 2012</t>
  </si>
  <si>
    <t>Dr. M. Aziz (CPSO# 82509)</t>
  </si>
  <si>
    <t>Halton Geriatric Mental Health,Outreach Program,5230 South Service Road,Burlington ON  L7L 5K2,(905) 681-8233</t>
  </si>
  <si>
    <t>88381</t>
  </si>
  <si>
    <t>416 530 6591</t>
  </si>
  <si>
    <t>St Joseph's Care Group,Thunder Bay:Thunder Bay
St Joseph's Health Centre,Toronto:Toronto
Thunder Bay Regional Health Sciences Centre:Thunder Bay</t>
  </si>
  <si>
    <t>McMaster University, 01 Jul 2008  to 30 Jun 2009|PostGrad Yr 1 - Psychiatry
McMaster University, 01 Jul 2009  to 30 Jun 2010|PostGrad Yr 2 - Psychiatry
McMaster University, 01 Jul 2010  to 30 Jun 2011|PostGrad Yr 3 - Psychiatry
McMaster University, 01 Jul 2011  to 30 Jun 2012|PostGrad Yr 2 - Public Health and Preventive Medicine
McMaster University, 01 Jul 2012  to 30 Jun 2013|PostGrad Yr 3 - Public Health and Preventive Medicine
McMaster University, 01 Jul 2013  to 31 Dec 2013|PostGrad Yr 4 - Psychiatry
McMaster University, 01 Jan 2014  to 30 Jun 2014|PostGrad Yr 5 - Psychiatry
McMaster University, 01 Jul 2014  to 31 Dec 2014|PostGrad Yr 5 - Psychiatry</t>
  </si>
  <si>
    <t>First certificate of registration issued: Postgraduate Education Certificate||Effective:   01 Jul 2008
Transfer of class of registration to: Independent Practice Certificate||Effective:   31 Dec 2014</t>
  </si>
  <si>
    <t>Abdurrahman Medicine Professional Corporation</t>
  </si>
  <si>
    <t>Issued Date:  Apr 04 2016</t>
  </si>
  <si>
    <t>Dr. M. Abdurrahman (CPSO# 88381)</t>
  </si>
  <si>
    <t>St Joseph's Health Centre,30 The Queensway,Toronto ON  M6R 1B5,(416) 530-6591
900 Oliver Road,900 Oliver Road,Thunder Bay ON  P7B 6V4,(807) 684-6000</t>
  </si>
  <si>
    <t>29570</t>
  </si>
  <si>
    <t xml:space="preserve">Active Member as of 30 Aug 1977 </t>
  </si>
  <si>
    <t xml:space="preserve">Independent Practice as of 30 Aug 1977 </t>
  </si>
  <si>
    <t>University of Witwatersrand, 1961</t>
  </si>
  <si>
    <t>2 Grosvenor Court,Thornhill ON  L3T5T5</t>
  </si>
  <si>
    <t>(416) 733-9032</t>
  </si>
  <si>
    <t>First certificate of registration issued: Postgraduate Education Certificate||Effective:   14 Mar 1968
Expired: Terms and conditions of certificate of registration||Expiry:      30 Jun 1971
Subsequent certificate of registration Issued: Temporary Employment Practice Certificate||Effective:   21 Sep 1971
Transfer of class of registration to: Postgraduate Education Certificate||Effective:   17 Sep 1976
Expired: Terms and conditions of certificate of registration||Expiry:      31 Dec 1976
Subsequent certificate of registration Issued: Hospital Practice Certificate||Effective:   03 Feb 1977
Transfer of class of registration to: Public Service Practice Certificate||Effective:   04 Apr 1977
Transfer of class of registration to: Independent Practice Certificate||Effective:   30 Aug 1977</t>
  </si>
  <si>
    <t>50137</t>
  </si>
  <si>
    <t>Benoist, Mariana Georgeta (used until: 15 Apr 1997 )</t>
  </si>
  <si>
    <t>University of Bucharest, 1961</t>
  </si>
  <si>
    <t>103 - 2221 Keele Street,North York ON  M6M 3Z5</t>
  </si>
  <si>
    <t>416-614-9696</t>
  </si>
  <si>
    <t>416-960-1017</t>
  </si>
  <si>
    <t>North York General Hospital,4001 Leslie Street,North York ON  M2K 1E1,Canada,Phone:(416) 756-6660,Fax:(416) 756-6731,County:City of Toronto,Electoral District:10</t>
  </si>
  <si>
    <t>First certificate of registration issued: Postgraduate Education Certificate||Effective:   01 Jul 1982
Transfer of class of registration to: Independent Practice Certificate||Effective:   26 Jul 1985</t>
  </si>
  <si>
    <t>79375</t>
  </si>
  <si>
    <t>(416) 586-4800 Ext. 4542</t>
  </si>
  <si>
    <t>The University of Western Ontario, 01 Jul 2003  to 30 Jun 2004|PostGrad Yr 1 - Psychiatry
University of Toronto, 01 Jul 2004  to 30 Jun 2005|PostGrad Yr 2 - Psychiatry
University of Toronto, 01 Jul 2005  to 30 Jun 2006|PostGrad Yr 3 - Psychiatry
University of Toronto, 01 Jul 2006  to 30 Jun 2007|PostGrad Yr 4 - Psychiatry
University of Toronto, 01 Jul 2007  to 30 Jun 2008|PostGrad Yr 5 - Psychiatry</t>
  </si>
  <si>
    <t>M. Golts Medicine Professional Corporation</t>
  </si>
  <si>
    <t>Issued Date:  Mar 18 2011</t>
  </si>
  <si>
    <t>Dr. M. Golts (CPSO# 79375)</t>
  </si>
  <si>
    <t>Mount Sinai Hospital,600 University Avenue,Toronto ON  M5G 1X5,(416) 586-4800</t>
  </si>
  <si>
    <t>97370</t>
  </si>
  <si>
    <t xml:space="preserve">Active Member as of 21 Mar 2012 </t>
  </si>
  <si>
    <t xml:space="preserve">Independent Practice as of 21 Mar 2012 </t>
  </si>
  <si>
    <t>Verdun Hospital,4000   Lasalle Boulevard,Montreal QC  H4G 2A3</t>
  </si>
  <si>
    <t>(514) 362-1000 Ext. 2141</t>
  </si>
  <si>
    <t>Douglas Mental Health,University Institute,6875   Lasalle Boulevard,Montréal QC  H4H 1R3,Canada,Phone:(514) 761-6131 Ext. 2221,County:Electoral District</t>
  </si>
  <si>
    <t>Psychiatry||Effective: 29 Aug 1999||RCPSC Specialist</t>
  </si>
  <si>
    <t>First certificate of registration issued: Independent Practice Certificate||Effective:   21 Mar 2012</t>
  </si>
  <si>
    <t>117009</t>
  </si>
  <si>
    <t xml:space="preserve">Active Member as of 26 Sep 2018 </t>
  </si>
  <si>
    <t xml:space="preserve">Independent Practice as of 26 Sep 2018 </t>
  </si>
  <si>
    <t>University of Calgary, 2011</t>
  </si>
  <si>
    <t>First certificate of registration issued: Independent Practice Certificate||Effective:   26 Sep 2018</t>
  </si>
  <si>
    <t>95566</t>
  </si>
  <si>
    <t>Laval University, 2005</t>
  </si>
  <si>
    <t>Centre de pedopsychiatrie CIUSSSCN,de Quebec,1, Avenue du Sacre-Coeur,Quebec QC  G1N 2W1</t>
  </si>
  <si>
    <t>(418) 529-6851 Ext. 20451</t>
  </si>
  <si>
    <t>(418) 691-0750</t>
  </si>
  <si>
    <t>University of Toronto, 01 Jul 2011  to 30 Jun 2012|Clinical Fellow - Psychiatry</t>
  </si>
  <si>
    <t>First certificate of registration issued: Independent Practice Certificate||Effective:   01 Jul 2011</t>
  </si>
  <si>
    <t>51340</t>
  </si>
  <si>
    <t xml:space="preserve">Active Member as of 19 Jun 1987 </t>
  </si>
  <si>
    <t xml:space="preserve">Independent Practice as of 12 May 2009 </t>
  </si>
  <si>
    <t>University of Lausanne, 1971</t>
  </si>
  <si>
    <t>Suite 400,2555 Boulevard St Joseph,Orleans ON  K1C 1S6</t>
  </si>
  <si>
    <t>(613) 841-2320</t>
  </si>
  <si>
    <t>Psychiatry||Effective: 24 Nov 1986||RCPSC Specialist</t>
  </si>
  <si>
    <t>First certificate of registration issued: Postgraduate Education Certificate||Effective:   01 Jul 1978
Expired: Terms and conditions of certificate of registration||Expiry:      30 Jun 1984
Subsequent certificate of registration Issued: Postgraduate Education Certificate||Effective:   17 Mar 1986
Expired: Terms and conditions of certificate of registration||Expiry:      31 Dec 1986
Subsequent certificate of registration Issued: Independent Practice Certificate||Effective:   19 Jun 1987
Transfer of class of certificate to: Restricted certificate||Effective:   27 Nov 2007
Terms and conditions imposed on certificate||Effective:   27 Nov 2007
Transfer of class of registration to: Independent Practice Certificate||Effective:   12 May 2009</t>
  </si>
  <si>
    <t>50918</t>
  </si>
  <si>
    <t>Trillium Health Partners,Mississauga Hospital,100 Queensway West,Mississauga ON  L5B 1B8</t>
  </si>
  <si>
    <t>(905) 848-7610</t>
  </si>
  <si>
    <t>(905) 804-7786</t>
  </si>
  <si>
    <t>Trillium Health Partners,Queensway Health Centre,150 Sherway Drive,Toronto ON  M9C 1A5,Canada,Phone:(416) 259-7580 Ext. 5586,Fax:(416) 521-4072,County:City of Toronto,Electoral District:10</t>
  </si>
  <si>
    <t>First certificate of registration issued: Postgraduate Education Certificate||Effective:   01 Jul 1982
Transfer of class of registration to: Independent Practice Certificate||Effective:   09 Jul 1985</t>
  </si>
  <si>
    <t>Dr. Suzanne Legault Medicine Professional Corporation</t>
  </si>
  <si>
    <t>Issued Date:  Jun 15 2015</t>
  </si>
  <si>
    <t>Dr. M. Legault (CPSO# 50918)</t>
  </si>
  <si>
    <t>Trillium Health Partners,Mississauga Hospital,100 Queensway West,Mississauga ON  L5B 1B8,(905) 848-7585
Trillium Health Partners,Trillium Health Partners,Queensway Health Centre,150 Sherway Drive,4th Floor,Toronto ON  M9C 1A5,(416) 259-7580</t>
  </si>
  <si>
    <t>70303</t>
  </si>
  <si>
    <t>Department of Psychiatry,North York General Hospital,4001 Leslie Street,Toronto ON  M2K 1E1</t>
  </si>
  <si>
    <t>(416) 756-6676</t>
  </si>
  <si>
    <t>Dr. M. C. Guimond Medicine Professional Corporation</t>
  </si>
  <si>
    <t>Issued Date:  Dec 20 2016</t>
  </si>
  <si>
    <t>Dr. M. Guimond (CPSO# 70303)</t>
  </si>
  <si>
    <t>North York General Hospital,4001 Leslie Street,Toronto ON  M2K 1E1,(416) 756-6676</t>
  </si>
  <si>
    <t>100430</t>
  </si>
  <si>
    <t>Postgraduate Medical Education,University of Ottawa,451 Smyth Road, Room 2014,Ottawa ON  K1H 8M5</t>
  </si>
  <si>
    <t>613-562-5413</t>
  </si>
  <si>
    <t>613-562-5420</t>
  </si>
  <si>
    <t>University of Ottawa, 01 Jul 2013  to 30 Jun 2014|PostGrad Yr 1 - Psychiatry
University of Ottawa, 01 Jul 2014  to 30 Jun 2015|PostGrad Yr 2 - Psychiatry
University of Ottawa, 01 Jul 2015  to 30 Jun 2016|PostGrad Yr 3 - Psychiatry
University of Ottawa, 01 Jul 2016  to 30 Jun 2017|PostGrad Yr 4 - Psychiatry
University of Ottawa, 01 Jul 2017  to 30 Jun 2018|PostGrad Yr 5 - Psychiatry
University of Ottawa, 01 Jul 2018  to 30 Jun 2019|PostGrad Yr 6 - Geriatric Psychiatry</t>
  </si>
  <si>
    <t>91042</t>
  </si>
  <si>
    <t>UHN Toronto Western Hospital,East Wing, 9E404,399 Bathurst Street,Toronto ON  M5T 2S8</t>
  </si>
  <si>
    <t>(416) 603-5800 Ext. 5458</t>
  </si>
  <si>
    <t>(416) 603-5912</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</si>
  <si>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Psychiatry
University of Toronto, 01 Jul 2014  to 22 May 2015|PostGrad Yr 5 - Psychiatry</t>
  </si>
  <si>
    <t>First certificate of registration issued: Postgraduate Education Certificate||Effective:   01 Jul 2009
Expired: Terms and conditions of certificate of registration||Expiry:      22 May 2015
Subsequent certificate of registration Issued: Independent Practice Certificate||Effective:   30 Jun 2016</t>
  </si>
  <si>
    <t>Jonathan Ailon Medicine Professional Corporation</t>
  </si>
  <si>
    <t>Issued Date:  Jul 14 2014</t>
  </si>
  <si>
    <t>Dr. J. Ailon (CPSO# 91029),Dr. M. Lynch (CPSO# 91042)</t>
  </si>
  <si>
    <t>St Michael's Hospital,Department of Internal Medicine,4-146 Cardinal Carter Wing,30 Bond Street,Toronto ON  M5B 1W8,(416) 864-6060
14 St. Matthews Road,14 St. Matthews Road,Toronto ON  M4M 2B5,(416) 461-8251
4001 Leslie Street,4001 Leslie Street,Toronto ON  M2K 1E1,(416) 756-6000</t>
  </si>
  <si>
    <t>108589</t>
  </si>
  <si>
    <t xml:space="preserve">Independent Practice as of 30 Nov 2017 </t>
  </si>
  <si>
    <t>Laval University, 2011</t>
  </si>
  <si>
    <t>Practice Address Not Available,7700 Hurontario St #314,Brampton ON  L6Y 4M3</t>
  </si>
  <si>
    <t>(905) 451-2123</t>
  </si>
  <si>
    <t>University of Toronto, 04 Apr 2016  to 30 Jun 2016|Elective Trainee - Psychiatry
University of Toronto, 01 Jul 2016  to 30 Jun 2017|PostGrad Yr 6 - Psychiatry</t>
  </si>
  <si>
    <t>First certificate of registration issued: Postgraduate Education Certificate||Effective:   04 Apr 2016
Expired: Terms and conditions of certificate of registration||Expiry:      30 Jun 2016
Subsequent certificate of registration Issued: Postgraduate Education Certificate||Effective:   01 Jul 2016
Expired: Terms and conditions of certificate of registration||Expiry:      30 Jun 2017
Subsequent certificate of registration Issued: Independent Practice Certificate||Effective:   30 Nov 2017</t>
  </si>
  <si>
    <t>86417</t>
  </si>
  <si>
    <t xml:space="preserve">Active Member as of 11 Jun 2013 </t>
  </si>
  <si>
    <t xml:space="preserve">Independent Practice as of 11 Jun 2013 </t>
  </si>
  <si>
    <t>(613) 746-4621 Ext. 3912</t>
  </si>
  <si>
    <t>613 748-4938</t>
  </si>
  <si>
    <t>University of Ottawa, 01 Jul 2007  to 30 Jun 2008|PostGrad Yr 1 - Psychiatry
University of Ottawa, 01 Jul 2008  to 30 Jun 2009|PostGrad Yr 2 - Psychiatry
University of Ottawa, 01 Jul 2009  to 30 Jun 2010|PostGrad Yr 3 - Psychiatry
University of Ottawa, 01 Jul 2010  to 30 Jun 2011|PostGrad Yr 4 - Psychiatry
University of Ottawa, 01 Jul 2011  to 16 Mar 2012|PostGrad Yr 4 - Psychiatry
University of Ottawa, 17 Mar 2012  to 16 Mar 2013|PostGrad Yr 5 - Psychiatry</t>
  </si>
  <si>
    <t>First certificate of registration issued: Postgraduate Education Certificate||Effective:   01 Jul 2007
Expired: Terms and conditions of certificate of registration||Expiry:      16 Mar 2013
Subsequent certificate of registration Issued: Independent Practice Certificate||Effective:   11 Jun 2013</t>
  </si>
  <si>
    <t>79006</t>
  </si>
  <si>
    <t>St. Joseph's Health Centre,30 The Queensway,Toronto ON  M6R 1B5</t>
  </si>
  <si>
    <t>University of Toronto, 01 Jul 2003  to 30 Jun 2004|PostGrad Yr 1 - Psychiatry
The University of Western Ontario, 01 Jul 2004  to 30 Jun 2005|PostGrad Yr 2 - Psychiatry
The University of Western Ontario, 01 Jul 2005  to 30 Jun 2006|PostGrad Yr 3 - Psychiatry
The University of Western Ontario, 01 Jul 2006  to 30 Jun 2007|PostGrad Yr 4 - Psychiatry
The University of Western Ontario, 01 Jul 2007  to 30 Jun 2008|PostGrad Yr 5 - Psychiatry</t>
  </si>
  <si>
    <t>Marijana Drandic Medicine Professional Corporation</t>
  </si>
  <si>
    <t>Issued Date:  Jan 04 2016</t>
  </si>
  <si>
    <t>Dr. M. Drandic (CPSO# 79006)</t>
  </si>
  <si>
    <t>St. Joseph's Health Centre,30 The Queensway,Toronto ON  M6R 1B5,(416) 530-6591</t>
  </si>
  <si>
    <t>92775</t>
  </si>
  <si>
    <t>Children's Hospital of Eastern,Ontario,401 Smyth Road,Ottawa ON  K1H 8L1</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</si>
  <si>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Paediatric Psychiatry
University of Toronto, 01 Jul 2015  to 30 Jun 2016|PostGrad Yr 6 - Paediatric Psychiatry</t>
  </si>
  <si>
    <t>88642</t>
  </si>
  <si>
    <t xml:space="preserve">Active Member as of 21 Aug 2014 </t>
  </si>
  <si>
    <t xml:space="preserve">Independent Practice as of 21 Aug 2014 </t>
  </si>
  <si>
    <t>St Joseph's Health Centre,Suite 1M144,30 The Queensway,Toronto ON  M6R 1B5</t>
  </si>
  <si>
    <t>University of Toronto, 01 Jul 2008  to 30 Jun 2009|PostGrad Yr 1 - Psychiatry
University of Toronto, 01 Jul 2009  to 30 Jun 2010|PostGrad Yr 2 - Psychiatry
University of Toronto, 01 Jul 2010  to 30 Jun 2011|PostGrad Yr 3 - Psychiatry
University of Toronto, 01 Jul 2011  to 30 Jun 2012|PostGrad Yr 4 - Psychiatry
University of Toronto, 01 Jul 2012  to 31 Aug 2012|PostGrad Yr 4 - Psychiatry
University of Toronto, 01 Sep 2012  to 30 Jun 2013|PostGrad Yr 5 - Psychiatry
University of Toronto, 01 Jul 2013  to 30 Jun 2014|PostGrad Yr 5 - Psychiatry</t>
  </si>
  <si>
    <t>First certificate of registration issued: Postgraduate Education Certificate||Effective:   01 Jul 2008
Expired: Terms and conditions of certificate of registration||Expiry:      30 Jun 2014
Subsequent certificate of registration Issued: Independent Practice Certificate||Effective:   21 Aug 2014</t>
  </si>
  <si>
    <t>M. Younker Medicine Professional Corporation</t>
  </si>
  <si>
    <t>Issued Date:  Aug 28 2014</t>
  </si>
  <si>
    <t>Dr. M. Younker (CPSO# 88642)</t>
  </si>
  <si>
    <t>30 The Queensway,Suite 1M144,Toronto ON  M6R 1B5,(416) 530-6486</t>
  </si>
  <si>
    <t>56999</t>
  </si>
  <si>
    <t xml:space="preserve">Independent Practice as of 15 Oct 1987 </t>
  </si>
  <si>
    <t>1515 Quadra Street,Victoria BC  V8V 3P3</t>
  </si>
  <si>
    <t>(250) 3872830</t>
  </si>
  <si>
    <t>(250) 3873217</t>
  </si>
  <si>
    <t>The University of Western Ontario, 15 Jun 1986  to 14 Jul 1987|Other - Rotating Internship
The University of Western Ontario, 01 Jul 1987  to 30 Jun 1988|Resident 1 - Psychiatry
The University of Western Ontario, 01 Jul 1988  to 30 Jun 1989|Resident 2 - Psychiatry
The University of Western Ontario, 01 Jul 1989  to 30 Jun 1990|Resident 3 - Psychiatry
The University of Western Ontario, 01 Jul 1990  to 30 Jun 1991|Resident 4 - Psychiatry</t>
  </si>
  <si>
    <t>First certificate of registration issued: Postgraduate Education Certificate||Effective:   15 Jun 1986
Transfer of class of registration to: Independent Practice Certificate||Effective:   15 Oct 1987</t>
  </si>
  <si>
    <t>Thorpe Medicine Professional Corporation</t>
  </si>
  <si>
    <t>Inactive: Apr  4 2014</t>
  </si>
  <si>
    <t>33562</t>
  </si>
  <si>
    <t xml:space="preserve">Active Member as of 19 Jul 1982 </t>
  </si>
  <si>
    <t xml:space="preserve">Independent Practice as of 19 Jul 1982 </t>
  </si>
  <si>
    <t>McGill University, 1977</t>
  </si>
  <si>
    <t>508 Erie St.,Stratford ON  N5A 2N6</t>
  </si>
  <si>
    <t>(519) 271-0300</t>
  </si>
  <si>
    <t>(519) 273-2616</t>
  </si>
  <si>
    <t>Psychiatry||Effective: 08 Jun 1982||RCPSC Specialist
Child and Adolescent Psychiatry||Effective: 11 Sep 2013||RCPSC Specialist</t>
  </si>
  <si>
    <t>First certificate of registration issued: Independent Practice Certificate||Effective:   19 Jul 1982</t>
  </si>
  <si>
    <t>Dr. Marilyn Marshall Medicine Professional Corporation</t>
  </si>
  <si>
    <t>Dr. M. Marshall (CPSO# 33562)</t>
  </si>
  <si>
    <t>508 Erie Street,Stratford ON  N5A 2N6,(519) 271-0300</t>
  </si>
  <si>
    <t>50996</t>
  </si>
  <si>
    <t>English, Polish, Ukrainian</t>
  </si>
  <si>
    <t>Suite 302,980 Queenston Road,Stoney Creek ON  L8G 1B9</t>
  </si>
  <si>
    <t>(905) 662-0440</t>
  </si>
  <si>
    <t>First certificate of registration issued: Postgraduate Education Certificate||Effective:   01 Jul 1982
Transfer of class of registration to: Independent Practice Certificate||Effective:   07 Jul 1986</t>
  </si>
  <si>
    <t>83334</t>
  </si>
  <si>
    <t>CMHA,201-15150 Yonge Street,Aurora ON  L4G1M2</t>
  </si>
  <si>
    <t>905 8413977 Ext. 3221</t>
  </si>
  <si>
    <t>9058413007</t>
  </si>
  <si>
    <t>344 Edgely Blvd,Vaughan ON  L4K3Y9,Canada,Fax:9058413007,County:Regional Municipality of York,Electoral District:05</t>
  </si>
  <si>
    <t>Dr. Marina Frantseva Medicine Professional Corporation</t>
  </si>
  <si>
    <t>Issued Date:  May 19 2016</t>
  </si>
  <si>
    <t>Dr. M. Frantseva (CPSO# 83334)</t>
  </si>
  <si>
    <t>15150 Yonge Street,Aurora ON  L4G 1M2,(905) 841-3977
27 - 344 Edgeley Boulevard,27 - 344 Edgeley Boulevard,Vaughan ON  L4K 4B7,(416) 910-5226
CAMH Queen's Site,CAMH Queen's Site,Department of Psychiatry,1001 Queen Street West,Suite 2-179,Toronto ON  M6J 1H4,(416) 535-8501</t>
  </si>
  <si>
    <t>60500</t>
  </si>
  <si>
    <t xml:space="preserve">Active Member as of 22 Sep 1993 </t>
  </si>
  <si>
    <t xml:space="preserve">Independent Practice as of 22 Sep 1993 </t>
  </si>
  <si>
    <t>Universidad Autonoma De Nuevo Leon, 1982</t>
  </si>
  <si>
    <t>Adult Psychiatry,333 - 25th Street East,Suite 502,Saskatoon SK  S7K 0L4</t>
  </si>
  <si>
    <t>(306) 665-8989</t>
  </si>
  <si>
    <t>(306) 244-3501</t>
  </si>
  <si>
    <t>First certificate of registration issued: Postgraduate Education Certificate||Effective:   05 Jan 1989
Expired: Terms and conditions of certificate of registration||Expiry:      30 Jun 1989
Subsequent certificate of registration Issued: Independent Practice Certificate||Effective:   22 Sep 1993</t>
  </si>
  <si>
    <t>104733</t>
  </si>
  <si>
    <t xml:space="preserve">Active Member as of 06 Aug 2014 </t>
  </si>
  <si>
    <t xml:space="preserve">Independent Practice as of 06 Aug 2014 </t>
  </si>
  <si>
    <t>Riga Stradins University, 1987</t>
  </si>
  <si>
    <t>Suite 201,200 Waterfront Drive,Bedford NS  B4A 4J4</t>
  </si>
  <si>
    <t>(902) 448-3899</t>
  </si>
  <si>
    <t>(902) 835-2820</t>
  </si>
  <si>
    <t>First certificate of registration issued: Independent Practice Certificate||Effective:   06 Aug 2014</t>
  </si>
  <si>
    <t>31548</t>
  </si>
  <si>
    <t xml:space="preserve">Active Member as of 17 Jun 1980 </t>
  </si>
  <si>
    <t xml:space="preserve">Independent Practice as of 17 Jun 1980 </t>
  </si>
  <si>
    <t>Joseph Brant Hospital,Community Mental Health,1182 North Shore Blvd.,Burlington ON  L7S 1C5</t>
  </si>
  <si>
    <t>(905) 631-0694</t>
  </si>
  <si>
    <t>905-631-5804</t>
  </si>
  <si>
    <t>Joseph Brant Hospital,1182 North Shore Blvd,Burlington ON  L7S 1C5,Canada,Phone:(905) 631-0694,Fax:(905) 631-0513,County:Regional Municipality of Halton,Electoral District:04</t>
  </si>
  <si>
    <t>First certificate of registration issued: Independent Practice Certificate||Effective:   17 Jun 1980</t>
  </si>
  <si>
    <t>Battigelli Medicine Professional Corporation</t>
  </si>
  <si>
    <t>Issued Date:  Feb 23 2011</t>
  </si>
  <si>
    <t>Dr. M. Battigelli (CPSO# 31548)</t>
  </si>
  <si>
    <t>Joseph Brant Hospital,Community Mental Health,1182 North Shore Boulevard,Burlington ON  L7S 1C5,(905) 336-7919</t>
  </si>
  <si>
    <t>100699</t>
  </si>
  <si>
    <t>The Ottawa Hospital - Civic Campus,Dept of Psychiatry,1053 Carling Ave,Ottawa ON  K1Y 4E9</t>
  </si>
  <si>
    <t>University of Ottawa, 01 Jul 2013  to 30 Jun 2014|PostGrad Yr 1 - Psychiatry
University of Ottawa, 01 Jul 2014  to 30 Jun 2015|PostGrad Yr 2 - Psychiatry
University of Ottawa, 01 Jul 2015  to 30 Jun 2016|PostGrad Yr 3 - Psychiatry
University of Ottawa, 01 Jul 2016  to 30 Jun 2017|PostGrad Yr 4 - Psychiatry
University of Ottawa, 01 Jul 2017  to 30 Jun 2018|PostGrad Yr 5 - Psychiatry</t>
  </si>
  <si>
    <t>113552</t>
  </si>
  <si>
    <t xml:space="preserve">Active Member as of 20 Jul 2017 </t>
  </si>
  <si>
    <t xml:space="preserve">Independent Practice as of 20 Jul 2017 </t>
  </si>
  <si>
    <t>McGill University, 2001</t>
  </si>
  <si>
    <t>St Joseph's Health Care London,Parkwood Mental Health Building,P.O. Box 5777, STN B,London ON  N6A 4V2</t>
  </si>
  <si>
    <t>(519) 455-5110 Ext. 47401</t>
  </si>
  <si>
    <t>First certificate of registration issued: Independent Practice Certificate||Effective:   20 Jul 2017</t>
  </si>
  <si>
    <t>89084</t>
  </si>
  <si>
    <t>C A M H,80 Workman Way,Toronto ON  M6J 1H4</t>
  </si>
  <si>
    <t>416-979-4685</t>
  </si>
  <si>
    <t>First certificate of registration issued: Postgraduate Education Certificate||Effective:   01 Jul 2008
Expired: Terms and conditions of certificate of registration||Expiry:      30 Jun 2013
Subsequent certificate of registration Issued: Independent Practice Certificate||Effective:   11 Oct 2013</t>
  </si>
  <si>
    <t>John C.S. Leong Medicine Professional Corporation</t>
  </si>
  <si>
    <t>Issued Date:  Feb 15 2006</t>
  </si>
  <si>
    <t>Dr. J. Leong (CPSO# 29249),Dr. S. Leong (CPSO# 93209),Dr. M. Leong (CPSO# 89084)</t>
  </si>
  <si>
    <t>110 - 100 Humber College Blvd.,Etobicoke ON  M9V 5G4,(416) 745-5459
110 - 100 Humber College Blvd.,Etobicoke ON  M9V 5G4,(416) 745-545</t>
  </si>
  <si>
    <t>Marissa Mei Ling Leong Medicine Professional Corporation</t>
  </si>
  <si>
    <t>Issued Date:  Oct 20 2015</t>
  </si>
  <si>
    <t>Dr. M. Leong (CPSO# 89084)</t>
  </si>
  <si>
    <t>Centre for Addiction and Mental Health,1119 - 80 Workman Way,Toronto ON  M6J 1H4,(416) 535-8501</t>
  </si>
  <si>
    <t>67320</t>
  </si>
  <si>
    <t xml:space="preserve">Active Member as of 10 Jun 2011 </t>
  </si>
  <si>
    <t xml:space="preserve">Independent Practice as of 10 Jun 2011 </t>
  </si>
  <si>
    <t>Arabic, English, Kurdi</t>
  </si>
  <si>
    <t>University of Mosul, 1986</t>
  </si>
  <si>
    <t>Thunder Bay Regional H S C,Department of Psychiatry,980 Oliver Road, Room 3049,Thunder Bay ON  P7B 6V4</t>
  </si>
  <si>
    <t>(807) 684-6029</t>
  </si>
  <si>
    <t>(807) 684-5893</t>
  </si>
  <si>
    <t>The University of Western Ontario, 01 Jul 1993  to 30 Jun 1994|Resident 1 - Psychiatry
The University of Western Ontario, 01 Jul 1994  to 30 Jun 1995|Resident 2 - Psychiatry
The University of Western Ontario, 01 Jul 1995  to 30 Jun 1996|Resident 3 - Psychiatry
The University of Western Ontario, 01 Jul 1996  to 30 Jun 1997|Resident 4 - Psychiatry
The University of Western Ontario, 01 Jul 1997  to 04 Aug 1997|Resident 4 - Psychiatry
The University of Western Ontario, 05 Aug 1997  to 31 Dec 1997|Clinical Fellow - Psychiatry</t>
  </si>
  <si>
    <t>First certificate of registration issued: Postgraduate Education Certificate||Effective:   04 Aug 1993
Transfer of class of registration to: Independent Practice Certificate||Effective:   09 Dec 1997
Expired: Resigned from membership.||Expiry:      27 May 2004
Subsequent certificate of registration Issued: Independent Practice Certificate||Effective:   10 Jun 2011</t>
  </si>
  <si>
    <t>50493</t>
  </si>
  <si>
    <t>Memorial University of Newfoundland, 1979</t>
  </si>
  <si>
    <t>Unit 152,759 Hyde Park Road,London ON  N6H 3S2</t>
  </si>
  <si>
    <t>(519) 663-0985</t>
  </si>
  <si>
    <t>(519) 963-0980</t>
  </si>
  <si>
    <t>First certificate of registration issued: Postgraduate Education Certificate||Effective:   19 Jan 1983
Expired: Terms and conditions of certificate of registration||Expiry:      31 Dec 1984
Subsequent certificate of registration Issued: Independent Practice Certificate||Effective:   27 Sep 1985</t>
  </si>
  <si>
    <t>58342</t>
  </si>
  <si>
    <t xml:space="preserve">Independent Practice as of 12 Apr 2012 </t>
  </si>
  <si>
    <t>Robb-Aquino, Marjorie Elizabeth (used until: 13 Feb 2007 )
Robb, Marjorie Elizabeth (used until: 21 Jun 1988 )</t>
  </si>
  <si>
    <t>Dalhousie University, 1987</t>
  </si>
  <si>
    <t>Childrens Hospital of EO,Suite 200,311 McArthur Avenue,Ottawa ON  K1L 8M3</t>
  </si>
  <si>
    <t>Children's Hospital of Eastern Ontario:Ottawa
Cornwall General Hospital:Cornwall
Royal Ottawa Health Care Group:Ottawa</t>
  </si>
  <si>
    <t>University of Ottawa, 01 Jul 1992  to 28 Oct 1992|Resident 4 - Psychiatry</t>
  </si>
  <si>
    <t>First certificate of registration issued: Postgraduate Education Certificate||Effective:   15 Jun 1987
Transfer of class of registration to: Independent Practice Certificate||Effective:   29 Nov 1988
Transfer of class of certificate to: Restricted certificate||Effective:   03 Sep 2009
Terms and conditions imposed on certificate||Effective:   03 Sep 2009
Transfer of class of registration to: Independent Practice Certificate||Effective:   12 Apr 2012</t>
  </si>
  <si>
    <t>Dr. Marjorie Robb Medicine Professional Corporation</t>
  </si>
  <si>
    <t>Issued Date:  Jun 28 2010</t>
  </si>
  <si>
    <t>Dr. M. Robb (CPSO# 58342)</t>
  </si>
  <si>
    <t>401 Smyth Road,Ottawa ON  K1H 8L1,(613) 737-7600
CHEO Outpatient Psychiatry,CHEO Outpatient Psychiatry,200 - 311 McArthur Avenue,Vanier ON  K1L 8M3,(613) 738-6990</t>
  </si>
  <si>
    <t>77834</t>
  </si>
  <si>
    <t>Ctre for Addiction &amp; Mental Health,Unit 3-4,1001 Queen Street West,Toronto ON  M6J 1H4</t>
  </si>
  <si>
    <t>(416) 535-8501 Ext. 32835</t>
  </si>
  <si>
    <t>(888) 552-6166</t>
  </si>
  <si>
    <t>Ontario Shores Centre for,Mental Health Sciences,700 Gordon Street,Whitby ON  L1N 5S9,Canada,Phone:(905) 668-5881 Ext. 6893,Fax:(888) 552-6166,County:Regional Municipality of Durham,Electoral District:05
94 Laird Dr.,Toronto ON  M4G 3V2,Canada,Phone:(416) 535-8501 Ext. 32835,Fax:(888) 552-6166,County:City of Toronto,Electoral District:10</t>
  </si>
  <si>
    <t>Psychiatry||Effective: 30 Jun 2007||RCPSC Specialist
Forensic Psychiatry||Effective: 26 Sep 2013||RCPSC Specialist</t>
  </si>
  <si>
    <t>Dr. Mark Pearce Medicine Professional Corporation</t>
  </si>
  <si>
    <t>Issued Date:  Jan 05 2010</t>
  </si>
  <si>
    <t>Dr. M. Pearce (CPSO# 77834)</t>
  </si>
  <si>
    <t>Centre for Addiction and Mental Health,Unit 3 - 4,1001 Queen Street West,Toronto ON  M6J 1H4,(416) 535-8501
700 Gordon Street,700 Gordon Street,Suite 7-2,Whitby ON  L1N 5S9,(905) 668-5881</t>
  </si>
  <si>
    <t>52099</t>
  </si>
  <si>
    <t>Monash University, 1978</t>
  </si>
  <si>
    <t>250 College Street,Toronto ON  M5G 2E2</t>
  </si>
  <si>
    <t>416-925-7749</t>
  </si>
  <si>
    <t>72 Orchard Blvd,Stevenson, Waplak &amp; Associates,Belleville ON  K8P 2K7,Canada,Phone:(613) 9670545 Ext. 210,County:County of Hastings,Electoral District:06
Bayfield Homes,P O Box 10,Consecon ON  K0K 1T0,Canada,Phone:(613) 392-3551,County:County of Prince Edward,Electoral District:06
2180 County Road 3,Carrying place,Belleville ON  K0K 1L3,Canada,Phone:(416) 925-7749,Fax:(613) 968-7503,County:County of Hastings,Electoral District:06</t>
  </si>
  <si>
    <t>First certificate of registration issued: Postgraduate Education Certificate||Effective:   01 Jul 1982
Transfer of class of registration to: Independent Practice Certificate||Effective:   14 Sep 1987</t>
  </si>
  <si>
    <t>Dr. Mark A. Voysey Medicine Professional Corporation</t>
  </si>
  <si>
    <t>Issued Date:  Oct 10 2007</t>
  </si>
  <si>
    <t>Dr. M. Voysey (CPSO# 52099)</t>
  </si>
  <si>
    <t>2180 County Road 3,Carrying Place ON  K0K 1L0,(416) 931-4607
250 College Street,250 College Street,Toronto ON  M5G 2E2,(416) 925-7749
72 Orchard Boulevard,72 Orchard Boulevard,Belleville ON  K8P 2K7,(613) 967-0545
Bayfield Homes,Bayfield Homes,P.O. Box 10,Consecon ON  K0K 1T0,(613) 392-3551</t>
  </si>
  <si>
    <t>74616</t>
  </si>
  <si>
    <t xml:space="preserve">Active Member as of 18 Apr 2000 </t>
  </si>
  <si>
    <t xml:space="preserve">Independent Practice as of 18 Apr 2000 </t>
  </si>
  <si>
    <t>LHSC,Victoria Hospital,Zone A, Door 4,800 Commissioner's Rd. East,London ON  N6A 5W9</t>
  </si>
  <si>
    <t>(519) 685-8500 Ext. 74713</t>
  </si>
  <si>
    <t>First certificate of registration issued: Independent Practice Certificate||Effective:   18 Apr 2000</t>
  </si>
  <si>
    <t>Mark Watling Medicine Professional Corporation</t>
  </si>
  <si>
    <t>Issued Date:  Mar 12 2012</t>
  </si>
  <si>
    <t>Dr. M. Watling (CPSO# 74616)</t>
  </si>
  <si>
    <t>LHSC Victoria Hospital,Zone A, Door 4,800 Commissioner's Road East,London ON  N6A 5W9,(519) 685-8500</t>
  </si>
  <si>
    <t>76129</t>
  </si>
  <si>
    <t xml:space="preserve">Active Member as of 07 Nov 2006 </t>
  </si>
  <si>
    <t xml:space="preserve">Independent Practice as of 07 Nov 2006 </t>
  </si>
  <si>
    <t>Sunnybrook Health Sciences Centre,Department of Psychiatry,Room FG 38,2075 Bayview Avenue,Toronto ON  M4N 3M5</t>
  </si>
  <si>
    <t>Mount Sinai Hospital,Department of Psychiatry,600 University Avenue,Toronto ON  M5G 1X5,Canada,Phone:(416) 586-4800,County:City of Toronto,Electoral District:10
Centre for Addiction and Mental,Health,250 College Street,Room 814b,Toronto ON  M5T 1R8,Canada,Phone:(416) 535-8501,County:City of Toronto,Electoral District:10</t>
  </si>
  <si>
    <t>Centre of Addiction &amp; Mental Health,- College Street Site:Toronto
Mount Sinai Hospital:Toronto
Sunnybrook Health Sciences Centre:Toronto</t>
  </si>
  <si>
    <t>The University of Western Ontario, 01 Jul 2001  to 30 Jun 2002|PostGrad Yr 1 - Psychiatry
University of Toronto, 01 Jul 2002  to 30 Jun 2003|PostGrad Yr 2 - Psychiatry
University of Toronto, 01 Jul 2003  to 30 Jun 2004|PostGrad Yr 3 - Psychiatry
University of Toronto, 01 Jul 2004  to 30 Jun 2005|PostGrad Yr 4 - Psychiatry
University of Toronto, 01 Jul 2005  to 30 Jun 2006|PostGrad Yr 5 - Psychiatry</t>
  </si>
  <si>
    <t>First certificate of registration issued: Postgraduate Education Certificate||Effective:   01 Jul 2001
Expired: Terms and conditions of certificate of registration||Expiry:      30 Jun 2006
Subsequent certificate of registration Issued: Independent Practice Certificate||Effective:   07 Nov 2006</t>
  </si>
  <si>
    <t>Mark Fefergrad Medicine Professional Corporation</t>
  </si>
  <si>
    <t>Issued Date:  Jul 31 2009</t>
  </si>
  <si>
    <t>Dr. M. Fefergrad (CPSO# 76129)</t>
  </si>
  <si>
    <t>Centre for Addiction and Mental Health,814B - 250 College Street,Toronto ON  M5T 1R8,(416) 535-8501
Sunnybrook Health Sciences Centre,Sunnybrook Health Sciences Centre,Department of Psychiatry,Room FG38,2075 Bayview Avenue,Toronto ON  M4N 3M5,(416) 480-4693
Mount Sinai Hospital,Mount Sinai Hospital,Department of Psychiatry,600 University Avenue,Toronto ON  M5G 1X5</t>
  </si>
  <si>
    <t>27836</t>
  </si>
  <si>
    <t xml:space="preserve">Active Member as of 17 Sep 1975 </t>
  </si>
  <si>
    <t xml:space="preserve">Independent Practice as of 17 Sep 1975 </t>
  </si>
  <si>
    <t>3136 N. Swan Rd.,Tucson, Az,85712,Tucson AZ  85712,United States</t>
  </si>
  <si>
    <t>(520) 867-8720</t>
  </si>
  <si>
    <t>(520) 320-1998</t>
  </si>
  <si>
    <t>USA - Arizona</t>
  </si>
  <si>
    <t>First certificate of registration issued: Postgraduate Education Certificate||Effective:   17 Jun 1974
Expired: Terms and conditions of certificate of registration||Expiry:      16 Jun 1975
Subsequent certificate of registration Issued: Independent Practice Certificate||Effective:   17 Sep 1975</t>
  </si>
  <si>
    <t>33363</t>
  </si>
  <si>
    <t xml:space="preserve">Independent Practice as of 22 Jun 1982 </t>
  </si>
  <si>
    <t>Suite 102,272 Lawrence Avenue West,Toronto ON  M5M 4M1</t>
  </si>
  <si>
    <t>(416) 787-9055</t>
  </si>
  <si>
    <t>Hospital for Sick Children,Department of Psychiatry,555 University Avenue,Toronto ON  M5G 1X8,Canada,Phone:(416) 813-6600,Fax:(416) 813-5326,County:City of Toronto,Electoral District:10</t>
  </si>
  <si>
    <t>First certificate of registration issued: Postgraduate Education Certificate||Effective:   15 Jun 1981
Transfer of class of registration to: Independent Practice Certificate||Effective:   22 Jun 1982</t>
  </si>
  <si>
    <t>28170</t>
  </si>
  <si>
    <t xml:space="preserve">Active Member as of 21 Sep 2001 </t>
  </si>
  <si>
    <t xml:space="preserve">Independent Practice as of 21 Sep 2001 </t>
  </si>
  <si>
    <t>University of Witwatersrand, 1970</t>
  </si>
  <si>
    <t>(905) 762-0525</t>
  </si>
  <si>
    <t>McMaster University, 01 Jul 1972  to 30 Jun 1973|Resident 1 - Psychiatry
McMaster University, 01 Jul 1973  to 30 Jun 1974|Resident 2 - Psychiatry
McMaster University, 01 Jul 1974  to 30 Jun 1975|Resident 3 - Psychiatry
McMaster University, 01 Jul 1975  to 30 Jun 1976|Resident 4 - Psychiatry</t>
  </si>
  <si>
    <t>First certificate of registration issued: Independent Practice Certificate||Effective:   26 May 1976
Expired: Resigned from membership.||Expiry:      31 May 1984
Subsequent certificate of registration Issued: Independent Practice Certificate||Effective:   21 Sep 2001</t>
  </si>
  <si>
    <t>32426</t>
  </si>
  <si>
    <t>The University of Western Ontario, 1977</t>
  </si>
  <si>
    <t>586 Eglinton Avenue East,Suite 510,Toronto ON  M4P 1P2</t>
  </si>
  <si>
    <t>(416) 486-6818</t>
  </si>
  <si>
    <t>416-486-9454</t>
  </si>
  <si>
    <t>Dr. Mark Leith Medicine Professional Corporation</t>
  </si>
  <si>
    <t>Issued Date:  Nov 02 2011</t>
  </si>
  <si>
    <t>Dr. M. Leith (CPSO# 32426)</t>
  </si>
  <si>
    <t>586 Eglinton Avenue East,Suite 510,Toronto ON  M4P 1P2,(416) 486-6818</t>
  </si>
  <si>
    <t>25871</t>
  </si>
  <si>
    <t xml:space="preserve">Active Member as of 12 Jul 1973 </t>
  </si>
  <si>
    <t xml:space="preserve">Independent Practice as of 12 Jul 1973 </t>
  </si>
  <si>
    <t>151 Bloor Street West  10th Floor,Toronto ON  M5S 2T5</t>
  </si>
  <si>
    <t>416-875-2071</t>
  </si>
  <si>
    <t>First certificate of registration issued: Independent Practice Certificate||Effective:   12 Jul 1973</t>
  </si>
  <si>
    <t>79556</t>
  </si>
  <si>
    <t xml:space="preserve">Active Member as of 23 Jul 2009 </t>
  </si>
  <si>
    <t xml:space="preserve">Independent Practice as of 23 Jul 2009 </t>
  </si>
  <si>
    <t>Royal Ottawa Mental Health Centre,1145 Carling Ave,Ottawa ON  K1Z 7K4,Canada,Phone:(613) 722-6521,County:Regional Municipality of Ottawa-Carleton,Electoral District:07</t>
  </si>
  <si>
    <t>University of Ottawa, 01 Jul 2003  to 30 Jun 2004|PostGrad Yr 1 - Psychiatry
University of Ottawa, 01 Jul 2004  to 30 Jun 2005|PostGrad Yr 2 - Psychiatry
University of Ottawa, 01 Jul 2005  to 30 Jun 2006|PostGrad Yr 3 - Psychiatry
University of Ottawa, 01 Jul 2006  to 30 Jun 2007|PostGrad Yr 4 - Psychiatry
University of Ottawa, 01 Jul 2007  to 30 Jun 2008|PostGrad Yr 5 - Psychiatry
University of Ottawa, 01 Jul 2008  to 30 Jun 2009|Clinical Fellow - Psychiatry</t>
  </si>
  <si>
    <t>First certificate of registration issued: Postgraduate Education Certificate||Effective:   01 Jul 2003
Expired: Terms and conditions of certificate of registration||Expiry:      30 Jun 2009
Subsequent certificate of registration Issued: Independent Practice Certificate||Effective:   23 Jul 2009</t>
  </si>
  <si>
    <t>72842</t>
  </si>
  <si>
    <t xml:space="preserve">Active Member as of 30 Jun 1998 </t>
  </si>
  <si>
    <t>The University of British Columbia, 1996</t>
  </si>
  <si>
    <t>1 Bridgepoint Road,Toronto ON  M4M 2B5</t>
  </si>
  <si>
    <t>(416) 461-8252</t>
  </si>
  <si>
    <t>(416) 461-1670</t>
  </si>
  <si>
    <t>Family Medicine||Effective: 26 Jun 1998||CFPC Specialist
FCFP - Family Medicine||Effective: 29 Oct 2009||CFPC Specialist
Psychiatry||Effective: 30 Jun 2011||RCPSC Specialist
Geriatric Psychiatry||Effective: 26 Sep 2013||RCPSC Specialist</t>
  </si>
  <si>
    <t>Queen's University, 01 Jul 2000  to 30 Jun 2001|PostGrad Yr 3 - Family Medicine
University of Toronto, 01 Jul 2007  to 30 Jun 2008|PostGrad Yr 2 - Psychiatry
University of Toronto, 01 Jul 2008  to 30 Jun 2009|PostGrad Yr 3 - Psychiatry
University of Toronto, 01 Jul 2009  to 30 Jun 2010|PostGrad Yr 4 - Psychiatry
University of Toronto, 01 Jul 2010  to 30 Jun 2011|PostGrad Yr 5 - Psychiatry
University of Toronto, 01 Jul 2011  to 30 Jun 2012|Clinical Fellow - Psychiatry</t>
  </si>
  <si>
    <t>First certificate of registration issued: Independent Practice Certificate||Effective:   30 Jun 1998</t>
  </si>
  <si>
    <t>Dr. Mark Lachmann Medicine Professional Corporation</t>
  </si>
  <si>
    <t>Issued Date:  Dec 12 2016</t>
  </si>
  <si>
    <t>Dr. M. Lachmann (CPSO# 72842)</t>
  </si>
  <si>
    <t>1 Bridgepoint Drive,Toronto ON  M4M 2B5,(416) 461-8252</t>
  </si>
  <si>
    <t>58093</t>
  </si>
  <si>
    <t xml:space="preserve">Independent Practice as of 12 Jul 1988 </t>
  </si>
  <si>
    <t>Mount Sinai Hospital,Department of Psychiatry,Suite 928,600 University Avenue,Toronto ON  M5G 1X5</t>
  </si>
  <si>
    <t>University of Toronto, 15 Jun 1987  to 13 Jun 1988|Other - Comprehensive Internship
University of Toronto, 01 Jul 1988  to 30 Jun 1989|Resident 1 - Psychiatry
University of Toronto, 01 Jul 1989  to 30 Jun 1990|Resident 2 - Psychiatry
University of Toronto, 01 Jul 1990  to 30 Jun 1991|Resident 4 - Psychiatry</t>
  </si>
  <si>
    <t>First certificate of registration issued: Postgraduate Education Certificate||Effective:   15 Jun 1987
Transfer of class of registration to: Independent Practice Certificate||Effective:   12 Jul 1988</t>
  </si>
  <si>
    <t>Dr. Mark Halman Medicine Professional Corporation</t>
  </si>
  <si>
    <t>Issued Date:  Aug 30 2007</t>
  </si>
  <si>
    <t>Dr. M. Halman (CPSO# 58093)</t>
  </si>
  <si>
    <t>Mount Sinai Hospital,Department of Psychiatry,928 - 600 University Avenue,Toronto ON  M5G 1X5,(416) 586-4800</t>
  </si>
  <si>
    <t>68944</t>
  </si>
  <si>
    <t>Department of Psychiatry,Sunnybrook and Women's College,Health Sciences Centre,2075 Bayview Avenue,Toronto ON  M4N 3M5</t>
  </si>
  <si>
    <t>University of Toronto, 01 Jul 1995  to 30 Jun 1996|PostGrad Yr 1 - Psychiatry
University of Toronto, 01 Jul 1996  to 30 Jun 1997|PostGrad Yr 2 - Psychiatry
University of Toronto, 01 Jul 1997  to 30 Jun 1998|PostGrad Yr 3 - Psychiatry
University of Toronto, 01 Jul 1998  to 30 Jun 1999|PostGrad Yr 4 - Psychiatry
University of Toronto, 01 Jul 1999  to 30 Jun 2000|PostGrad Yr 5 - Psychiatry
University of Toronto, 01 Jul 2001  to 30 Jun 2002|Clinical Fellow - Psychiatry</t>
  </si>
  <si>
    <t>86682</t>
  </si>
  <si>
    <t>Sunnybrook Health Sciences Centre,Department of Psychiatry,Room FG 52,2075 Bayview Avenue,Toronto ON  M4N 3M5</t>
  </si>
  <si>
    <t>University of Toronto, 01 Jul 2007  to 30 Jun 2008|PostGrad Yr 1 - Psychiatry
University of Toronto, 01 Jul 2008  to 30 Jun 2009|PostGrad Yr 2 - Psychiatry
University of Toronto, 01 Jul 2009  to 31 Jul 2009|PostGrad Yr 2 - Psychiatry
University of Toronto, 01 Aug 2009  to 31 Jul 2010|PostGrad Yr 3 - Psychiatry
University of Toronto, 01 Aug 2010  to 30 Jun 2011|PostGrad Yr 4 - Psychiatry
University of Toronto, 01 Jul 2011  to 31 Jul 2011|PostGrad Yr 4 - Psychiatry
University of Toronto, 01 Aug 2011  to 30 Jun 2012|PostGrad Yr 5 - Psychiatry</t>
  </si>
  <si>
    <t>50548</t>
  </si>
  <si>
    <t xml:space="preserve">Active Member as of 09 Jul 1982 </t>
  </si>
  <si>
    <t xml:space="preserve">Independent Practice as of 16 Dec 1986 </t>
  </si>
  <si>
    <t>Academy of Medicine, Lodz, 1980</t>
  </si>
  <si>
    <t>St. Joseph's Health Center,30 The Queensway West,Toronto ON  M6R 1B5</t>
  </si>
  <si>
    <t>First certificate of registration issued: Postgraduate Education Certificate||Effective:   09 Jul 1982
Transfer of class of registration to: Independent Practice Certificate||Effective:   16 Dec 1986</t>
  </si>
  <si>
    <t>Mark J Filipczuk Medicine Professional Corporation</t>
  </si>
  <si>
    <t>Issued Date:  Oct 14 2014</t>
  </si>
  <si>
    <t>Dr. M. Filipczuk (CPSO# 50548)</t>
  </si>
  <si>
    <t>St. Joseph's Health Centre,30 The Queensway West,Toronto ON  M6R 1B5,(416) 530-6591</t>
  </si>
  <si>
    <t>56573</t>
  </si>
  <si>
    <t xml:space="preserve">Active Member as of 27 Jan 1986 </t>
  </si>
  <si>
    <t xml:space="preserve">Independent Practice as of 06 Jan 1987 </t>
  </si>
  <si>
    <t>Markham Stouffville Health Centre,377 Church Street,Suite 408,Markham ON  L6B 1A1</t>
  </si>
  <si>
    <t>University of Ottawa, 01 Jul 1989  to 31 Dec 1989|Resident 4 - Psychiatry</t>
  </si>
  <si>
    <t>First certificate of registration issued: Academic Practice Certificate||Effective:   27 Jan 1986
Transfer of class of registration to: Independent Practice Certificate||Effective:   06 Jan 1987</t>
  </si>
  <si>
    <t>30600</t>
  </si>
  <si>
    <t xml:space="preserve">Active Member as of 22 Feb 1979 </t>
  </si>
  <si>
    <t xml:space="preserve">Independent Practice as of 22 Feb 1979 </t>
  </si>
  <si>
    <t>326 Locke Street South,Hamilton ON  L8P 4C6</t>
  </si>
  <si>
    <t>(905) 525-0222</t>
  </si>
  <si>
    <t>(905) 525-3164</t>
  </si>
  <si>
    <t>Psychiatry||Effective: 31 Aug 1994||RCPSC Specialist</t>
  </si>
  <si>
    <t>McMaster University, 01 Jul 1994  to 31 Aug 1994|Resident 4 - Psychiatry</t>
  </si>
  <si>
    <t>First certificate of registration issued: Independent Practice Certificate||Effective:   22 Feb 1979</t>
  </si>
  <si>
    <t>Mark Cornfield Medicine Professional Corporation</t>
  </si>
  <si>
    <t>Dr. M. Cornfield (CPSO# 30600)</t>
  </si>
  <si>
    <t>326 Locke Street South,Hamilton ON  L8P 4C6,(905) 525-0222</t>
  </si>
  <si>
    <t>90533</t>
  </si>
  <si>
    <t xml:space="preserve">Active Member as of 06 Oct 2014 </t>
  </si>
  <si>
    <t xml:space="preserve">Independent Practice as of 06 Oct 2014 </t>
  </si>
  <si>
    <t>Alexandra Marine &amp; General Hospital,Department of Psychiatry,120 Napier Street,Goderich ON  N7A 1W5</t>
  </si>
  <si>
    <t>(519) 524-8689 Ext. 5388</t>
  </si>
  <si>
    <t>519 524 8513</t>
  </si>
  <si>
    <t>Alexandra Marine and General Hospital:Goderich</t>
  </si>
  <si>
    <t>Psychiatry||Effective: 04 Oct 2014||RCPSC Specialist</t>
  </si>
  <si>
    <t>The University of Western Ontario, 01 Jul 2009  to 30 Jun 2010|PostGrad Yr 1 - Psychiatry
The University of Western Ontario, 01 Jul 2010  to 30 Jun 2011|PostGrad Yr 2 - Psychiatry
The University of Western Ontario, 01 Jul 2011  to 30 Jun 2012|PostGrad Yr 3 - Psychiatry
The University of Western Ontario, 01 Jul 2012  to 30 Jun 2013|PostGrad Yr 4 - Psychiatry
The University of Western Ontario, 01 Jul 2013  to 30 Jun 2014|PostGrad Yr 5 - Psychiatry
The University of Western Ontario, 01 Jul 2014  to 04 Oct 2014|PostGrad Yr 5 - Psychiatry</t>
  </si>
  <si>
    <t>First certificate of registration issued: Postgraduate Education Certificate||Effective:   01 Jul 2009
Expired: Terms and conditions of certificate of registration||Expiry:      04 Oct 2014
Subsequent certificate of registration Issued: Independent Practice Certificate||Effective:   06 Oct 2014</t>
  </si>
  <si>
    <t>Reddington &amp; Renaud Medicine Professional Corporation</t>
  </si>
  <si>
    <t>Dr. M. Renaud (CPSO# 88371),Dr. M. Reddington (CPSO# 90533)</t>
  </si>
  <si>
    <t>Maitland Valley Medical Centre,180 Cambria Road North,Goderich ON  N7A 4N8,(519) 524-6060
274 Huron Road,274 Huron Road,Goderich ON  N7A 3A2,(519) 524-8316
Alexandria Marine &amp; General Hospital,Alexandria Marine &amp; General Hospital,Department of Psychiatry,120 Napier Street,Goderich ON  N7A 1W5,(519) 524-8689</t>
  </si>
  <si>
    <t>58242</t>
  </si>
  <si>
    <t xml:space="preserve">Independent Practice as of 29 Jun 1989 </t>
  </si>
  <si>
    <t>Southlake Regional Health Centre,596 Davis Drive, West 5,Newmarket ON  L3Y 2P9</t>
  </si>
  <si>
    <t>(905) 713-0015</t>
  </si>
  <si>
    <t>(905) 503-2220</t>
  </si>
  <si>
    <t>University of Toronto, 15 Jun 1987  to 13 Jun 1988|Other - Rotating Internship
University of Toronto, 01 Jul 1988  to 30 Jun 1989|Resident 1 - Psychiatry
University of Toronto, 01 Jul 1989  to 30 Jun 1990|Resident 2 - Psychiatry
University of Toronto, 01 Jul 1990  to 30 Jun 1991|Resident 3 - Psychiatry
University of Toronto, 01 Jul 1992  to 30 Jun 1993|Clinical Fellow - Psychiatry
University of Toronto, 01 Jul 1993  to 30 Jun 1994|Clinical Fellow - Psychiatry</t>
  </si>
  <si>
    <t>First certificate of registration issued: Postgraduate Education Certificate||Effective:   15 Jun 1987
Transfer of class of registration to: Independent Practice Certificate||Effective:   29 Jun 1989</t>
  </si>
  <si>
    <t>Dr. Mark Katz Medicine Professional Corporation</t>
  </si>
  <si>
    <t>Dr. M. Katz (CPSO# 58242)</t>
  </si>
  <si>
    <t>Southlake Regional Health Centre,596 Davis Drive,Newmarket ON  L3Y 2P9,(905) 713-0015</t>
  </si>
  <si>
    <t>91065</t>
  </si>
  <si>
    <t xml:space="preserve">Active Member as of 17 Sep 2014 </t>
  </si>
  <si>
    <t xml:space="preserve">Independent Practice as of 17 Sep 2014 </t>
  </si>
  <si>
    <t>St. Joseph's Healthcare,Anxiety Treatment &amp; Research Centre,100 West 5th Street,Hamilton ON  L8N 3K7</t>
  </si>
  <si>
    <t>(905) 522-1155 Ext. 35373</t>
  </si>
  <si>
    <t>Twin Lakes Clinical Services,550 Fennell Ave East, Unit 16A,Hamilton ON  L8V 4S9,Canada,Phone:1-800-789-1773,Fax:905-318-9343,County:Regional Municipality of Hamilton-Wentworth,Electoral District:04</t>
  </si>
  <si>
    <t>Psychiatry||Effective: 31 Aug 2014||RCPSC Specialist</t>
  </si>
  <si>
    <t>McMaster University, 01 Jul 2009  to 30 Jun 2010|PostGrad Yr 1 - Psychiatry
McMaster University, 01 Jul 2010  to 30 Jun 2011|PostGrad Yr 2 - Psychiatry
McMaster University, 01 Jul 2011  to 31 Aug 2011|PostGrad Yr 2 - Psychiatry
McMaster University, 01 Sep 2011  to 31 Aug 2012|PostGrad Yr 3 - Psychiatry
McMaster University, 01 Sep 2012  to 30 Jun 2013|PostGrad Yr 4 - Psychiatry
McMaster University, 01 Jul 2013  to 31 Aug 2013|PostGrad Yr 4 - Psychiatry
McMaster University, 01 Sep 2013  to 30 Jun 2014|PostGrad Yr 5 - Psychiatry
McMaster University, 01 Jul 2014  to 31 Aug 2014|PostGrad Yr 5 - Psychiatry</t>
  </si>
  <si>
    <t>First certificate of registration issued: Postgraduate Education Certificate||Effective:   01 Jul 2009
Expired: Terms and conditions of certificate of registration||Expiry:      31 Aug 2014
Subsequent certificate of registration Issued: Independent Practice Certificate||Effective:   17 Sep 2014</t>
  </si>
  <si>
    <t>Mark R G Bennett Medicine Professional Corporation</t>
  </si>
  <si>
    <t>Dr. M. Bennett (CPSO# 91065)</t>
  </si>
  <si>
    <t>90634</t>
  </si>
  <si>
    <t xml:space="preserve">Active Member as of 30 Sep 2014 </t>
  </si>
  <si>
    <t xml:space="preserve">Independent Practice as of 30 Sep 2014 </t>
  </si>
  <si>
    <t>Homewood Health Centre,Integrated Mood And Anxiety Program,Colonial Building Level 2,150 Delhi Street,Guelph ON  N1E 6K9</t>
  </si>
  <si>
    <t>5198241010 Ext. 2109</t>
  </si>
  <si>
    <t>5197673584</t>
  </si>
  <si>
    <t>First certificate of registration issued: Postgraduate Education Certificate||Effective:   01 Jul 2009
Expired: Terms and conditions of certificate of registration||Expiry:      30 Jun 2014
Subsequent certificate of registration Issued: Independent Practice Certificate||Effective:   30 Sep 2014</t>
  </si>
  <si>
    <t>26558</t>
  </si>
  <si>
    <t xml:space="preserve">Active Member as of 21 Jun 1974 </t>
  </si>
  <si>
    <t xml:space="preserve">Independent Practice as of 21 Jun 1974 </t>
  </si>
  <si>
    <t>Suite 500,1849 Yonge Street,Toronto ON  M4S 1Y2</t>
  </si>
  <si>
    <t>(416) 922-4285</t>
  </si>
  <si>
    <t>(416) 483-1911</t>
  </si>
  <si>
    <t>First certificate of registration issued: Postgraduate Education Certificate||Effective:   15 Jun 1972
Transfer of class of registration to: Independent Practice Certificate||Effective:   21 Jun 1974</t>
  </si>
  <si>
    <t>60145</t>
  </si>
  <si>
    <t xml:space="preserve">Independent Practice as of 05 Nov 1990 </t>
  </si>
  <si>
    <t>170 Colborne Street,Orillia ON  L3V 2Z3</t>
  </si>
  <si>
    <t>7053252201 Ext. 6415</t>
  </si>
  <si>
    <t>First certificate of registration issued: Postgraduate Education Certificate||Effective:   11 Jul 1988
Expired: Terms and conditions of certificate of registration||Expiry:      30 Jun 1990
Subsequent certificate of registration Issued: Postgraduate Education Certificate||Effective:   24 Aug 1990
Transfer of class of registration to: Independent Practice Certificate||Effective:   05 Nov 1990</t>
  </si>
  <si>
    <t>Dr. M. Rodway-Norman Medicine Professional Corporation</t>
  </si>
  <si>
    <t>Issued Date:  Jan 19 2010</t>
  </si>
  <si>
    <t>Dr. M. Rodway-Norman (CPSO# 60145)</t>
  </si>
  <si>
    <t>Orillia Soldier's Memorial Hospital,170 Colborne Street,Orillia ON  L3V 2Z3,(705) 325-2201
Suite 202,Suite 202,16 O'Brien Street,Orillia ON  L3V 5S2</t>
  </si>
  <si>
    <t>50592</t>
  </si>
  <si>
    <t>421 Eglinton Avenue West,Suite 4,Toronto ON  M5N 1A4</t>
  </si>
  <si>
    <t>(647) 748-9264</t>
  </si>
  <si>
    <t>(416) 487-1977</t>
  </si>
  <si>
    <t>First certificate of registration issued: Postgraduate Education Certificate||Effective:   14 Jun 1982
Transfer of class of registration to: Independent Practice Certificate||Effective:   19 Feb 1987</t>
  </si>
  <si>
    <t>M. Lee Freedman Medicine Professional Corporation</t>
  </si>
  <si>
    <t>Issued Date:  Oct 02 2013</t>
  </si>
  <si>
    <t>Dr. M. Freedman (CPSO# 50592)</t>
  </si>
  <si>
    <t>421 Eglinton Avenue West,Suite 4,Toronto ON  M5N 1A4,(647) 748-9264</t>
  </si>
  <si>
    <t>31781</t>
  </si>
  <si>
    <t xml:space="preserve">Independent Practice as of 07 Jul 1980 </t>
  </si>
  <si>
    <t>University of Chile, 1970</t>
  </si>
  <si>
    <t>199 Westminster Avenue,Toronto ON  M6R 1N9</t>
  </si>
  <si>
    <t>(416) 534-7335</t>
  </si>
  <si>
    <t>Canadian Centre,for Victims of Torture,2nd Floor,194 Jarvis Street,Toronto ON  M5B 2B7,Canada,Phone:(416) 363-1066,Fax:(416) 363-2122,County:City of Toronto,Electoral District:10</t>
  </si>
  <si>
    <t>First certificate of registration issued: Postgraduate Education Certificate||Effective:   01 Jul 1976
Transfer of class of registration to: Independent Practice Certificate||Effective:   07 Jul 1980</t>
  </si>
  <si>
    <t>58651</t>
  </si>
  <si>
    <t xml:space="preserve">Independent Practice as of 11 Sep 1987 </t>
  </si>
  <si>
    <t>Juravsky, Marsha Heather (used until: 25 Apr 1988 )</t>
  </si>
  <si>
    <t>Department of Psychiatry,Baycrest Centre for Geriatric Care,3560 Bathurst Street,Toronto ON  M6A 2E1</t>
  </si>
  <si>
    <t>Psychiatry||Effective: 30 Jun 1993||RCPSC Specialist
Geriatric Psychiatry||Effective: 27 Sep 2016||RCPSC Specialist</t>
  </si>
  <si>
    <t>University of Toronto, 01 Jul 1994  to 30 Jun 1995|Clinical Fellow - Psychiatry</t>
  </si>
  <si>
    <t>First certificate of registration issued: Postgraduate Education Certificate||Effective:   01 Jul 1987
Transfer of class of registration to: Independent Practice Certificate||Effective:   11 Sep 1987</t>
  </si>
  <si>
    <t>28344</t>
  </si>
  <si>
    <t xml:space="preserve">Active Member as of 28 Jun 1976 </t>
  </si>
  <si>
    <t xml:space="preserve">Independent Practice as of 28 Jun 1976 </t>
  </si>
  <si>
    <t>(416) 972-1935 Ext. 3316</t>
  </si>
  <si>
    <t>(416) 924-9915</t>
  </si>
  <si>
    <t>Centre,2075 Bayview Avenue,Toronto ON  M4N 3M5,Canada,Phone:(416) 480-4098,Fax:(416) 480-6818,County:City of Toronto,Electoral District:10</t>
  </si>
  <si>
    <t>First certificate of registration issued: Independent Practice Certificate||Effective:   28 Jun 1976</t>
  </si>
  <si>
    <t>78982</t>
  </si>
  <si>
    <t xml:space="preserve">Active Member as of 01 May 2006 </t>
  </si>
  <si>
    <t xml:space="preserve">Restricted as of 01 May 2006 </t>
  </si>
  <si>
    <t>Medical University of Semmelweis, 1993</t>
  </si>
  <si>
    <t>UHN - Toronto General Hospital,Department of Psychiatry,200 Elizabeth Street,Toronto ON  M5G 2C4</t>
  </si>
  <si>
    <t>(416) 340-3043</t>
  </si>
  <si>
    <t>Psychiatry||Effective: 01 May 2006||CPSO Recognized Specialist</t>
  </si>
  <si>
    <t>University of Toronto, 12 May 2003  to 24 Jul 2003|PEAP - Clinical Fellow - Psychiatry
University of Toronto, 25 Jul 2003  to 30 Jun 2004|Clinical Fellow - Psychiatry
University of Toronto, 01 Jul 2004  to 30 Jun 2005|Clinical Fellow - Psychiatry
University of Toronto, 01 Jul 2005  to 30 Apr 2006|Clinical Fellow - Psychiatry</t>
  </si>
  <si>
    <t>First certificate of registration issued: Pre Entry Assessment Program Certificate||Effective:   14 May 2003
Transfer of class of registration to: Postgraduate Education Certificate||Effective:   25 Jul 2003
Expired: Terms and conditions of certificate of registration||Expiry:      30 Apr 2006
Subsequent certificate of registration issued: Restricted certificate||Effective:   01 May 2006
Terms and conditions amended by Registration Committee||Effective:   20 Jan 2011
Expiry date removed from certificate of registration.||Effective:   13 Jun 2011
Terms and conditions amended by Registration Committee||Effective:   01 Jul 2011</t>
  </si>
  <si>
    <t>50050</t>
  </si>
  <si>
    <t xml:space="preserve">Independent Practice as of 24 Jun 1983 </t>
  </si>
  <si>
    <t>35 Rumsey Road,Toronto ON  M4G 1N7</t>
  </si>
  <si>
    <t>(416) 425-6095</t>
  </si>
  <si>
    <t>First certificate of registration issued: Postgraduate Education Certificate||Effective:   14 Jun 1982
Transfer of class of registration to: Independent Practice Certificate||Effective:   24 Jun 1983</t>
  </si>
  <si>
    <t>Dr. Martha Adams Medicine Professional Corporation</t>
  </si>
  <si>
    <t>Issued Date:  Dec 15 2006</t>
  </si>
  <si>
    <t>Dr. M. Adams (CPSO# 50050)</t>
  </si>
  <si>
    <t>35 Rumsey Road,Toronto ON  M4G 1N7,(416) 425-6095</t>
  </si>
  <si>
    <t>30388</t>
  </si>
  <si>
    <t xml:space="preserve">Active Member as of 15 Jun 1977 </t>
  </si>
  <si>
    <t xml:space="preserve">Independent Practice as of 05 Sep 1978 </t>
  </si>
  <si>
    <t>Suite 1508,77 St Clair Avenue East,Toronto ON  M4T 1M5</t>
  </si>
  <si>
    <t>(416) 960-8775</t>
  </si>
  <si>
    <t>First certificate of registration issued: Postgraduate Education Certificate||Effective:   15 Jun 1977
Transfer of class of registration to: Independent Practice Certificate||Effective:   05 Sep 1978</t>
  </si>
  <si>
    <t>Martha Wright Medicine Professional Corporation</t>
  </si>
  <si>
    <t>67708</t>
  </si>
  <si>
    <t xml:space="preserve">Active Member as of 27 Feb 2013 </t>
  </si>
  <si>
    <t xml:space="preserve">Restricted as of 27 Feb 2013 </t>
  </si>
  <si>
    <t>Billingsley, Martha Harriet (used until: 21 May 1996 )</t>
  </si>
  <si>
    <t>University of Alberta, 1992</t>
  </si>
  <si>
    <t>Canadian Mental Health Association,234 St Patrick St East,Fergus ON  N1M 1M6</t>
  </si>
  <si>
    <t>8442642993</t>
  </si>
  <si>
    <t>5198347608</t>
  </si>
  <si>
    <t>Psychiatry||Effective: 28 Feb 1999||RCPSC Specialist</t>
  </si>
  <si>
    <t>McMaster University, 01 May 1994  to 30 Apr 1995|Resident 1 - Psychiatry
McMaster University, 01 May 1995  to 30 Jun 1995|Resident 2 - Psychiatry
McMaster University, 01 Jul 1995  to 30 Jun 1996|Resident 2 - Psychiatry
McMaster University, 01 Jul 1996  to 30 Jun 1997|Resident 3 - Psychiatry
McMaster University, 01 Jul 1997  to 30 Jun 1998|Resident 3 - Psychiatry
McMaster University, 01 Jul 1998  to 28 Feb 1999|Resident 4 - Psychiatry</t>
  </si>
  <si>
    <t>First certificate of registration issued: Postgraduate Education Certificate||Effective:   01 May 1994
Expired: Terms and conditions of certificate of registration||Expiry:      28 Feb 1999
Subsequent certificate of registration Issued: Independent Practice Certificate||Effective:   01 Apr 1999
Expired: Resigned from membership.||Expiry:      11 Sep 2010
Subsequent certificate of registration issued: Restricted certificate||Effective:   27 Feb 2013
Terms and conditions amended by Registration Committee||Effective:   30 Jan 2014
Terms and conditions amended by Registration Committee||Effective:   31 Jul 2014
Terms and conditions amended by Registration Committee||Effective:   12 Dec 2014
Expiry date removed from certificate of registration.||Effective:   15 Dec 2014</t>
  </si>
  <si>
    <t>63918</t>
  </si>
  <si>
    <t xml:space="preserve">Independent Practice as of 26 Jun 1992 </t>
  </si>
  <si>
    <t>University of Toronto, 01 Jul 1992  to 30 Jun 1993|Resident 1 - Psychiatry
University of Toronto, 01 Jul 1993  to 30 Jun 1994|Resident 2 - Psychiatry
University of Toronto, 01 Jul 1994  to 30 Jun 1995|Resident 3 - Psychiatry
University of Toronto, 01 Jul 1995  to 30 Jun 1996|Resident 4 - Psychiatry
University of Toronto, 01 Jul 1996  to 30 Jun 1997|Clinical Fellow - Psychiatry</t>
  </si>
  <si>
    <t>First certificate of registration issued: Postgraduate Education Certificate||Effective:   17 Jun 1991
Transfer of class of registration to: Independent Practice Certificate||Effective:   26 Jun 1992</t>
  </si>
  <si>
    <t>96402</t>
  </si>
  <si>
    <t xml:space="preserve">Active Member as of 30 Jun 2011 </t>
  </si>
  <si>
    <t>Laval University, 2006</t>
  </si>
  <si>
    <t>Hopital Montfort,Department of Psychiatry,713 Montreal Road,Ottawa ON  K1K 0T2</t>
  </si>
  <si>
    <t>(613) 746-4621 Ext. 3983</t>
  </si>
  <si>
    <t>(613) 907-8002</t>
  </si>
  <si>
    <t>First certificate of registration issued: Independent Practice Certificate||Effective:   30 Jun 2011</t>
  </si>
  <si>
    <t>Dr. Martin Campbell Medicine Professional Corporation</t>
  </si>
  <si>
    <t>Issued Date:  Dec 12 2011</t>
  </si>
  <si>
    <t>Dr. M. Campbell (CPSO# 96402)</t>
  </si>
  <si>
    <t>Hopital Montfort,Department of Psychiatry,713 Montreal Road,Ottawa ON  K1K 0T2,(613) 746-4621</t>
  </si>
  <si>
    <t>55827</t>
  </si>
  <si>
    <t>(416) 469-6580 Ext. 6649</t>
  </si>
  <si>
    <t>First certificate of registration issued: Postgraduate Education Certificate||Effective:   17 Jun 1985
Transfer of class of registration to: Independent Practice Certificate||Effective:   26 Jun 1986</t>
  </si>
  <si>
    <t>Martin J. Chisvin Medicine Professional Corporation</t>
  </si>
  <si>
    <t>Issued Date:  Nov 27 2009</t>
  </si>
  <si>
    <t>Dr. M. Chisvin (CPSO# 55827)</t>
  </si>
  <si>
    <t>Toronto East General Hospital,825 Coxwell Avenue,Toronto ON  M4C 3E7,(416) 469-6580</t>
  </si>
  <si>
    <t>93110</t>
  </si>
  <si>
    <t xml:space="preserve">Active Member as of 08 Jun 2010 </t>
  </si>
  <si>
    <t xml:space="preserve">Restricted as of 08 Jun 2010 </t>
  </si>
  <si>
    <t>University of Dublin Trinity College, 1992</t>
  </si>
  <si>
    <t>26 Dundas Street West,Napanee ON  K7R 1Z4</t>
  </si>
  <si>
    <t>(613) 544-4900 Ext. 38100</t>
  </si>
  <si>
    <t>(613) 540-6139</t>
  </si>
  <si>
    <t>525 Montreal Street,Kingston ON  K7K 3H9,Canada,Phone:6135406165,County:County of Frontenac,Electoral District:06
Hartington ON  K0H1W0,Canada,Phone:6133286146,County:County of Frontenac,Electoral District:06
Queen's University Postal Bag 603,752 King Street West,Kingston ON  K7L 4X3,Canada,Phone:(613) 5444900 Ext. 38100,Fax:(613) 540-6139,County:County of Frontenac,Electoral District:06</t>
  </si>
  <si>
    <t>Psychiatry||Effective: 08 Jun 2010||CPSO Recognized Specialist</t>
  </si>
  <si>
    <t>First certificate of registration issued: Restricted certificate||Effective:   08 Jun 2010
Terms and conditions imposed on certificate by Registration Committee||Effective:   08 Jun 2010
Expiry date attached to certificate of registration.||Expiry Date: 30 Apr 2011
Terms and conditions amended by Registration Committee||Effective:   23 Oct 2015
Expiry date removed from certificate of registration.||Effective:   23 Oct 2015</t>
  </si>
  <si>
    <t>Feakins Medicine Professional Corporation</t>
  </si>
  <si>
    <t>Issued Date:  May 08 2013</t>
  </si>
  <si>
    <t>Dr. M. Feakins (CPSO# 93110)</t>
  </si>
  <si>
    <t>Queen's University Postal Bag 603,Department of Psychiatry,Providence Care Mental Health,752 King Street West,Kingston ON  K7L 4X3,(613) 548-5567
26 Dundas Street,26 Dundas Street,Napanee ON  K7R 1Z4,(613) 544-4900</t>
  </si>
  <si>
    <t>79277</t>
  </si>
  <si>
    <t>University Health Network,Toronto Western Hospital,399 Bathurst Street,9th Floor East Wing - 9E407,Toronto ON  M5T 2S8</t>
  </si>
  <si>
    <t>(416) 603-5607</t>
  </si>
  <si>
    <t>94210</t>
  </si>
  <si>
    <t xml:space="preserve">Active Member as of 23 Dec 2014 </t>
  </si>
  <si>
    <t xml:space="preserve">Independent Practice as of 23 Dec 2014 </t>
  </si>
  <si>
    <t>Charles Univ Prague Fac General Medicine, 2000</t>
  </si>
  <si>
    <t>Mood Disorders Services,Dalhousie University,5909 Veterans' Memorial Lane,Abbie J. Lane Building,Halifax NS  B3H 2E2</t>
  </si>
  <si>
    <t>902 473 2585</t>
  </si>
  <si>
    <t>902 473 4877</t>
  </si>
  <si>
    <t>Psychiatry||Effective: 10 Nov 2010||RCPSC Specialist</t>
  </si>
  <si>
    <t>University of Toronto, 01 Jul 2010  to 12 Oct 2010|Elective Trainee - Psychiatry</t>
  </si>
  <si>
    <t>First certificate of registration issued: Postgraduate Education Certificate||Effective:   15 Jul 2010
Expired: Terms and conditions of certificate of registration||Expiry:      12 Oct 2010
Subsequent certificate of registration Issued: Independent Practice Certificate||Effective:   23 Dec 2014</t>
  </si>
  <si>
    <t>28842</t>
  </si>
  <si>
    <t xml:space="preserve">Active Member as of 29 Oct 1976 </t>
  </si>
  <si>
    <t xml:space="preserve">Independent Practice as of 29 Oct 1976 </t>
  </si>
  <si>
    <t>717 Bloor St. W.,Toronto ON  M6G 1L5</t>
  </si>
  <si>
    <t>(416) 923-4915</t>
  </si>
  <si>
    <t>First certificate of registration issued: Postgraduate Education Certificate||Effective:   01 Jul 1968
Expired: Terms and conditions of certificate of registration||Expiry:      30 Jun 1969
Transfer of class of registration to: Independent Practice Certificate||Effective:   29 Oct 1976</t>
  </si>
  <si>
    <t>17576</t>
  </si>
  <si>
    <t xml:space="preserve">Active Member as of 04 Jul 1960 </t>
  </si>
  <si>
    <t xml:space="preserve">Independent Practice as of 04 Jul 1960 </t>
  </si>
  <si>
    <t>University of Ottawa, 1956</t>
  </si>
  <si>
    <t>151  Bloor st. west,Toronto ON  M5S2T5</t>
  </si>
  <si>
    <t>18667777391</t>
  </si>
  <si>
    <t>First certificate of registration issued: Independent Practice Certificate||Effective:   04 Jul 1960</t>
  </si>
  <si>
    <t>22075</t>
  </si>
  <si>
    <t xml:space="preserve">Active Member as of 03 Jul 1969 </t>
  </si>
  <si>
    <t xml:space="preserve">Independent Practice as of 03 Jul 1969 </t>
  </si>
  <si>
    <t>University of Otago, 1966</t>
  </si>
  <si>
    <t>205 Mutual Street,Toronto ON  M5B 2B4</t>
  </si>
  <si>
    <t>(416) 964-6174</t>
  </si>
  <si>
    <t>First certificate of registration issued: Postgraduate Education Certificate||Effective:   01 Jan 1969
Transfer of class of registration to: Independent Practice Certificate||Effective:   03 Jul 1969</t>
  </si>
  <si>
    <t>66238</t>
  </si>
  <si>
    <t xml:space="preserve">Active Member as of 05 Mar 1993 </t>
  </si>
  <si>
    <t xml:space="preserve">Independent Practice as of 22 Sep 1995 </t>
  </si>
  <si>
    <t>Lakehead Psychiatric Hospital,580 Algoma Street,Thunder Bay ON  P7B 5G4</t>
  </si>
  <si>
    <t>First certificate of registration issued: Restricted certificate||Effective:   05 Mar 1993
Transfer of class of registration to: Independent Practice Certificate||Effective:   22 Sep 1995</t>
  </si>
  <si>
    <t>51320</t>
  </si>
  <si>
    <t xml:space="preserve">Independent Practice as of 08 Jan 1985 </t>
  </si>
  <si>
    <t>University of Otago, 1978</t>
  </si>
  <si>
    <t>20 York Mills Road,Unit 201,North York ON  M2P 2C2</t>
  </si>
  <si>
    <t>(416) 488-8035</t>
  </si>
  <si>
    <t>First certificate of registration issued: Postgraduate Education Certificate||Effective:   01 Jul 1980
Transfer of class of registration to: Independent Practice Certificate||Effective:   08 Jan 1985</t>
  </si>
  <si>
    <t>33230</t>
  </si>
  <si>
    <t xml:space="preserve">Active Member as of 20 May 1982 </t>
  </si>
  <si>
    <t xml:space="preserve">Independent Practice as of 20 May 1982 </t>
  </si>
  <si>
    <t>1807-77 St Clair Ave E,Toronto ON  M4T 1M5</t>
  </si>
  <si>
    <t>(416) 921-2695</t>
  </si>
  <si>
    <t>(416) 921-3756</t>
  </si>
  <si>
    <t>First certificate of registration issued: Independent Practice Certificate||Effective:   20 May 1982</t>
  </si>
  <si>
    <t>64408</t>
  </si>
  <si>
    <t xml:space="preserve">Active Member as of 01 Sep 1991 </t>
  </si>
  <si>
    <t xml:space="preserve">Independent Practice as of 19 Apr 1993 </t>
  </si>
  <si>
    <t>Laval University, 1990</t>
  </si>
  <si>
    <t>Psychiatry||Effective: 31 Aug 1995||RCPSC Specialist</t>
  </si>
  <si>
    <t>Queen's University, 01 Jul 1995  to 31 Aug 1995|Resident 4 - Psychiatry
University of Ottawa, 01 Sep 1995  to 31 Aug 1996|Clinical Fellow - Psychiatry</t>
  </si>
  <si>
    <t>First certificate of registration issued: Postgraduate Education Certificate||Effective:   01 Sep 1991
Transfer of class of registration to: Independent Practice Certificate||Effective:   19 Apr 1993</t>
  </si>
  <si>
    <t>Mary D. Thornton Medicine Professional Corporation</t>
  </si>
  <si>
    <t>Issued Date:  Jul 29 2013</t>
  </si>
  <si>
    <t>Dr. M. Thornton (CPSO# 64408)</t>
  </si>
  <si>
    <t>32394</t>
  </si>
  <si>
    <t xml:space="preserve">Active Member as of 04 Jun 1981 </t>
  </si>
  <si>
    <t xml:space="preserve">Independent Practice as of 04 Jun 1981 </t>
  </si>
  <si>
    <t>(613) 231-4146</t>
  </si>
  <si>
    <t>First certificate of registration issued: Independent Practice Certificate||Effective:   04 Jun 1981</t>
  </si>
  <si>
    <t>53891</t>
  </si>
  <si>
    <t xml:space="preserve">Independent Practice as of 04 Feb 1988 </t>
  </si>
  <si>
    <t>Princess Margaret Hospital,Suite 16-708,610 University Avenue,Toronto ON  M5G 2M9</t>
  </si>
  <si>
    <t>(416) 946-4598</t>
  </si>
  <si>
    <t>University of Toronto, 11 Jun 1984  to 17 Jun 1985|Other - Rotating Internship
University of Toronto, 01 Jul 1985  to 30 Jun 1986|Resident 1 - Psychiatry
University of Toronto, 01 Jul 1986  to 30 Jun 1987|Resident 2 - Psychiatry
University of Toronto, 01 Jul 1987  to 30 Jun 1988|Resident 3 - Psychiatry
University of Toronto, 01 Jul 1988  to 30 Jun 1989|Resident 4 - Psychiatry
University of Toronto, 01 Jul 1989  to 30 Jun 1990|Clinical Fellow - Psychiatry</t>
  </si>
  <si>
    <t>First certificate of registration issued: Postgraduate Education Certificate||Effective:   11 Jun 1984
Transfer of class of registration to: Independent Practice Certificate||Effective:   04 Feb 1988</t>
  </si>
  <si>
    <t>50850</t>
  </si>
  <si>
    <t xml:space="preserve">Independent Practice as of 15 Jun 1983 </t>
  </si>
  <si>
    <t>112 Jackman Avenue,Toronto ON  M4K 2X9</t>
  </si>
  <si>
    <t>(416) 462-1700</t>
  </si>
  <si>
    <t>First certificate of registration issued: Postgraduate Education Certificate||Effective:   01 Jul 1980
Transfer of class of registration to: Independent Practice Certificate||Effective:   15 Jun 1983</t>
  </si>
  <si>
    <t>Dr. Mary Jensen Medicine Professional Corporation</t>
  </si>
  <si>
    <t>Issued Date:  Mar 04 2014</t>
  </si>
  <si>
    <t>Dr. M. Jensen (CPSO# 50850)</t>
  </si>
  <si>
    <t>112 Jackman Avenue,Toronto ON  M4K 2X9,(416) 462-1700</t>
  </si>
  <si>
    <t>60748</t>
  </si>
  <si>
    <t>75 Charles Street,Brockville ON  K6V 1S8</t>
  </si>
  <si>
    <t>(613) 345-5645 Ext. 2400</t>
  </si>
  <si>
    <t>University of Ottawa, 15 Jun 1989  to 14 Jun 1990|Other - Rotating Internship
University of Ottawa, 01 Jul 1990  to 30 Jun 1991|Resident 1 - Psychiatry
University of Ottawa, 01 Jul 1991  to 30 Jun 1992|Resident 2 - Psychiatry
University of Ottawa, 01 Jul 1992  to 30 Jun 1993|Resident 3 - Psychiatry
University of Ottawa, 01 Jul 1993  to 30 Jun 1994|Resident 4 - Psychiatry</t>
  </si>
  <si>
    <t>First certificate of registration issued: Postgraduate Education Certificate||Effective:   15 Jun 1989
Transfer of class of registration to: Independent Practice Certificate||Effective:   29 Jun 1990</t>
  </si>
  <si>
    <t>93699</t>
  </si>
  <si>
    <t xml:space="preserve">Active Member as of 13 Nov 2015 </t>
  </si>
  <si>
    <t xml:space="preserve">Independent Practice as of 21 Dec 2015 </t>
  </si>
  <si>
    <t>CAMH,100 Stokes St,Toronto ON  M6J1H4</t>
  </si>
  <si>
    <t>CAMH,100 Stokes St,Toronto ON  M6J 1H4,Canada,Phone:416 535 8501,County:City of Toronto,Electoral District:10</t>
  </si>
  <si>
    <t>Psychiatry||Effective: 31 Oct 2015||RCPSC Specialist</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</si>
  <si>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
University of Toronto, 01 Jul 2015  to 31 Dec 2015|PostGrad Yr 5 - Psychiatry</t>
  </si>
  <si>
    <t>First certificate of registration issued: Postgraduate Education Certificate||Effective:   01 Jul 2010
Expired: Terms and conditions of certificate of registration||Expiry:      31 Oct 2015
Subsequent certificate of registration Issued: Postgraduate Education Certificate||Effective:   13 Nov 2015
Transfer of class of registration to: Independent Practice Certificate||Effective:   21 Dec 2015</t>
  </si>
  <si>
    <t>30804</t>
  </si>
  <si>
    <t xml:space="preserve">Active Member as of 22 Jun 1979 </t>
  </si>
  <si>
    <t xml:space="preserve">Independent Practice as of 22 Jun 1979 </t>
  </si>
  <si>
    <t>Ferriman, Mary Kathryn (used until: 28 Jul 1982 )</t>
  </si>
  <si>
    <t>University of Toronto, 1977</t>
  </si>
  <si>
    <t>Suite 504,49 St Clair Avenue West,Toronto ON  M4V 1K6</t>
  </si>
  <si>
    <t>(416) 588-7084</t>
  </si>
  <si>
    <t>(416)922-9006</t>
  </si>
  <si>
    <t>First certificate of registration issued: Independent Practice Certificate||Effective:   22 Jun 1979</t>
  </si>
  <si>
    <t>Dr. Mary Hanson Medicine Professional Corporation</t>
  </si>
  <si>
    <t>Issued Date:  Oct 20 2009</t>
  </si>
  <si>
    <t>Dr. M. Hanson (CPSO# 30804)</t>
  </si>
  <si>
    <t>Suite 504,49 St. Clair Avenue West,Toronto ON  M4V 1K6,(613) 588-7084</t>
  </si>
  <si>
    <t>51172</t>
  </si>
  <si>
    <t xml:space="preserve">Independent Practice as of 16 Jan 1985 </t>
  </si>
  <si>
    <t>209 - 170 The Donway West,Toronto ON  M3C 2G3</t>
  </si>
  <si>
    <t>(416) 975-1544</t>
  </si>
  <si>
    <t>(416) 975-8341</t>
  </si>
  <si>
    <t>First certificate of registration issued: Postgraduate Education Certificate||Effective:   01 Jul 1981
Transfer of class of registration to: Independent Practice Certificate||Effective:   16 Jan 1985</t>
  </si>
  <si>
    <t>Dr. M.K. McLean Medicine Professional Corporation</t>
  </si>
  <si>
    <t>Dr. M. McLean (CPSO# 51172)</t>
  </si>
  <si>
    <t>42475</t>
  </si>
  <si>
    <t xml:space="preserve">Active Member as of 03 May 1982 </t>
  </si>
  <si>
    <t xml:space="preserve">Restricted as of 28 Sep 2015 </t>
  </si>
  <si>
    <t>University of Santo Tomas, 1972</t>
  </si>
  <si>
    <t>1600 Firwood Crescent,Peterborough ON  K9K 1S8</t>
  </si>
  <si>
    <t>(705) 868-2704</t>
  </si>
  <si>
    <t>(705) 745-1023</t>
  </si>
  <si>
    <t>First certificate of registration issued: Postgraduate Education Certificate||Effective:   01 Jul 1976
Expired: Terms and conditions of certificate of registration||Expiry:      30 Jun 1981
Subsequent certificate of registration Issued: Hospital Practice Certificate||Effective:   03 May 1982
Transfer of class of registration to: Independent Practice Certificate||Effective:   02 Sep 1983
Transfer of class of certificate to: Restricted certificate||Effective:   28 Sep 2015
Terms and conditions imposed on certificate by member||Effective:   28 Sep 2015
Terms and conditions amended by member||Effective:   25 Nov 2015
Terms and conditions amended by member||Effective:   27 Nov 2015</t>
  </si>
  <si>
    <t>32810</t>
  </si>
  <si>
    <t xml:space="preserve">Active Member as of 31 Aug 1981 </t>
  </si>
  <si>
    <t xml:space="preserve">Independent Practice as of 31 Aug 1981 </t>
  </si>
  <si>
    <t>2nd Floor,333 Eglinton Avenue East,Toronto ON  M4P 1L7</t>
  </si>
  <si>
    <t>(416) 323-1852</t>
  </si>
  <si>
    <t>(416) 487-7122</t>
  </si>
  <si>
    <t>Skylark Child and Family Services,RK House,591 Huron,Toronto ON  M5R 2R8,Canada,Phone:(416) 395-0668,County:City of Toronto,Electoral District:10
East Metro Youth Services,Suite 200,1200 Markham Road,Scarborough ON  M1H 3C3,Canada,Phone:(416) 286-5159,County:City of Toronto,Electoral District:10</t>
  </si>
  <si>
    <t>Psychiatry||Effective: 09 Jun 1981||RCPSC Specialist
Child and Adolescent Psychiatry||Effective: 26 Sep 2013||RCPSC Specialist</t>
  </si>
  <si>
    <t>First certificate of registration issued: Independent Practice Certificate||Effective:   31 Aug 1981</t>
  </si>
  <si>
    <t>Dr. Mary Lilley Medicine Professional Corporation</t>
  </si>
  <si>
    <t>Issued Date:  Oct 31 2013</t>
  </si>
  <si>
    <t>Dr. M. Lilley (CPSO# 32810)</t>
  </si>
  <si>
    <t>333 Eglinton Avenue East,2nd Floor,Toronto ON  M4P 1L7,(416) 323-1852
East Metro Youth Services,East Metro Youth Services,Suite 200,1200 Markham Road,Scarborough ON  M1H 3C3,(416) 286-5159
Oolagen Community Services,Oolagen Community Services,591 Huron Street,Toronto ON  M5R 2R8,(416) 395-0668</t>
  </si>
  <si>
    <t>21235</t>
  </si>
  <si>
    <t xml:space="preserve">Active Member as of 11 Mar 1968 </t>
  </si>
  <si>
    <t xml:space="preserve">Independent Practice as of 11 Mar 1968 </t>
  </si>
  <si>
    <t>O'Dwyer, Mary Mccraney (used until: 09 Oct 1972 )</t>
  </si>
  <si>
    <t>The University of Western Ontario, 1964</t>
  </si>
  <si>
    <t>(613) 233-7288</t>
  </si>
  <si>
    <t>First certificate of registration issued: Postgraduate Education Certificate||Effective:   01 Jul 1964
Transfer of class of registration to: Independent Practice Certificate||Effective:   11 Mar 1968</t>
  </si>
  <si>
    <t>65015</t>
  </si>
  <si>
    <t xml:space="preserve">Active Member as of 22 May 1992 </t>
  </si>
  <si>
    <t xml:space="preserve">Independent Practice as of 22 May 1992 </t>
  </si>
  <si>
    <t>First certificate of registration issued: Independent Practice Certificate||Effective:   22 May 1992</t>
  </si>
  <si>
    <t>Mary Naidu Medicine Professional Corporation</t>
  </si>
  <si>
    <t>Issued Date:  Mar 23 2007</t>
  </si>
  <si>
    <t>Dr. M. Naidu (CPSO# 65015)</t>
  </si>
  <si>
    <t>403 - 265 Yorkland Boulevard,North York ON  M2J 1S5,(647) 289-3770</t>
  </si>
  <si>
    <t>88624</t>
  </si>
  <si>
    <t>Mount Sinai Hospital,Department of Psychiatry,Room 933,600 University Avenue,Toronto ON  M5G 1X5</t>
  </si>
  <si>
    <t>(416) 586-4800 Ext. 4563</t>
  </si>
  <si>
    <t>Preisman Medicine Professional Corporation</t>
  </si>
  <si>
    <t>Issued Date:  Mar 02 2015</t>
  </si>
  <si>
    <t>Dr. M. Preisman (CPSO# 88624)</t>
  </si>
  <si>
    <t>Mount Sinai Hospital,Department of Psychiatry,Room 933,600 University Avenue,Toronto ON  M5G 1X5,(416) 586-4800</t>
  </si>
  <si>
    <t>79207</t>
  </si>
  <si>
    <t>CF Health Services Centre Ottawa,101 Colonel by Drive,Ottawa ON  K1A 0K2</t>
  </si>
  <si>
    <t>(613) 945-1111</t>
  </si>
  <si>
    <t>The Ottawa Hospital General Campus,Department of Psychiatry,501 Smyth Road,Ottawa ON  K1H 8L6,Canada,County:Regional Municipality of Ottawa-Carleton,Electoral District:07
Ottawa Hospital,Civic Campus,1053 Carling Avenue,Ottawa ON  K1Y 4E9,Canada,County:Regional Municipality of Ottawa-Carleton,Electoral District:07</t>
  </si>
  <si>
    <t>82179</t>
  </si>
  <si>
    <t xml:space="preserve">Active Member as of 24 Feb 2010 </t>
  </si>
  <si>
    <t xml:space="preserve">Restricted as of 24 Feb 2010 </t>
  </si>
  <si>
    <t>University of Tehran, 1990</t>
  </si>
  <si>
    <t>Alberta Hospital Edmonton,PO Box 307,Edmonton AB  T5J 2J7</t>
  </si>
  <si>
    <t>(780) 342-5465</t>
  </si>
  <si>
    <t>(780) 342-5411</t>
  </si>
  <si>
    <t>University of Toronto, 24 Jan 2005  to 05 Apr 2005|PEAP - Clinical Fellow - Psychiatry
University of Toronto, 06 Apr 2005  to 30 Jun 2005|Clinical Fellow - Psychiatry
University of Toronto, 01 Jul 2005  to 31 Jan 2006|Clinical Fellow - Psychiatry</t>
  </si>
  <si>
    <t>First certificate of registration issued: Pre Entry Assessment Program Certificate||Effective:   01 Feb 2005
Transfer of class of registration to: Postgraduate Education Certificate||Effective:   06 Apr 2005
Expired: Terms and conditions of certificate of registration||Expiry:      31 Jan 2006
Subsequent certificate of registration issued: Restricted certificate||Effective:   24 Feb 2010</t>
  </si>
  <si>
    <t>107361</t>
  </si>
  <si>
    <t xml:space="preserve">Independent Practice as of 10 Aug 2015 </t>
  </si>
  <si>
    <t>Duchcherer, Maryana Hryhorivna (used until: 08 Jun 2017 )</t>
  </si>
  <si>
    <t>National Medical University, 2006</t>
  </si>
  <si>
    <t>TBRHSC,980 Oliver Road,Thunder Bay ON  P7B 6V4</t>
  </si>
  <si>
    <t>University of Toronto, 01 Jul 2015  to 30 Jun 2016|PostGrad Yr 6 - Forensic Psychiatry</t>
  </si>
  <si>
    <t>First certificate of registration issued: Postgraduate Education Certificate||Effective:   01 Jul 2015
Transfer of class of registration to: Independent Practice Certificate||Effective:   10 Aug 2015</t>
  </si>
  <si>
    <t>Maryana Kravtsenyuk Medicine Professional Corporation</t>
  </si>
  <si>
    <t>Issued Date:  Jan 03 2017</t>
  </si>
  <si>
    <t>Dr. M. Kravtsenyuk (CPSO# 107361)</t>
  </si>
  <si>
    <t>TBRHSC,980 Oliver Road,Thunder Bay ON  P7B 6V4,(807) 684-6000</t>
  </si>
  <si>
    <t>92995</t>
  </si>
  <si>
    <t>Thompson Medical Centre,130 Thompson Rd,London ON  N5Z2Y6</t>
  </si>
  <si>
    <t>(519) 204-2791</t>
  </si>
  <si>
    <t>(519) 204-3122</t>
  </si>
  <si>
    <t>London Health Sciences Centre,800 Commissioners Rd East,CEPS,London ON  N6A 5W9,Canada,Phone:519-685-8500,County:County of Middlesex,Electoral District:02
CAMH,250 College St.,Emergency Dept,Telemedicine,Toronto ON  M5T 1R8,Canada,Phone:(416) 535-8501,County:City of Toronto,Electoral District:10
London Health Sciences Centre,CEPS,800 Commissioners Rd East,London ON  N6A 5W9,Canada,Phone:519-685-8500,County:County of Middlesex,Electoral District:02</t>
  </si>
  <si>
    <t>Centre for Addiction &amp; Mental Health,- Russell Street Site:Toronto
London Health Sciences Centre Victoria Hospital:London</t>
  </si>
  <si>
    <t>The University of Western Ontario, 01 Jul 2010  to 30 Jun 2011|PostGrad Yr 1 - Psychiatry
The University of Western Ontario, 01 Jul 2011  to 30 Jun 2012|PostGrad Yr 2 - Psychiatry
The University of Western Ontario, 01 Jul 2012  to 28 Oct 2012|PostGrad Yr 2 - Psychiatry
The University of Western Ontario, 29 Oct 2012  to 30 Jun 2013|PostGrad Yr 3 - Psychiatry
The University of Western Ontario, 01 Jul 2013  to 28 Oct 2013|PostGrad Yr 3 - Psychiatry
The University of Western Ontario, 29 Oct 2013  to 30 Jun 2014|PostGrad Yr 4 - Psychiatry
The University of Western Ontario, 01 Jul 2014  to 28 Oct 2014|PostGrad Yr 4 - Psychiatry
The University of Western Ontario, 29 Oct 2014  to 30 Jun 2015|PostGrad Yr 5 - Psychiatry
The University of Western Ontario, 01 Jul 2015  to 28 Jul 2015|PostGrad Yr 5 - Psychiatry</t>
  </si>
  <si>
    <t>Dr. M. Mammoliti Medicine Professional Corporation</t>
  </si>
  <si>
    <t>Issued Date:  Nov 30 2015</t>
  </si>
  <si>
    <t>Dr. M. Mammoliti (CPSO# 92995)</t>
  </si>
  <si>
    <t>250 College Street,Toronto ON  M5T 1R8,(416) 535-8501
230 Victoria Street,230 Victoria Street,Unit 234,London ON  N6A 2C2,(519) 873-1615</t>
  </si>
  <si>
    <t>73019</t>
  </si>
  <si>
    <t xml:space="preserve">Active Member as of 18 Jan 2001 </t>
  </si>
  <si>
    <t xml:space="preserve">Independent Practice as of 18 Jan 2001 </t>
  </si>
  <si>
    <t>University of Sherbrooke, 1993</t>
  </si>
  <si>
    <t>3591 Innes Road,Ottawa,Ottawa ON  K1C 1T1</t>
  </si>
  <si>
    <t>(613) 830-2877</t>
  </si>
  <si>
    <t>(613) 249-3720</t>
  </si>
  <si>
    <t>Psychiatry||Effective: 08 Nov 1999||RCPSC Specialist</t>
  </si>
  <si>
    <t>University of Ottawa, 01 Jul 1998  to 30 Jun 1999|Resident 4 - Psychiatry
University of Ottawa, 01 Jul 1999  to 31 Dec 1999|Clinical Fellow - Psychiatry</t>
  </si>
  <si>
    <t>First certificate of registration issued: Postgraduate Education Certificate||Effective:   20 Aug 1998
Expired: Terms and conditions of certificate of registration||Expiry:      31 Dec 1999
Subsequent certificate of registration issued: Restricted certificate||Effective:   03 Feb 2000
Expired: Terms and conditions imposed on certificate by Registration Committee||Effective:   31 Dec 2000
Subsequent certificate of registration Issued: Independent Practice Certificate||Effective:   18 Jan 2001</t>
  </si>
  <si>
    <t>67680</t>
  </si>
  <si>
    <t xml:space="preserve">Active Member as of 03 Mar 1994 </t>
  </si>
  <si>
    <t xml:space="preserve">Independent Practice as of 03 Mar 1994 </t>
  </si>
  <si>
    <t>University of Ottawa, 1992</t>
  </si>
  <si>
    <t>Hopital Jean Talon,Clinique Externe de Psychiatrie,7345 Garnier,Montreal QC  H2E 2A1</t>
  </si>
  <si>
    <t>(514) 729-3036</t>
  </si>
  <si>
    <t>Psychiatry||Effective: 24 Aug 1997||RCPSC Specialist</t>
  </si>
  <si>
    <t>First certificate of registration issued: Independent Practice Certificate||Effective:   03 Mar 1994</t>
  </si>
  <si>
    <t>52301</t>
  </si>
  <si>
    <t xml:space="preserve">Active Member as of 22 Jan 1987 </t>
  </si>
  <si>
    <t>University of the Philippines, 1978</t>
  </si>
  <si>
    <t>71 King Street West,Suite 300,Mississauga ON  L5B 4A2</t>
  </si>
  <si>
    <t>(905) 896-1302</t>
  </si>
  <si>
    <t>(905) 896-8223</t>
  </si>
  <si>
    <t>Adult Mental Health Services,Trillium Health Partners,2085 Hurontario Street, Suite 300,Mississauga ON  L5A4G1,Canada,Phone:905 848 7586,Fax:905 848 7357,County:Regional Municipality of Peel,Electoral District:05</t>
  </si>
  <si>
    <t>First certificate of registration issued: Postgraduate Education Certificate||Effective:   01 Jul 1980
Expired: Terms and conditions of certificate of registration||Expiry:      30 Jun 1984
Subsequent certificate of registration Issued: Independent Practice Certificate||Effective:   22 Jan 1987</t>
  </si>
  <si>
    <t>Maselle G. Virey Medicine Professional Corporation</t>
  </si>
  <si>
    <t>Issued Date:  Nov 21 2013</t>
  </si>
  <si>
    <t>Dr. M. Virey (CPSO# 52301)</t>
  </si>
  <si>
    <t>Suite 300,71 King Street West,Mississauga ON  L5B 4A2,(905) 896-1302</t>
  </si>
  <si>
    <t>85491</t>
  </si>
  <si>
    <t xml:space="preserve">Active Member as of 09 Aug 2006 </t>
  </si>
  <si>
    <t xml:space="preserve">Restricted as of 09 Aug 2006 </t>
  </si>
  <si>
    <t>University of Karachi, 1988</t>
  </si>
  <si>
    <t>(519) 749-4300 Ext. 3829</t>
  </si>
  <si>
    <t>(519) 749-4307</t>
  </si>
  <si>
    <t>65 Bridgeport Road East,Waterloo ON  N2J2K1,Canada,Phone:519-725-7635,Fax:226-475-0113,County:Regional Municipality of Waterloo,Electoral District:03</t>
  </si>
  <si>
    <t>Psychiatry||Effective: 09 Aug 2006||CPSO Recognized Specialist</t>
  </si>
  <si>
    <t>First certificate of registration issued: Restricted certificate||Effective:   09 Aug 2006
Terms and conditions imposed on certificate by Registration Committee||Effective:   09 Aug 2006
Expiry date attached to certificate of registration.||Expiry Date: 08 Nov 2007
Terms and conditions amended by Registration Committee||Effective:   19 Oct 2007
Expiry date removed from certificate of registration.||Effective:   19 Oct 2007</t>
  </si>
  <si>
    <t>M. Nasri Medicine Professional Corporation</t>
  </si>
  <si>
    <t>Issued Date:  Jun 18 2008</t>
  </si>
  <si>
    <t>Dr. M. Nasri (CPSO# 85491)</t>
  </si>
  <si>
    <t>72533</t>
  </si>
  <si>
    <t>Queen's University, 1998</t>
  </si>
  <si>
    <t>Department of Psychiatry,UHN - Toronto Western Hospital,399 Bathurst Street,Toronto ON  M5T 2S8</t>
  </si>
  <si>
    <t>(416) 603-5800 Ext. 5145</t>
  </si>
  <si>
    <t>Mary-Anne Aarts Medicine Professional Corporation</t>
  </si>
  <si>
    <t>Issued Date:  Nov 07 2012</t>
  </si>
  <si>
    <t>Dr. M. Zurowski (CPSO# 72533),Dr. M. Aarts (CPSO# 72374)</t>
  </si>
  <si>
    <t>UHN - Toronto Western Hospital,Department of Psychiatry,399 Bathurst Street,Toronto ON  M5T 2S8,(416) 603-2581
301 - 40 Holly Street,301 - 40 Holly Street,Toronto ON  M4S 3C3,(416) 486-8088
F108 - 825 Coxwell Avenue,F108 - 825 Coxwell Avenue,Toronto ON  M4C 5T2,(416) 461-8363
650 Sammon Avenue,650 Sammon Avenue,Suite K401,Toronto ON  M4C 5M5,(416) 461-8363</t>
  </si>
  <si>
    <t>87280</t>
  </si>
  <si>
    <t xml:space="preserve">Independent Practice as of 15 Jul 2013 </t>
  </si>
  <si>
    <t>Royal Ottawa Mental Health Centre,Integrated Forensic Program,1145 Carling Avenue,Ottawa ON  K1Z 7K4</t>
  </si>
  <si>
    <t>(613) 722-1629</t>
  </si>
  <si>
    <t>University of Ottawa, 01 Jul 2007  to 30 Jun 2008|PostGrad Yr 1 - Psychiatry
University of Ottawa, 01 Jul 2008  to 30 Jun 2009|PostGrad Yr 2 - Psychiatry
University of Ottawa, 01 Jul 2009  to 30 Jun 2010|PostGrad Yr 3 - Psychiatry
University of Ottawa, 01 Jul 2010  to 30 Jun 2011|PostGrad Yr 4 - Psychiatry
University of Ottawa, 01 Jul 2011  to 30 Jun 2012|PostGrad Yr 5 - Psychiatry
University of Ottawa, 01 Jul 2012  to 31 Aug 2012|PostGrad Yr 5 - Psychiatry
University of Ottawa, 01 Sep 2012  to 30 Jun 2013|PostGrad Yr 6 - Psychiatry
University of Ottawa, 01 Jul 2013  to 31 Aug 2013|PostGrad Yr 6 - Forensic Psychiatry</t>
  </si>
  <si>
    <t>First certificate of registration issued: Postgraduate Education Certificate||Effective:   01 Jul 2007
Transfer of class of registration to: Independent Practice Certificate||Effective:   15 Jul 2013</t>
  </si>
  <si>
    <t>Mathieu Dufour Medicine Professional Corporation</t>
  </si>
  <si>
    <t>Dr. M. Dufour (CPSO# 87280)</t>
  </si>
  <si>
    <t>83222</t>
  </si>
  <si>
    <t xml:space="preserve">Active Member as of 11 Jul 2008 </t>
  </si>
  <si>
    <t xml:space="preserve">Independent Practice as of 11 Jul 2008 </t>
  </si>
  <si>
    <t>117 Centrepointe Drive Unit #205,Ottawa ON  K2G-5X3</t>
  </si>
  <si>
    <t>(613) 695-5334</t>
  </si>
  <si>
    <t>(613) 695-5336</t>
  </si>
  <si>
    <t>Queen's University, 01 Jul 2005  to 30 Jun 2006|PostGrad Yr 3 - Psychiatry
Queen's University, 01 Jul 2006  to 30 Jun 2007|PostGrad Yr 4 - Psychiatry
Queen's University, 01 Jul 2007  to 30 Jun 2008|PostGrad Yr 5 - Psychiatry</t>
  </si>
  <si>
    <t>First certificate of registration issued: Postgraduate Education Certificate||Effective:   01 Jul 2005
Expired: Terms and conditions of certificate of registration||Expiry:      30 Jun 2008
Subsequent certificate of registration Issued: Independent Practice Certificate||Effective:   11 Jul 2008</t>
  </si>
  <si>
    <t>Matthew DeAngelis Medicine Professional Corporation</t>
  </si>
  <si>
    <t>Dr. M. DeAngelis (CPSO# 83222)</t>
  </si>
  <si>
    <t>205 - 117 Centrepointe Drive,Ottawa ON  K2G 5X3,(613) 695-5334</t>
  </si>
  <si>
    <t>79560</t>
  </si>
  <si>
    <t xml:space="preserve">Active Member as of 12 Aug 2009 </t>
  </si>
  <si>
    <t xml:space="preserve">Independent Practice as of 12 Aug 2009 </t>
  </si>
  <si>
    <t>St Michael's Hospital,Department of Psychiatry,17th floor Cardinal Carter Wing,30 Bond Street,Toronto ON  M5B 1W8</t>
  </si>
  <si>
    <t>(416) 864-6060 Ext. 6303</t>
  </si>
  <si>
    <t>First certificate of registration issued: Postgraduate Education Certificate||Effective:   01 Jul 2003
Expired: Terms and conditions of certificate of registration||Expiry:      30 Jun 2008
Subsequent certificate of registration Issued: Independent Practice Certificate||Effective:   12 Aug 2009</t>
  </si>
  <si>
    <t>93910</t>
  </si>
  <si>
    <t xml:space="preserve">Independent Practice as of 24 Mar 2016 </t>
  </si>
  <si>
    <t>Department of Psychiatry,The Hospital for Sick Children,555 University Ave,Toronto ON  M5G 1X8</t>
  </si>
  <si>
    <t>(416) 813-7005</t>
  </si>
  <si>
    <t>First certificate of registration issued: Postgraduate Education Certificate||Effective:   01 Jul 2010
Transfer of class of registration to: Independent Practice Certificate||Effective:   24 Mar 2016</t>
  </si>
  <si>
    <t>92756</t>
  </si>
  <si>
    <t>Department of Psychiatry,5M Outpatient Mental Health,St. Joseph's Health Centre,30 The Queensway,Toronto ON  M6R 1B5</t>
  </si>
  <si>
    <t>(416) 530-6000 Ext. 3080</t>
  </si>
  <si>
    <t>95908</t>
  </si>
  <si>
    <t>Sunnybrook Health Sciences Centre,Department of Psychiatry,Suite FG-38,2075 Bayview Avenue,Toronto ON  M4N 3M5</t>
  </si>
  <si>
    <t>416-480-6100 Ext. 4089</t>
  </si>
  <si>
    <t>St. John's Rehab Campus,Suite S-211,285 Cummer Avenue,Toronto ON  M2M 2G1,Canada,Phone:416-226-6780,County:City of Toronto,Electoral District:10</t>
  </si>
  <si>
    <t>St John's Rehabilitation Hospital:Toronto
Sunnybrook Health Sciences Centre:Toronto
Sunnybrook Health Sciences Centre,Holland Orthopaedic &amp; Arthritic Centre:Toronto</t>
  </si>
  <si>
    <t>Dr. Matthew Boyle Medicine Professional Corporation</t>
  </si>
  <si>
    <t>Issued Date:  Oct 05 2018</t>
  </si>
  <si>
    <t>Dr. M. Boyle (CPSO# 95908)</t>
  </si>
  <si>
    <t>Sunnybrook Health Sciences Centre,Department of Psychiatry,Suite FG-38,2075 Bayview Avenue,Toronto ON  M4N 3M5,(416) 480-6100
Sunnybrook Health Sciences Centre,Sunnybrook Health Sciences Centre,St. John's Rehab Campus,Suite S-211,285 Cummer Avenue,Toronto ON  M2M 2G1,(416) 226-6780</t>
  </si>
  <si>
    <t>52606</t>
  </si>
  <si>
    <t xml:space="preserve">Independent Practice as of 18 Oct 1984 </t>
  </si>
  <si>
    <t>Baycrest Centre for Geriatric Care,3560 Bathurst Street,Toronto ON  M6A 2E1</t>
  </si>
  <si>
    <t>(416) 785-2500 Ext. 2321</t>
  </si>
  <si>
    <t>University of Toronto, 13 Jun 1983  to 11 Jun 1984|Other - Rotating Internship
University of Toronto, 01 Jul 1984  to 30 Jun 1985|Resident 1 - Psychiatry
University of Toronto, 01 Jul 1985  to 30 Jun 1986|Resident 2 - Psychiatry
University of Toronto, 01 Jul 1986  to 30 Jun 1987|Resident 3 - Psychiatry
University of Ottawa, 01 Jul 1987  to 30 Jun 1988|Resident 4 - Psychiatry
University of Ottawa, 01 Jul 1988  to 31 Dec 1988|Clinical Fellow - Psychiatry</t>
  </si>
  <si>
    <t>First certificate of registration issued: Postgraduate Education Certificate||Effective:   13 Jun 1983
Transfer of class of registration to: Independent Practice Certificate||Effective:   18 Oct 1984</t>
  </si>
  <si>
    <t>Dr. Matt Robillard Medicine Professional Corporation</t>
  </si>
  <si>
    <t>Issued Date:  Oct 31 2008</t>
  </si>
  <si>
    <t>Dr. M. Robillard (CPSO# 52606)</t>
  </si>
  <si>
    <t>Baycrest Centre for Geriatric Care,Department of Psychiatry - 4E44C,3560 Bathurst Street,Toronto ON  M6A 2E1,(416) 785-2500</t>
  </si>
  <si>
    <t>72511</t>
  </si>
  <si>
    <t>Bloor Islington Place,East Tower - 6th Floor,3250 Bloor Street West,Toronto ON  M8X 2X9</t>
  </si>
  <si>
    <t>(647) 775-1587</t>
  </si>
  <si>
    <t>(416) 256-6056</t>
  </si>
  <si>
    <t>The Scarborough Hospital,Suite 301,2425 Eglinton Avenue East,Toronto ON  M1K 5G8,Canada,Phone:(416) 431-8200 Ext. 6747,Fax:(416) 759-5162,County:City of Toronto,Electoral District:10
Mississauga Treatment Clinic,3047 A Hurontario Street,Mississauga ON  L5A 2G9,Canada,Phone:(905) 279-4848,Fax:(905) 279-6934,County:Regional Municipality of Peel,Electoral District:05
CAMH,1001 Queen St West,Unit 3-4,Toronto ON  M6J 1H4,Canada,Phone:(416) 535-8501 Ext. 32959,County:City of Toronto,Electoral District:10</t>
  </si>
  <si>
    <t>Maurice Siu Medicine Professional Corporation</t>
  </si>
  <si>
    <t>Issued Date:  Jan 23 2004</t>
  </si>
  <si>
    <t>Dr. M. Siu (CPSO# 72511)</t>
  </si>
  <si>
    <t>301 - 2425 Eglinton Avenue East,Toronto ON  M1K 5G8,(416) 431-8283
3047 A Hurontario Street,3047 A Hurontario Street,Mississauga ON  L5A 2G9,(416) 716-0745
3250 Bloor Street West,3250 Bloor Street West,East Tower - 6th Floor,Toronto ON  M8X 2X9,(416) 716-0745</t>
  </si>
  <si>
    <t>81660</t>
  </si>
  <si>
    <t xml:space="preserve">Restricted as of 09 Jul 2004 </t>
  </si>
  <si>
    <t>University of Wales, 1989</t>
  </si>
  <si>
    <t>Department Of Psychiatry And,Behavioural Neurosciences,St Joseph's Healthcare W 5th Campus,100 West 5Th Street,Hamilton ON  L8N 3K7</t>
  </si>
  <si>
    <t>26, Hiscott Street,Suite 201,St Catharines ON  L2R 1C6,Canada,Phone:(905) 704-4068,County:Regional Municipality of Niagara,Electoral District:04</t>
  </si>
  <si>
    <t>Psychiatry||Effective: 09 Jul 2004||CPSO Recognized Specialist</t>
  </si>
  <si>
    <t>First certificate of registration issued: Restricted certificate||Effective:   09 Jul 2004
Terms and conditions imposed on certificate by Registration Committee||Effective:   09 Jul 2004
Expiry date attached to certificate of registration.||Expiry Date: 25 Feb 2007
Terms and conditions amended by Registration Committee||Effective:   16 Sep 2005
Terms and conditions amended by Registration Committee||Effective:   01 Jul 2009
Terms and conditions amended by Registration Committee||Effective:   01 Jul 2009</t>
  </si>
  <si>
    <t>29907</t>
  </si>
  <si>
    <t xml:space="preserve">Active Member as of 19 May 1978 </t>
  </si>
  <si>
    <t xml:space="preserve">Independent Practice as of 19 May 1978 </t>
  </si>
  <si>
    <t>Memorial University of Newfoundland, 1974</t>
  </si>
  <si>
    <t>145 Queenston Street,Suite 304,St Catharines ON  L2R 2Z9</t>
  </si>
  <si>
    <t>(905) 685-1515</t>
  </si>
  <si>
    <t>(905) 685-1152</t>
  </si>
  <si>
    <t>First certificate of registration issued: Postgraduate Education Certificate||Effective:   14 Jun 1974
Expired: Terms and conditions of certificate of registration||Expiry:      13 Jun 1975
Transfer of class of registration to: Independent Practice Certificate||Effective:   19 May 1978</t>
  </si>
  <si>
    <t>91618</t>
  </si>
  <si>
    <t>The University of Manitoba, 2009</t>
  </si>
  <si>
    <t>500 Church Street,Penetanguishene ON  L9M1G3,Canada,Phone:(705) 549-3181,County:County of Simcoe,Electoral District:05</t>
  </si>
  <si>
    <t>Centre for Addiction &amp; Mental Health,Queen Street Site:Toronto
Centre of Addiction &amp; Mental Health,- College Street Site:Toronto
Timmins and District Hospital:Timmins
Waypoint Centre for Mental Health Care:Penetanguishene</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</si>
  <si>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Psychiatry
University of Toronto, 01 Jul 2014  to 30 Jun 2015|PostGrad Yr 6 - Forensic Psychiatry</t>
  </si>
  <si>
    <t>First certificate of registration issued: Postgraduate Education Certificate||Effective:   01 Jul 2009
Expired: Terms and conditions of certificate of registration||Expiry:      05 Sep 2013
Subsequent certificate of registration issued: Restricted certificate||Effective:   05 Sep 2013
Expired: Terms and conditions imposed on certificate by Registration Committee||Effective:   30 Jun 2014
Subsequent certificate of registration Issued: Independent Practice Certificate||Effective:   30 Jun 2014</t>
  </si>
  <si>
    <t>Maxym Choptiany Medicine Professional Corporation</t>
  </si>
  <si>
    <t>Dr. M. Choptiany (CPSO# 91618)</t>
  </si>
  <si>
    <t>Centre for Addiction and Mental Health,Unit 3-4,1001 Queen Street West,Toronto ON  M6J 1H4,(416) 535-8501
500 Church Street,500 Church Street,Penetanguishene ON  L9M 1G3,(705) 549-3181
700 Gordon Street,700 Gordon Street,Whitby ON  L1N 5S9,(905) 668-5881
700 Ross Avenue East,700 Ross Avenue East,Timmins ON  P4N 8P2,(705) 267-2131
160 Horner Avenue,160 Horner Avenue,Toronto ON  M8Z 0C2,(416) 354-4030</t>
  </si>
  <si>
    <t>30856</t>
  </si>
  <si>
    <t xml:space="preserve">Restricted as of 26 May 2008 </t>
  </si>
  <si>
    <t>Unit 121,400 Walmer Road,Toronto ON  M5P 2X7</t>
  </si>
  <si>
    <t>(416) 967-1890</t>
  </si>
  <si>
    <t>(416) 482-8971</t>
  </si>
  <si>
    <t>First certificate of registration issued: Independent Practice Certificate||Effective:   28 Jun 1979
Transfer of class of certificate to: Restricted certificate||Effective:   26 May 2008
Terms and conditions imposed on certificate by Discipline Committee||Effective:   26 May 2008
Terms and conditions amended by member||Effective:   10 Nov 2010
Terms and conditions amended by Inquiries, Complaints and Repo||Effective:   19 Oct 2017</t>
  </si>
  <si>
    <t>90394</t>
  </si>
  <si>
    <t xml:space="preserve">Active Member as of 25 May 2010 </t>
  </si>
  <si>
    <t xml:space="preserve">Independent Practice as of 25 May 2010 </t>
  </si>
  <si>
    <t>Saddam College of Medicine, 1999</t>
  </si>
  <si>
    <t>Grand River Hospital,Psychiatry Department,835 King Street West,Kitchener ON  N2G 1G3</t>
  </si>
  <si>
    <t>(519) 749-4289</t>
  </si>
  <si>
    <t>The Westmount Long Term Care,200 David Bergy Drive,Kitchener, ON,Kitchener ON  N2E 3Y4,Canada,Phone:(519) 570-2115,County:Regional Municipality of Waterloo,Electoral District:03
Nithview Community Long Term Care,200 Boullee Street,New Hamburg ON  N3A 2K4,Canada,Phone:(519) 662-2280,County:Regional Municipality of Waterloo,Electoral District:03
Lanark Heights Long Term Care,46 Lanark Crescent,Kitchener ON  N2N2Z8,Canada,Phone:(519) 743-4200,County:Regional Municipality of Waterloo,Electoral District:03
Thresholds Homes and Supports,236 Victoria St. N., Unit 2A,Kitchener ON  N2H 5C8,Canada,Phone:(519) 742-3191,Fax:5197425232,County:Regional Municipality of Waterloo,Electoral District:03
Parkwood Mennonite Home,726 New Hampshire Street,Waterloo ON  N2K 4M1,Canada,Phone:5197494300 Ext. 2313,County:Regional Municipality of Waterloo,Electoral District:03
115 Delhi Street,Guelph, Ontario,N1E 4J4,Guelph ON  N1E4J4,Canada,Phone:519822-5350,County:County of Wellington,Electoral District:03</t>
  </si>
  <si>
    <t>Grand River Hospital Corporation,Freeport Site:Kitchener
Grand River Hospital Corporation,Kitchener Waterloo Site:Kitchener
Guelph General Hospital:Guelph
St Mary's General Hospital,Kitchener:Kitchener</t>
  </si>
  <si>
    <t>Psychiatry||Effective: 03 May 2010||RCPSC Specialist</t>
  </si>
  <si>
    <t>University of Toronto, 01 May 2009  to 17 Aug 2009|Elective Trainee - Psychiatry
University of Toronto, 18 Aug 2009  to 30 Apr 2010|Clinical Fellow - Psychiatry</t>
  </si>
  <si>
    <t>First certificate of registration issued: Postgraduate Education Certificate||Effective:   01 May 2009
Expired: Terms and conditions of certificate of registration||Expiry:      17 Aug 2009
Subsequent certificate of registration issued: Restricted certificate||Effective:   18 Aug 2009
Expired: Terms and conditions imposed on certificate by Registration Committee||Effective:   25 May 2010
Subsequent certificate of registration Issued: Independent Practice Certificate||Effective:   25 May 2010</t>
  </si>
  <si>
    <t>Dr. Al-Battran Medicine Professional Corporation</t>
  </si>
  <si>
    <t>Dr. M. Al-Battran (CPSO# 90394)</t>
  </si>
  <si>
    <t>Grand River Hospital,Psychiatry Department,835 King Street West,Waterloo ON  N2G 1G3,(519) 749-4300
Thresholds homes and Supports,Thresholds homes and Supports,2A- 236 Victoria Street North,Kitchener ON  N2H 5C8
Nithview Community Long Term Care,Nithview Community Long Term Care,200 Boullee Street,New Hamburg ON  N3A 2K4
Parkwood Mennonite Home,Parkwood Mennonite Home,726 New Hampshire Street,Waterloo ON  N2K 4M1
The Westmount Long Term Care,The Westmount Long Term Care,200 David Bergey Drive,Kitchener ON  N2E 3Y4</t>
  </si>
  <si>
    <t>89898</t>
  </si>
  <si>
    <t xml:space="preserve">Active Member as of 01 Oct 2008 </t>
  </si>
  <si>
    <t xml:space="preserve">Restricted as of 01 Oct 2008 </t>
  </si>
  <si>
    <t>Lady Hardinge Medical College, 1981</t>
  </si>
  <si>
    <t>(705) 8765028</t>
  </si>
  <si>
    <t>10 ANGELINE STREET,Lindsay ON  K9V 4M8,Canada,Phone:(705) 324-6111,County:County of Victoria,Electoral District:06</t>
  </si>
  <si>
    <t>Psychiatry||Effective: 01 Oct 2008||CPSO Recognized Specialist</t>
  </si>
  <si>
    <t>First certificate of registration issued: Restricted certificate||Effective:   01 Oct 2008
Terms and conditions imposed on certificate by Registration Committee||Effective:   01 Oct 2008
Expiry date attached to certificate of registration.||Expiry Date: 31 Mar 2010
Terms and conditions amended by Registration Committee||Effective:   08 Mar 2010
Terms and conditions amended by Registration Committee||Effective:   08 Mar 2010</t>
  </si>
  <si>
    <t>Dr. Meena Gulati Medicine Professional Corporation</t>
  </si>
  <si>
    <t>Dr. M. Gulati (CPSO# 89898)</t>
  </si>
  <si>
    <t>Peterborough Regional Health Centre,Department of Psychiatry,1 Hospital Drive,Peterborough ON  K9J 7C6,(705) 876-5076
Ross Memorial Hospital,Ross Memorial Hospital,10 Angeline Street,Lindsay ON  K9V 4M8,(705) 328-6111</t>
  </si>
  <si>
    <t>90722</t>
  </si>
  <si>
    <t xml:space="preserve">Active Member as of 01 Aug 2018 </t>
  </si>
  <si>
    <t xml:space="preserve">Independent Practice as of 01 Aug 2018 </t>
  </si>
  <si>
    <t>300-100 Marie Curie Pvt.,Ottawa ON  K1N 6N5</t>
  </si>
  <si>
    <t>613-564-3950</t>
  </si>
  <si>
    <t>Psychiatry||Effective: 28 Nov 2015||RCPSC Specialist</t>
  </si>
  <si>
    <t>University of Ottawa, 01 Jul 2009  to 30 Jun 2010|PostGrad Yr 1 - Psychiatry
University of Ottawa, 01 Jul 2010  to 30 Jun 2011|PostGrad Yr 2 - Psychiatry
University of Ottawa, 01 Jul 2011  to 09 Apr 2012|PostGrad Yr 2 - Psychiatry
University of Ottawa, 10 Apr 2012  to 09 Apr 2013|PostGrad Yr 3 - Psychiatry
University of Ottawa, 10 Apr 2013  to 30 Jun 2013|PostGrad Yr 4 - Psychiatry
University of Ottawa, 01 Jul 2013  to 30 Jun 2014|PostGrad Yr 4 - Psychiatry
University of Ottawa, 01 Jul 2014  to 28 Nov 2014|PostGrad Yr 4 - Psychiatry
University of Ottawa, 29 Nov 2014  to 30 Jun 2015|PostGrad Yr 5 - Psychiatry
University of Ottawa, 01 Jul 2015  to 28 Nov 2015|PostGrad Yr 5 - Psychiatry
University of Ottawa, 29 Nov 2015  to 30 Jun 2016|PostGrad Yr 6 - Child and Adolescent Psychiatry</t>
  </si>
  <si>
    <t>First certificate of registration issued: Postgraduate Education Certificate||Effective:   01 Jul 2009
Expired: Terms and conditions of certificate of registration||Expiry:      30 Jun 2016
Subsequent certificate of registration Issued: Independent Practice Certificate||Effective:   01 Aug 2018</t>
  </si>
  <si>
    <t>98449</t>
  </si>
  <si>
    <t xml:space="preserve">Active Member as of 03 Oct 2017 </t>
  </si>
  <si>
    <t xml:space="preserve">Independent Practice as of 03 Oct 2017 </t>
  </si>
  <si>
    <t>Hotel Dieu Hospital,166 Brock St.,Brock 5,Kingston ON  K7L 5G2</t>
  </si>
  <si>
    <t>(613) 544-3400 Ext. 2554</t>
  </si>
  <si>
    <t>(613) 544-7623</t>
  </si>
  <si>
    <t>Queen's University, 01 Jul 2012  to 22 Sep 2012|Assessment Verification Period - Psychiatry
Queen's University, 23 Sep 2012  to 30 Jun 2013|PostGrad Yr 1 - Psychiatry
Queen's University, 01 Jul 2013  to 30 Jun 2014|PostGrad Yr 2 - Psychiatry
Queen's University, 01 Jul 2014  to 30 Jun 2015|PostGrad Yr 3 - Psychiatry
Queen's University, 01 Jul 2015  to 30 Jun 2016|PostGrad Yr 4 - Psychiatry
Queen's University, 01 Jul 2016  to 30 Jun 2017|PostGrad Yr 5 - Psychiatry</t>
  </si>
  <si>
    <t>First certificate of registration issued: Pre Entry Assessment Program Certificate||Effective:   01 Jul 2012
Transfer of class of registration to: Postgraduate Education Certificate||Effective:   23 Sep 2012
Expired: Terms and conditions of certificate of registration||Expiry:      30 Jun 2017
Subsequent certificate of registration Issued: Independent Practice Certificate||Effective:   03 Oct 2017</t>
  </si>
  <si>
    <t>Megan Yang Medicine Professional Corporation</t>
  </si>
  <si>
    <t>Issued Date:  Oct 16 2017</t>
  </si>
  <si>
    <t>Dr. M. Yang (CPSO# 98449)</t>
  </si>
  <si>
    <t>Kingston Health Sciences Centre,KGH Site,76 Stuart Street,Kingston ON  K7L 2V7,(613) 548-3232
Kingston Health Sciences Centre,Kingston Health Sciences Centre,HDH Site,166 Brock Street,Kingston ON  K7L 5G2,(613) 544-3310
Providence Care Hospital,Providence Care Hospital,752 King Street West,Kingston ON  K7L 4X3,(613) 544-4900</t>
  </si>
  <si>
    <t>111390</t>
  </si>
  <si>
    <t xml:space="preserve">Active Member as of 17 Jan 2017 </t>
  </si>
  <si>
    <t xml:space="preserve">Restricted as of 17 Jan 2017 </t>
  </si>
  <si>
    <t>USA - Texas</t>
  </si>
  <si>
    <t>Psychiatry||Effective: 13 Sep 2018||CPSO Recognized Specialist</t>
  </si>
  <si>
    <t>First certificate of registration issued: Restricted certificate||Effective:   17 Jan 2017
Terms and conditions imposed on certificate by Registration Committee||Effective:   17 Jan 2017
Expiry date attached to certificate of registration.||Expiry Date: 15 Jun 2018
Terms and conditions amended by Registration Committee||Effective:   15 Jun 2018
Terms and conditions amended by Registration Committee||Effective:   13 Jul 2018
Expiry date attached to certificate of registration||Expiry Date: 17 Jan 2019
Terms and conditions amended by Registration Committee||Effective:   13 Sep 2018
Expiry date attached to certificate of registration||Expiry Date: 17 Jan 2019</t>
  </si>
  <si>
    <t>51770</t>
  </si>
  <si>
    <t xml:space="preserve">Active Member as of 06 Jul 1982 </t>
  </si>
  <si>
    <t xml:space="preserve">Independent Practice as of 09 Jan 1997 </t>
  </si>
  <si>
    <t>English, French, Turkish</t>
  </si>
  <si>
    <t>Istanbul University, 1980</t>
  </si>
  <si>
    <t>Humber River Hospital,Wilson Site,1235 Wilson Avenue,Toronto ON  M3M 0B2</t>
  </si>
  <si>
    <t>(416) 242-1000 Ext. 43039</t>
  </si>
  <si>
    <t>2221 Keele Street, suite 304,Toronto ON  M6M 3Z5,Canada,Phone:(416) 249-9696,Fax:(416) 249-9898,County:City of Toronto,Electoral District:10
120 Napier Street,Goderich ON  N7A 1W5,Canada,Phone:(519) 524-8323,Fax:(519) 524-5579,County:County of Huron,Electoral District:02</t>
  </si>
  <si>
    <t>University of Toronto, 01 Jul 1982  to 30 Jun 1983|Resident 1 - Psychiatry
University of Toronto, 01 Jul 1983  to 30 Jun 1984|Resident 2 - Psychiatry
University of Toronto, 01 Jul 1984  to 30 Jun 1985|Resident 3 - Psychiatry
University of Toronto, 01 Jul 1985  to 30 Jun 1986|Resident 4 - Psychiatry
University of Toronto, 01 Jul 1986  to 30 Jun 1987|Resident 4 - Psychiatry</t>
  </si>
  <si>
    <t>First certificate of registration issued: Postgraduate Education Certificate||Effective:   06 Jul 1982
Transfer of class of registration to: Hospital Practice Certificate||Effective:   09 Jan 1987
Transfer of class of registration to: Independent Practice Certificate||Effective:   09 Jan 1997</t>
  </si>
  <si>
    <t>97565</t>
  </si>
  <si>
    <t>Markham Stouffville Hospital,381 Church St, PO Box 1800,Markham ON  L3P 7P3</t>
  </si>
  <si>
    <t>(905) 472-7011 Ext. 39258</t>
  </si>
  <si>
    <t>(647) 498-1523</t>
  </si>
  <si>
    <t>Centre for Addiction &amp; Mental Health,Queen Street Site:Toronto
Markham Stouffville Hospital:Markham
Ross Memorial Hospital:Lindsay</t>
  </si>
  <si>
    <t>Queen's University, 01 Jul 2012  to 30 Jun 2013|PostGrad Yr 1 - Psychiatry
Queen's University, 01 Jul 2013  to 30 Jun 2014|PostGrad Yr 2 - Psychiatry
Queen's University, 01 Jul 2014  to 30 Jun 2015|PostGrad Yr 3 - Psychiatry
Queen's University, 01 Jul 2015  to 30 Jun 2016|PostGrad Yr 4 - Psychiatry
Queen's University, 01 Jul 2016  to 30 Jun 2017|PostGrad Yr 5 - Psychiatry
University of Toronto, 01 Jul 2017  to 30 Jun 2018|PostGrad Yr 6 - Geriatric Psychiatry</t>
  </si>
  <si>
    <t>First certificate of registration issued: Postgraduate Education Certificate||Effective:   01 Jul 2012
Expired: Terms and conditions of certificate of registration||Expiry:      19 Nov 2015
Subsequent certificate of registration issued: Restricted certificate||Effective:   19 Nov 2015
Terms and conditions amended by Registration Committee||Effective:   26 May 2016
Expired: Terms and conditions imposed on certificate by Registration Committee||Effective:   30 Jun 2017
Subsequent certificate of registration Issued: Independent Practice Certificate||Effective:   30 Jun 2017</t>
  </si>
  <si>
    <t>93747</t>
  </si>
  <si>
    <t>Hosseini-Tabatabaei, Mehr-Afarin (used until: 01 Nov 2017 )</t>
  </si>
  <si>
    <t>Upstate Medical Center State Univ of N Y, 2010</t>
  </si>
  <si>
    <t>151 Harbord Street,Toronto ON  M5S 1H1</t>
  </si>
  <si>
    <t>(416) 662-0865</t>
  </si>
  <si>
    <t>First certificate of registration issued: Postgraduate Education Certificate||Effective:   01 Jul 2010
Expired: Terms and conditions of certificate of registration||Expiry:      30 Jun 2015
Subsequent certificate of registration Issued: Independent Practice Certificate||Effective:   09 Sep 2015</t>
  </si>
  <si>
    <t>92305</t>
  </si>
  <si>
    <t xml:space="preserve">Active Member as of 29 Jun 2015 </t>
  </si>
  <si>
    <t xml:space="preserve">Independent Practice as of 29 Jun 2015 </t>
  </si>
  <si>
    <t>Islamic Azad University, 2000</t>
  </si>
  <si>
    <t>University of Ottawa, 14 Dec 2009  to 18 Dec 2009|Elective Trainee - Neurology
University of Toronto, 01 Sep 2010  to 31 Aug 2011|Clinical Fellow - Psychiatry</t>
  </si>
  <si>
    <t>First certificate of registration issued: Postgraduate Education Certificate||Effective:   14 Dec 2009
Expired: Terms and conditions of certificate of registration||Expiry:      18 Dec 2009
Subsequent certificate of registration issued: Restricted certificate||Effective:   01 Sep 2010
Terms and conditions amended by Registration Committee||Effective:   04 Nov 2011
Terms and conditions amended by Registration Committee||Effective:   07 Nov 2012
Terms and conditions amended by Registration Committee||Effective:   29 Oct 2014
Expired: Terms and conditions imposed on certificate by Registration Committee||Effective:   29 Jun 2015
Subsequent certificate of registration Issued: Independent Practice Certificate||Effective:   29 Jun 2015</t>
  </si>
  <si>
    <t>96005</t>
  </si>
  <si>
    <t>Uppal, Mehtaab Kaur (used until: 22 Jun 2016 )</t>
  </si>
  <si>
    <t>Royal College of Surgeons in Ireland, 2011</t>
  </si>
  <si>
    <t>5194644400 Ext. 5304</t>
  </si>
  <si>
    <t>5194644516</t>
  </si>
  <si>
    <t>The University of Western Ontario, 01 Jul 2011  to 24 Oct 2011|Assessment Verification Period - Psychiatry
The University of Western Ontario, 25 Oct 2011  to 30 Jun 2012|PostGrad Yr 1 - Psychiatry
The University of Western Ontario, 01 Jul 2012  to 30 Jun 2013|PostGrad Yr 2 - Psychiatry
The University of Western Ontario, 01 Jul 2013  to 30 Jun 2014|PostGrad Yr 3 - Psychiatry
The University of Western Ontario, 01 Jul 2014  to 30 Jun 2015|PostGrad Yr 4 - Psychiatry
The University of Western Ontario, 01 Jul 2015  to 30 Jun 2016|PostGrad Yr 5 - Psychiatry</t>
  </si>
  <si>
    <t>M.K. Chhabra Medicine Professional Corporation</t>
  </si>
  <si>
    <t>Dr. M. Chhabra (CPSO# 96005)</t>
  </si>
  <si>
    <t>Bluewater Health,89 Norman Street,Sarnia ON  N7T 6S3,(519) 464-4400</t>
  </si>
  <si>
    <t>92755</t>
  </si>
  <si>
    <t>Poznan University of Medical Sciences, 2007</t>
  </si>
  <si>
    <t>3001 hospital gate,Oakville ON  L6M 0L8</t>
  </si>
  <si>
    <t>905-338-4630</t>
  </si>
  <si>
    <t>5359 dundas street west,Etobicoke ON  M9B 1B1,Canada,Phone:(416) 622-3266,Fax:(416) 622-7831,County:City of Toronto,Electoral District:10
720 MacKay St,Canada,Phone:(613) 735-2358,County:County of Renfrew,Electoral District:07</t>
  </si>
  <si>
    <t>Oakville Trafalgar Memorial Hospital:Oakville
Pembroke Regional Hospital:Pembroke</t>
  </si>
  <si>
    <t>Psychiatry||Effective: 30 Jun 2012||RCPSC Specialist
Child and Adolescent Psychiatry||Effective: 21 Sep 2015||RCPSC Specialist</t>
  </si>
  <si>
    <t>The University of Western Ontario, 01 Jul 2010  to 31 Dec 2010|Elective Trainee - Psychiatry</t>
  </si>
  <si>
    <t>Dr. Matthew Choi Medicine Professional Corporation</t>
  </si>
  <si>
    <t>Dr. M. Mullins (CPSO# 92755),Dr. M. Choi (CPSO# 89022)</t>
  </si>
  <si>
    <t>237 Barton Street East,Hamilton ON  L8L 2X2,(905) 521-2100
711 Concession Street,711 Concession Street,Hamilton ON  L8V 1C3,(905) 521-2100
50 Charlton Avenue East,50 Charlton Avenue East,Hamilton ON  L8N 4A6,(905) 522-1155
McMaster Children's Hospital,McMaster Children's Hospital,Department of Pediatric Surgery,Room 4E,1200 Main Street West,Hamilton ON  L8N 3Z5,(905) 521-2100
McMaster Children's Hospital,McMaster Children's Hospital,Department of Pediatric Surgery,Room 4E,1200 Main Street West,Hamilton ON  L8N 3Z5,(905) 521-210</t>
  </si>
  <si>
    <t>Dr. Melanie Mullins Medicine Professional Corporation</t>
  </si>
  <si>
    <t>Issued Date:  Aug 13 2018</t>
  </si>
  <si>
    <t>Oakville Trafalgar Memorial Hospital,3001 Hospital Gate,Oakville ON  L6M 0L8,(905) 845-2571
202-5359 Dundas Street West,202-5359 Dundas Street West,Etobicoke ON  M9B 1B1,(416) 622-3266</t>
  </si>
  <si>
    <t>95936</t>
  </si>
  <si>
    <t xml:space="preserve">Independent Practice as of 22 Jun 2017 </t>
  </si>
  <si>
    <t>The Royal Ottawa Mental Health Ctr,1145 Carling Avenue,Ottawa ON  K1Z 7K4</t>
  </si>
  <si>
    <t>6137226521</t>
  </si>
  <si>
    <t>3045 Baseline Road,Ottawa ON  K2H 8P4,Canada,Phone:6137212000,County:Regional Municipality of Ottawa-Carleton,Electoral District:07</t>
  </si>
  <si>
    <t>Psychiatry||Effective: 18 May 2017||RCPSC Specialist</t>
  </si>
  <si>
    <t>University of Ottawa, 01 Jul 2011  to 30 Jun 2012|PostGrad Yr 1 - Psychiatry
University of Ottawa, 01 Jul 2012  to 30 Jun 2013|PostGrad Yr 2 - Psychiatry
University of Ottawa, 01 Jul 2013  to 30 Jun 2014|PostGrad Yr 3 - Psychiatry
University of Ottawa, 01 Jul 2014  to 04 May 2015|PostGrad Yr 3 - Psychiatry
University of Ottawa, 05 May 2015  to 30 Jun 2015|PostGrad Yr 4 - Psychiatry
University of Ottawa, 01 Jul 2015  to 04 May 2016|PostGrad Yr 4 - Psychiatry
University of Ottawa, 05 May 2016  to 30 Jun 2016|PostGrad Yr 5 - Psychiatry
University of Ottawa, 01 Jul 2016  to 04 May 2017|PostGrad Yr 5 - Psychiatry
University of Ottawa, 05 May 2017  to 30 Jun 2017|PostGrad Yr 6 - Forensic Psychiatry
University of Ottawa, 01 Jul 2017  to 30 Jun 2018|PostGrad Yr 6 - Forensic Psychiatry</t>
  </si>
  <si>
    <t>First certificate of registration issued: Postgraduate Education Certificate||Effective:   01 Jul 2011
Transfer of class of registration to: Independent Practice Certificate||Effective:   22 Jun 2017</t>
  </si>
  <si>
    <t>55803</t>
  </si>
  <si>
    <t xml:space="preserve">Independent Practice as of 02 Mar 1987 </t>
  </si>
  <si>
    <t>Suite 1010,170 Bloor Street West,Toronto ON  M5S 1T9</t>
  </si>
  <si>
    <t>(416) 545-1541</t>
  </si>
  <si>
    <t>(416) 545-1686</t>
  </si>
  <si>
    <t>First certificate of registration issued: Postgraduate Education Certificate||Effective:   17 Jun 1985
Transfer of class of registration to: Independent Practice Certificate||Effective:   02 Mar 1987</t>
  </si>
  <si>
    <t>80339</t>
  </si>
  <si>
    <t xml:space="preserve">Active Member as of 18 Aug 2011 </t>
  </si>
  <si>
    <t xml:space="preserve">Independent Practice as of 18 Aug 2011 </t>
  </si>
  <si>
    <t>Universita di Milano, 1997</t>
  </si>
  <si>
    <t>NHS St Catharines General Site,Department of Psychiatry,1200 Fourth Avenue,St Catharines ON  L2S 0A9</t>
  </si>
  <si>
    <t>(905) 378-4647 Ext. 46441</t>
  </si>
  <si>
    <t>Queen's University, 15 Dec 2003  to 14 Jun 2004|International Specialist Physician - Psychiatry
Queen's University, 15 Jun 2004  to 30 Jun 2005|PostGrad Yr 5 - Psychiatry</t>
  </si>
  <si>
    <t>First certificate of registration issued: Postgraduate Education Certificate||Effective:   15 Dec 2003
Expired: Terms and conditions of certificate of registration||Expiry:      30 Jun 2005
Subsequent certificate of registration issued: Restricted certificate||Effective:   03 Nov 2005
Terms and conditions amended by Registration Committee||Effective:   27 Oct 2010
Expired: Terms and conditions imposed on certificate by Registration Committee||Effective:   18 Aug 2011
Subsequent certificate of registration Issued: Independent Practice Certificate||Effective:   18 Aug 2011</t>
  </si>
  <si>
    <t>66739</t>
  </si>
  <si>
    <t>Hackbart, Melissa (used until: 26 Jun 1995 )</t>
  </si>
  <si>
    <t>Providence Care Hospital,752 King St W,Kingston ON  K7L 4X3</t>
  </si>
  <si>
    <t>(613) 384-6107</t>
  </si>
  <si>
    <t>95867</t>
  </si>
  <si>
    <t>M. O'Brien Medicine Professional Corporation</t>
  </si>
  <si>
    <t>Dr. M. Palardy (CPSO# 95867),Dr. M. O'Brien (CPSO# 95834)</t>
  </si>
  <si>
    <t>The Ottawa Hospital Civic Campus,Department of Emergency Medicine,Room EM 206,1053 Carling Avenue,Ottawa ON  K1Y 4E9,(613) 795-5555
501 Smyth Road,501 Smyth Road,Ottawa ON  K1H 8L6,(613) 722-7000
713 Montreal Road,713 Montreal Road,Ottawa ON  K1K 0T2,(613) 746-4621</t>
  </si>
  <si>
    <t>116908</t>
  </si>
  <si>
    <t xml:space="preserve">Active Member as of 05 Sep 2018 </t>
  </si>
  <si>
    <t xml:space="preserve">Restricted as of 05 Sep 2018 </t>
  </si>
  <si>
    <t>University of Pittsburgh, 2008</t>
  </si>
  <si>
    <t>Grey Bruce Health Services,Owen Sound,1800 8th St E,Owen Sound ON  N4K 6M9</t>
  </si>
  <si>
    <t>(519) 376-2121</t>
  </si>
  <si>
    <t>Psychiatry||Effective: 05 Sep 2018||CPSO Recognized Specialist
Child and Adolescent Psychiatry||Effective: 05 Sep 2018||CPSO Recognized Specialist</t>
  </si>
  <si>
    <t>First certificate of registration issued: Restricted certificate||Effective:   05 Sep 2018
Terms and conditions imposed on certificate by Registration Committee||Effective:   05 Sep 2018
Expiry date attached to certificate of registration.||Expiry Date: 04 Mar 2020</t>
  </si>
  <si>
    <t>52300</t>
  </si>
  <si>
    <t xml:space="preserve">Active Member as of 19 Dec 1979 </t>
  </si>
  <si>
    <t xml:space="preserve">Independent Practice as of 18 Jan 1985 </t>
  </si>
  <si>
    <t>State University of Haiti, 1975</t>
  </si>
  <si>
    <t>117 Flora Street,Suite 1,Ottawa ON  K1R 5R4</t>
  </si>
  <si>
    <t>(613) 567-5473</t>
  </si>
  <si>
    <t>Psychiatry||Effective: 19 Nov 1984||RCPSC Specialist</t>
  </si>
  <si>
    <t>First certificate of registration issued: Postgraduate Education Certificate||Effective:   19 Dec 1979
Transfer of class of registration to: Independent Practice Certificate||Effective:   18 Jan 1985</t>
  </si>
  <si>
    <t>Dr. Menes Pierre-Pierre Medicine Professional Corporation</t>
  </si>
  <si>
    <t>Issued Date:  Feb 01 2013</t>
  </si>
  <si>
    <t>Dr. M. Pierre-Pierre (CPSO# 52300)</t>
  </si>
  <si>
    <t>Suite 1,117 Flora Street,Ottawa ON  K1R 5R4,(613) 567-5473</t>
  </si>
  <si>
    <t>107465</t>
  </si>
  <si>
    <t xml:space="preserve">Active Member as of 02 Jul 2015 </t>
  </si>
  <si>
    <t xml:space="preserve">Restricted as of 02 Jul 2015 </t>
  </si>
  <si>
    <t>Chinese, English, Mandarin, Taiwanese</t>
  </si>
  <si>
    <t>National Taiwan University, 2002</t>
  </si>
  <si>
    <t>University of Toronto,Department of Psychiatry,250 College Street, 8th Floor,Toronto ON  M5T 1R8</t>
  </si>
  <si>
    <t>(416) 979-6748</t>
  </si>
  <si>
    <t>80 Workman Way, 5th floor,Child, Youth and Family Services,CAMH,Toronto ON  M6J 1H4,Canada,County:City of Toronto,Electoral District:10</t>
  </si>
  <si>
    <t>Taiwan</t>
  </si>
  <si>
    <t>Centre for Addiction &amp; Mental Health,Queen Street Site:Toronto
Hospital For Sick Children:Toronto</t>
  </si>
  <si>
    <t>Psychiatry||Effective: 02 Jul 2015||CPSO Recognized Specialist</t>
  </si>
  <si>
    <t>First certificate of registration issued: Restricted certificate||Effective:   02 Jul 2015
Terms and conditions imposed on certificate by Registration Committee||Effective:   02 Jul 2015
Expiry date attached to certificate of registration.||Expiry Date: 17 Jun 2018
Terms and conditions amended by Registration Committee||Effective:   30 May 2017
Expiry date attached to certificate of registration||Expiry Date: 01 Jul 2022</t>
  </si>
  <si>
    <t>92801</t>
  </si>
  <si>
    <t xml:space="preserve">Independent Practice as of 28 Feb 2017 </t>
  </si>
  <si>
    <t>Friedman, Meri Kinneret (used until: 14 Aug 2014 )</t>
  </si>
  <si>
    <t>4162421025</t>
  </si>
  <si>
    <t>Psychiatry||Effective: 28 Feb 2017||RCPSC Specialist</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</si>
  <si>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
University of Toronto, 01 Jul 2015  to 30 Jun 2016|PostGrad Yr 5 - Psychiatry
University of Toronto, 01 Jul 2016  to 08 Jun 2017|PostGrad Yr 5 - Psychiatry</t>
  </si>
  <si>
    <t>First certificate of registration issued: Postgraduate Education Certificate||Effective:   01 Jul 2010
Transfer of class of registration to: Independent Practice Certificate||Effective:   28 Feb 2017</t>
  </si>
  <si>
    <t>M. K. Fleiman Medicine Professional Corporation</t>
  </si>
  <si>
    <t>Dr. M. Fleiman (CPSO# 92801)</t>
  </si>
  <si>
    <t>Humber River Hospital,5th Floor East,1235 Wilson Avenue,Toronto ON  M3M 0B2,(416) 242-1000</t>
  </si>
  <si>
    <t>86063</t>
  </si>
  <si>
    <t xml:space="preserve">Active Member as of 27 Jul 2015 </t>
  </si>
  <si>
    <t xml:space="preserve">Independent Practice as of 27 Jul 2015 </t>
  </si>
  <si>
    <t>King Saud University, 2005</t>
  </si>
  <si>
    <t>Sleep and Alertness Clinic,790 BAY STREET,Suite 800,Toronto ON  M5G 1N8</t>
  </si>
  <si>
    <t>(416) 603-5075</t>
  </si>
  <si>
    <t>720 Spadina Ave.,Suite 303,Toronto ON  M5S 2T9,Canada,Phone:(647) 629-8883,Fax:(647) 689-2170,County:City of Toronto,Electoral District:10</t>
  </si>
  <si>
    <t>University of Ottawa, 10 Apr 2007  to 30 Jun 2007|PEAP - Resident - Psychiatry
University of Ottawa, 01 Jul 2007  to 30 Jun 2008|PostGrad Yr 1 - Psychiatry
University of Ottawa, 01 Jul 2008  to 30 Jun 2009|PostGrad Yr 2 - Psychiatry
University of Ottawa, 01 Jul 2009  to 30 Jun 2010|PostGrad Yr 3 - Psychiatry
University of Ottawa, 01 Jul 2010  to 30 Jun 2011|PostGrad Yr 4 - Psychiatry
University of Ottawa, 01 Jul 2011  to 30 Jun 2012|PostGrad Yr 5 - Psychiatry
University of Toronto, 01 Jul 2012  to 30 Jun 2013|Clinical Fellow - Psychiatry
University of Toronto, 01 Jul 2013  to 30 Jun 2014|Clinical Fellow - Psychiatry</t>
  </si>
  <si>
    <t>First certificate of registration issued: Pre Entry Assessment Program Certificate||Effective:   10 Apr 2007
Transfer of class of registration to: Postgraduate Education Certificate||Effective:   01 Jul 2007
Expired: Terms and conditions of certificate of registration||Expiry:      28 Jan 2013
Subsequent certificate of registration issued: Restricted certificate||Effective:   28 Jan 2013
Terms and conditions amended by Registration Committee||Effective:   30 Jun 2014
Expired: Terms and conditions imposed on certificate by Registration Committee||Effective:   27 Jul 2015
Subsequent certificate of registration Issued: Independent Practice Certificate||Effective:   27 Jul 2015</t>
  </si>
  <si>
    <t>24837</t>
  </si>
  <si>
    <t>University of Lausanne, 1966</t>
  </si>
  <si>
    <t>Centenary Health Centre,6th Floor,2867 Ellesmere Road,Scarborough ON  M1E 4B9</t>
  </si>
  <si>
    <t>Dr. M.L. Isenberg Medicine Professional Corporation</t>
  </si>
  <si>
    <t>Dr. M. Isenberg (CPSO# 24837)</t>
  </si>
  <si>
    <t>Centenary Health Centre,6th Floor,2867 Ellesmere Road,Toronto ON  M1E 4B9</t>
  </si>
  <si>
    <t>98665</t>
  </si>
  <si>
    <t>Universidad De Panama, 2002</t>
  </si>
  <si>
    <t>University of Toronto,Department of Psychiatry,250 College Street Suite 841,Toronto ON  M5T 1R9</t>
  </si>
  <si>
    <t>University of Toronto, 01 Jul 2012  to 22 Sep 2012|Assessment Verification Period - Psychiatry
University of Toronto, 23 Sep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Psychiatry
University of Toronto, 17 Jul 2017  to 30 Jun 2018|Clinical Fellow - Psychiatry
University of Toronto, 01 Jul 2018  to 16 Jul 2018|Clinical Fellow - Psychiatry</t>
  </si>
  <si>
    <t>33188</t>
  </si>
  <si>
    <t xml:space="preserve">Active Member as of 04 May 1982 </t>
  </si>
  <si>
    <t xml:space="preserve">Independent Practice as of 04 May 1982 </t>
  </si>
  <si>
    <t>MacAnxiety Research Centre,Suite L02,1057 Main Street West,Hamilton ON  L8S 1B7</t>
  </si>
  <si>
    <t>(905) 920-5611</t>
  </si>
  <si>
    <t>(289) 4262412</t>
  </si>
  <si>
    <t>Family Medicine||Effective: 01 Jul 1982||CFPC Specialist
Psychiatry||Effective: 04 Jun 1985||RCPSC Specialist</t>
  </si>
  <si>
    <t>First certificate of registration issued: Independent Practice Certificate||Effective:   04 May 1982</t>
  </si>
  <si>
    <t>M. Van Ameringen Medicine Professional Corporation</t>
  </si>
  <si>
    <t>Issued Date:  Dec 15 2015</t>
  </si>
  <si>
    <t>Dr. M. Van Ameringen (CPSO# 33188)</t>
  </si>
  <si>
    <t>MacAnxiety Research Centre,Suite L02,1057 Main Street West,Hamilton ON  L8S 1B7,(905) 920-5611</t>
  </si>
  <si>
    <t>26696</t>
  </si>
  <si>
    <t xml:space="preserve">Active Member as of 08 Jul 1974 </t>
  </si>
  <si>
    <t xml:space="preserve">Independent Practice as of 08 Jul 1974 </t>
  </si>
  <si>
    <t>Toronto East General Hospital,Department Of Psychiatry,825 Coxwell Avenue,Toronto ON  M4C 3E7</t>
  </si>
  <si>
    <t>(416) 469-6298</t>
  </si>
  <si>
    <t>First certificate of registration issued: Postgraduate Education Certificate||Effective:   18 Jun 1973
Transfer of class of registration to: Independent Practice Certificate||Effective:   08 Jul 1974</t>
  </si>
  <si>
    <t>32564</t>
  </si>
  <si>
    <t xml:space="preserve">Active Member as of 29 Jun 1981 </t>
  </si>
  <si>
    <t>University of Aberdeen, 1970</t>
  </si>
  <si>
    <t>Queensway Carleton Hospital,3045 Baseline Road,Nepean ON  K2H 8P4</t>
  </si>
  <si>
    <t>First certificate of registration issued: Independent Practice Certificate||Effective:   29 Jun 1981</t>
  </si>
  <si>
    <t>26219</t>
  </si>
  <si>
    <t>465 Davis Drive,Suite 402,Newmarket ON  L3Y 8T2</t>
  </si>
  <si>
    <t>(905) 955-2553</t>
  </si>
  <si>
    <t>(905) 830-5963</t>
  </si>
  <si>
    <t>First certificate of registration issued: Postgraduate Education Certificate||Effective:   01 Jul 1971
Expired: Terms and conditions of certificate of registration||Expiry:      30 Jun 1973
Subsequent certificate of registration Issued: Independent Practice Certificate||Effective:   26 Oct 1973</t>
  </si>
  <si>
    <t>28770</t>
  </si>
  <si>
    <t xml:space="preserve">Active Member as of 16 Sep 1976 </t>
  </si>
  <si>
    <t xml:space="preserve">Independent Practice as of 16 Sep 1976 </t>
  </si>
  <si>
    <t>170 Walmer Road,Toronto ON  M5R 2X9</t>
  </si>
  <si>
    <t>(416) 968-6392</t>
  </si>
  <si>
    <t>First certificate of registration issued: Independent Practice Certificate||Effective:   16 Sep 1976</t>
  </si>
  <si>
    <t>95877</t>
  </si>
  <si>
    <t xml:space="preserve">Independent Practice as of 14 Aug 2017 </t>
  </si>
  <si>
    <t>Halton Healthcare,Oakville Trafalgar Memorial Hosp,Department of Psychiatry,3001 Hospital Gate,Oakville ON  L6M 0L8</t>
  </si>
  <si>
    <t>905-845-2571 Ext. 4800</t>
  </si>
  <si>
    <t>905-845-6419</t>
  </si>
  <si>
    <t>First certificate of registration issued: Postgraduate Education Certificate||Effective:   01 Jul 2011
Expired: Terms and conditions of certificate of registration||Expiry:      30 Jun 2016
Subsequent certificate of registration issued: Restricted certificate||Effective:   23 Sep 2016
Expiry as per terms and conditions imposed on certificate||Expiry Date: 22 Sep 2019
Expired: Terms and conditions imposed on certificate by Registration Committee||Effective:   14 Aug 2017
Subsequent certificate of registration Issued: Independent Practice Certificate||Effective:   14 Aug 2017</t>
  </si>
  <si>
    <t>Dr. Shaytzag Medicine Professional Corporation</t>
  </si>
  <si>
    <t>Issued Date:  Jun 01 2017</t>
  </si>
  <si>
    <t>Dr. M. Shaytzag (CPSO# 95877)</t>
  </si>
  <si>
    <t>Halton Healthcare,Oakville Trafalgar Memorial Hospital,Department of Psychiatry,3001 Hospital Gate,Oakville ON  L6M 0L8,(905) 845-2571</t>
  </si>
  <si>
    <t>57211</t>
  </si>
  <si>
    <t xml:space="preserve">Active Member as of 13 Sep 1991 </t>
  </si>
  <si>
    <t xml:space="preserve">Independent Practice as of 13 Sep 1991 </t>
  </si>
  <si>
    <t>Suite 211,99 Kakulu Road,Kanata ON  K2L 3C8</t>
  </si>
  <si>
    <t>(613) 591-0606</t>
  </si>
  <si>
    <t>First certificate of registration issued: Postgraduate Education Certificate||Effective:   15 Jun 1986
Expired: Terms and conditions of certificate of registration||Expiry:      30 Jun 1991
Subsequent certificate of registration Issued: Independent Practice Certificate||Effective:   13 Sep 1991</t>
  </si>
  <si>
    <t>31275</t>
  </si>
  <si>
    <t xml:space="preserve">Active Member as of 20 Dec 1979 </t>
  </si>
  <si>
    <t xml:space="preserve">Restricted as of 29 Mar 2014 </t>
  </si>
  <si>
    <t>100 Wellington Road South,London ON  N6C 4M8</t>
  </si>
  <si>
    <t>(519) 438-6067</t>
  </si>
  <si>
    <t>188 Victoria Street,London ON  N6A 2B8,Canada,Phone:(519) 435-1733,Fax:(519) 435-1259,County:County of Middlesex,Electoral District:02</t>
  </si>
  <si>
    <t>First certificate of registration issued: Independent Practice Certificate||Effective:   20 Dec 1979
Transfer of class of certificate to: Restricted certificate||Effective:   29 Mar 2014
Terms and conditions imposed on certificate by member||Effective:   29 Mar 2014</t>
  </si>
  <si>
    <t>26218</t>
  </si>
  <si>
    <t xml:space="preserve">Active Member as of 25 Oct 1973 </t>
  </si>
  <si>
    <t xml:space="preserve">Independent Practice as of 25 Oct 1973 </t>
  </si>
  <si>
    <t>Trillium Health Centre,Seniors Mental Health Services,4th Floor,150 Sherway Drive,Etobicoke ON  M9C 1A5</t>
  </si>
  <si>
    <t>(416) 521-4057</t>
  </si>
  <si>
    <t>(416) 521-4072</t>
  </si>
  <si>
    <t>1235 wilson Avenue,Toronto ON  M3M0B2,Canada,Phone:(416) 242 1000 Ext. 43098,Fax:(416) 658-2074,County:City of Toronto,Electoral District:10</t>
  </si>
  <si>
    <t>Humber River Hospital,Wilson Site:Toronto
Rouge Valley Centenary Health Centre,Toronto:Toronto
Trillium Health Partners,Queensway Health Centre:Toronto</t>
  </si>
  <si>
    <t>First certificate of registration issued: Postgraduate Education Certificate||Effective:   20 Sep 1971
Transfer of class of registration to: Independent Practice Certificate||Effective:   25 Oct 1973</t>
  </si>
  <si>
    <t>Dr. Michael Kugelmass Medicine Professional Corporation</t>
  </si>
  <si>
    <t>Issued Date:  Nov 14 2013</t>
  </si>
  <si>
    <t>Dr. M. Kugelmass (CPSO# 26218)</t>
  </si>
  <si>
    <t>1235 Wilson Avenue,Toronto ON  M3M 0B2,(416) 242-1000
Trillium Health Centre,Trillium Health Centre,Seniors Mental Health Services,4th Floor,150 Sherway Drive,Toronto ON  M9C 1A5,(416) 521-4057</t>
  </si>
  <si>
    <t>71284</t>
  </si>
  <si>
    <t>6th Floor,3250 Bloor Street West,Toronto ON  M8X 2X9</t>
  </si>
  <si>
    <t>(647) 775-1650</t>
  </si>
  <si>
    <t>(866) 232-8139</t>
  </si>
  <si>
    <t>A Grenville &amp; William Davis Court,CMHA Peel Office,7755 Hurontario Street,Brampton ON  L6W 4T6,Canada,Phone:(905) 456-4700 Ext. 5663,County:Regional Municipality of Peel,Electoral District:05
Toronto South Detention Centre,Health Care,160 Horner Avenue,Toronto ON  M8Z 4X8,Canada,Phone:(416) 354-4030,County:City of Toronto,Electoral District:10
Roy McMurtry Youth Centre,Health Care,8500 McLaughlin Road South,Brampton ON  L6Y 0N6,Canada,Phone:(905) 454-5000 Ext. 5402,County:Regional Municipality of Peel,Electoral District:05</t>
  </si>
  <si>
    <t>Michael Colleton Medicine Professional Corporation</t>
  </si>
  <si>
    <t>Issued Date:  Nov 23 2010</t>
  </si>
  <si>
    <t>Dr. M. Colleton (CPSO# 71284)</t>
  </si>
  <si>
    <t>Canadian Mental Health Association,Peel Branch,Suite 314,7700 Hurontario Street,Brampton ON  L6Y 4M3
Roy McMurtry Youth Centre,Roy McMurtry Youth Centre,Health Care Department,8500 McLaughlin Road South,Brampton ON  L6Y 0N6,(905) 454-5000
A. Grenville &amp; William Davis Courthouse,A. Grenville &amp; William Davis Courthouse,Mental Health Diversion,3rd Floor,7755 Hurontario Street,Brampton ON  L6W 4T6,(905) 456-4700
Toronto South Detention Centre,Toronto South Detention Centre,160 Homer Avenue,Toronto ON  M8Z 4X8
600 - 3250 Bloor Street West,600 - 3250 Bloor Street West,Toronto ON  M8X 2X9,(647) 775-1650</t>
  </si>
  <si>
    <t>62816</t>
  </si>
  <si>
    <t xml:space="preserve">Active Member as of 28 Jun 1990 </t>
  </si>
  <si>
    <t xml:space="preserve">Independent Practice as of 28 Jun 1990 </t>
  </si>
  <si>
    <t>715-A Arlington Park Place,Kingston ON  K7M 7E4</t>
  </si>
  <si>
    <t>Queen's University, 01 Jul 1995  to 30 Jun 1996|Resident 1 - Psychiatry
Queen's University, 01 Jul 1996  to 30 Jun 1997|PostGrad Yr 3 - Psychiatry
Queen's University, 01 Jul 1997  to 30 Jun 1998|PostGrad Yr 4 - Psychiatry
Queen's University, 01 Jul 1998  to 30 Jun 1999|PostGrad Yr 5 - Psychiatry</t>
  </si>
  <si>
    <t>First certificate of registration issued: Independent Practice Certificate||Effective:   28 Jun 1990</t>
  </si>
  <si>
    <t>31024</t>
  </si>
  <si>
    <t xml:space="preserve">Active Member as of 28 Jun 1978 </t>
  </si>
  <si>
    <t xml:space="preserve">Independent Practice as of 31 Jul 1979 </t>
  </si>
  <si>
    <t>Grand River Hospital,Freeport Site,3570 King St E,PO Box 9056,Kitchener ON  N2A 2W1</t>
  </si>
  <si>
    <t>(519) 749-4300</t>
  </si>
  <si>
    <t>The Medical Centre,Unit 308A,430 The Boardwalk,Waterloo ON  N2T 0C1,Canada,Phone:519 744 1785,Fax:226 887 8687,County:Regional Municipality of Waterloo,Electoral District:03</t>
  </si>
  <si>
    <t>Grand River Hospital Corporation,Freeport Site:Kitchener
Grand River Hospital Corporation,Kitchener Waterloo Site:Kitchener
St Mary's General Hospital,Kitchener:Kitchener</t>
  </si>
  <si>
    <t>University of Ottawa, 01 Mar 1999  to 30 Jun 2000|Clinical Fellow - Psychiatry
University of Ottawa, 01 Jul 2000  to 31 Aug 2000|Clinical Fellow - Psychiatry</t>
  </si>
  <si>
    <t>First certificate of registration issued: Postgraduate Education Certificate||Effective:   28 Jun 1978
Transfer of class of registration to: Independent Practice Certificate||Effective:   31 Jul 1979</t>
  </si>
  <si>
    <t>Dr. Michael J. Kelly Medicine Professional Corporation</t>
  </si>
  <si>
    <t>Inactive: Nov 16 2016</t>
  </si>
  <si>
    <t>69963</t>
  </si>
  <si>
    <t>Children's Hospital of Eastern Ont,Suite 200,311 McArthur Avenue,Ottawa ON  K1L 8M3</t>
  </si>
  <si>
    <t>University of Ottawa, 01 Jul 1996  to 30 Jun 1997|PostGrad Yr 1 - Psychiatry
University of Ottawa, 01 Jul 1997  to 30 Jun 1998|PostGrad Yr 2 - Psychiatry
University of Ottawa, 01 Jul 1998  to 30 Jun 1999|PostGrad Yr 3 - Psychiatry
University of Ottawa, 01 Jul 1999  to 30 Jun 2000|PostGrad Yr 4 - Psychiatry
University of Ottawa, 01 Jul 2000  to 30 Jun 2001|PostGrad Yr 5 - Psychiatry
University of Toronto, 01 Jul 2001  to 30 Jun 2002|Clinical Fellow - Psychiatry</t>
  </si>
  <si>
    <t>80208</t>
  </si>
  <si>
    <t xml:space="preserve">Active Member as of 27 Jun 2005 </t>
  </si>
  <si>
    <t xml:space="preserve">Independent Practice as of 27 Jun 2005 </t>
  </si>
  <si>
    <t>Donetsk Medical Institute, 1978</t>
  </si>
  <si>
    <t>Ontario Shores Centre For Mental,Health Sciences,700 Gordon Street,Whitby ON  L1N 5S9</t>
  </si>
  <si>
    <t>(905) 430-4055 Ext. 6998</t>
  </si>
  <si>
    <t>(905) 430-4464</t>
  </si>
  <si>
    <t>Unit 101,1520 Steeles Avenue West,Vaughan ON  L4K 3B9,Canada,Phone:(905) 597-4457,Fax:(905)597-4458,County:Regional Municipality of York,Electoral District:05</t>
  </si>
  <si>
    <t>First certificate of registration issued: Restricted certificate||Effective:   18 Sep 2003
Terms and conditions imposed on certificate by Registration Committee||Effective:   18 Sep 2003
Expiry date attached to certificate of registration.||Expiry Date: 17 Sep 2004
Terms and conditions amended by Registration Committee||Effective:   14 Oct 2004
Expired: Terms and conditions imposed on certificate by Registration Committee||Effective:   27 Jun 2005
Subsequent certificate of registration Issued: Independent Practice Certificate||Effective:   27 Jun 2005</t>
  </si>
  <si>
    <t>31052</t>
  </si>
  <si>
    <t xml:space="preserve">Independent Practice as of 09 Aug 1979 </t>
  </si>
  <si>
    <t>University of Ottawa, 1978</t>
  </si>
  <si>
    <t>Suite 301,117 Murray Street,Ottawa ON  K1N 5M5</t>
  </si>
  <si>
    <t>(613) 562-1972</t>
  </si>
  <si>
    <t>(613) 224-4466</t>
  </si>
  <si>
    <t>Neurology||Effective: 08 Dec 1982||RCPSC Specialist
Psychiatry||Effective: 17 Nov 1987||RCPSC Specialist</t>
  </si>
  <si>
    <t>First certificate of registration issued: Postgraduate Education Certificate||Effective:   01 Jul 1978
Transfer of class of registration to: Independent Practice Certificate||Effective:   09 Aug 1979</t>
  </si>
  <si>
    <t>20477</t>
  </si>
  <si>
    <t xml:space="preserve">Active Member as of 29 Jul 1966 </t>
  </si>
  <si>
    <t xml:space="preserve">Independent Practice as of 29 Jul 1966 </t>
  </si>
  <si>
    <t>Young, Michael Kwong-Kwing (used until: 27 Dec 1995 )</t>
  </si>
  <si>
    <t>Cantonese, English, Fukien</t>
  </si>
  <si>
    <t>Dalhousie University, 1965</t>
  </si>
  <si>
    <t>Suite 208,3570 Victoria Park Avenue,Toronto ON  M2H 3S2</t>
  </si>
  <si>
    <t>(416) 222-8836</t>
  </si>
  <si>
    <t>(416) 222-3330</t>
  </si>
  <si>
    <t>First certificate of registration issued: Independent Practice Certificate||Effective:   29 Jul 1966</t>
  </si>
  <si>
    <t>32650</t>
  </si>
  <si>
    <t xml:space="preserve">Active Member as of 06 Jul 1981 </t>
  </si>
  <si>
    <t xml:space="preserve">Independent Practice as of 06 Jul 1981 </t>
  </si>
  <si>
    <t>University of Birmingham, 1972</t>
  </si>
  <si>
    <t>Practice Address Not Available,118 3rd St A W,Owen Sound ON  N4K 3J7</t>
  </si>
  <si>
    <t>519 371 8680</t>
  </si>
  <si>
    <t>First certificate of registration issued: Independent Practice Certificate||Effective:   06 Jul 1981</t>
  </si>
  <si>
    <t>93878</t>
  </si>
  <si>
    <t>LHSC University Hospital,Department of Psychiatry,Room B3-107,339 Windermere Road,London ON  N6A 5A5</t>
  </si>
  <si>
    <t>LHSC Victorial Hospital,A2-630,800 Commissioners Road East,London, Ontario,London ON  N6C 6B5,Canada,Phone:519-685-8500,County:County of Middlesex,Electoral District:02
506-1755 Broadway W,Vancouver BC  V6J 4S5,Canada,Phone:778-379-3844,County:Electoral District</t>
  </si>
  <si>
    <t>London Health Sciences Centre Victoria Hospital:London
London Health Sciences Centre,University Site:London
St Joseph's Health Care,London - Parkwood Hospital:London</t>
  </si>
  <si>
    <t>The University of Western Ontario, 01 Jul 2010  to 30 Jun 2011|PostGrad Yr 1 - Psychiatry
The University of Western Ontario, 01 Jul 2011  to 30 Jun 2012|PostGrad Yr 2 - Psychiatry
The University of Western Ontario, 01 Jul 2012  to 30 Jun 2013|PostGrad Yr 3 - Psychiatry
The University of Western Ontario, 01 Jul 2013  to 30 Jun 2014|PostGrad Yr 4 - Psychiatry
The University of Western Ontario, 01 Jul 2014  to 30 Jun 2015|PostGrad Yr 5 - Psychiatry
The University of Western Ontario, 01 Jul 2015  to 30 Jun 2016|Clinical Fellow - Psychiatry
The University of Western Ontario, 01 Jul 2016  to 31 Oct 2016|Clinical Fellow - Psychiatry</t>
  </si>
  <si>
    <t>61340</t>
  </si>
  <si>
    <t xml:space="preserve">Active Member as of 29 Jan 2003 </t>
  </si>
  <si>
    <t xml:space="preserve">Independent Practice as of 29 Jan 2003 </t>
  </si>
  <si>
    <t>Units 104-101,10801 Starkey Road,Seminole FL  33777,United States</t>
  </si>
  <si>
    <t>(727) 224-8451</t>
  </si>
  <si>
    <t>(727) 541-4913</t>
  </si>
  <si>
    <t>USA - Alabama
USA - Alaska
USA - Arizona
USA - Arkansas
USA - California
USA - Colorado
USA - Connecticut
USA - Delaware
USA - District of Columbia
USA - Florida
USA - Georgia
USA - Hawaii
USA - Idaho
USA - Illinois
USA - Indiana
USA - Iowa
USA - Kansas
USA - Kentucky
USA - Maine
USA - Maryland
USA - Massachusetts
USA - Michigan
USA - Minnesota
USA - Mississippi
USA - Missouri
USA - Montana
USA - Nebraska
USA - Nevada
USA - New Hampshire
USA - New Jersey
USA - New Mexico
USA - New York
USA - North Carolina
USA - North Dakota
USA - Ohio
USA - Oklahoma
USA - Oregon
USA - Pennsylvania
USA - Rhode Island
USA - South Carolina
USA - South Dakota
USA - Tennessee
USA - Texas
USA - Utah
USA - Vermont
USA - Virginia
USA - Washington
USA - West Virginia
USA - Wisconsin
USA - Wyoming</t>
  </si>
  <si>
    <t>University of Toronto, 12 Jun 1989  to 11 Jun 1990|Other - Rotating Internship
University of Toronto, 01 Jul 1990  to 30 Jun 1991|Resident 1 - Psychiatry</t>
  </si>
  <si>
    <t>First certificate of registration issued: Postgraduate Education Certificate||Effective:   23 Jun 1989
Transfer of class of registration to: Independent Practice Certificate||Effective:   04 Sep 1990
Expired: Failure to Renew Membership||Expiry:      02 Aug 2002
Subsequent certificate of registration Issued: Independent Practice Certificate||Effective:   29 Jan 2003</t>
  </si>
  <si>
    <t>95437</t>
  </si>
  <si>
    <t>McGill University, 2011</t>
  </si>
  <si>
    <t>St Joseph's Health Centre,Outpatient Mental Health,Floor 5M,30 The Queensway,Toronto ON  M6R 1B5</t>
  </si>
  <si>
    <t>(416) 530-6000 Ext. 4759</t>
  </si>
  <si>
    <t>Michael Neszt Medicine Professional Corporation</t>
  </si>
  <si>
    <t>Issued Date:  Jul 21 2016</t>
  </si>
  <si>
    <t>Dr. M. Neszt (CPSO# 95437)</t>
  </si>
  <si>
    <t>St. Joseph's Health Centre,Outpatient Mental Health Clinic,5th Floor Morrow Wing,30 The Queensway,Toronto ON  M6R 1B5,(416) 530-6486
1700 Bloor Street West,1700 Bloor Street West,Toronto ON  M6P 4C3,(416) 604-0640
3446 Dundas Street West,3446 Dundas Street West,Toronto ON  M6S 2S1,(416) 604-0640
150 Berry Road,150 Berry Road,Toronto ON  M8Y 1W3,(416) 231-7070
185 Fifth Street,185 Fifth Street,Toronto ON  M8V 2Z5,(416) 252-6471</t>
  </si>
  <si>
    <t>51652</t>
  </si>
  <si>
    <t xml:space="preserve">Active Member as of 14 Jul 1978 </t>
  </si>
  <si>
    <t xml:space="preserve">Independent Practice as of 23 Mar 1983 </t>
  </si>
  <si>
    <t>University of Dublin, 1977</t>
  </si>
  <si>
    <t>1466 Bathurst Street,Suite 301A,Toronto ON  M5R 3S3</t>
  </si>
  <si>
    <t>(416) 785-2500 Ext. 2453</t>
  </si>
  <si>
    <t>Baycrest Hospital,4E44b,3560 Bathurst Street,Toronto ON  M6A 2E1,Canada,Phone:(416) 785-2500 Ext. 2453,Fax:416 7852450,County:City of Toronto,Electoral District:10</t>
  </si>
  <si>
    <t>First certificate of registration issued: Postgraduate Education Certificate||Effective:   14 Jul 1978
Transfer of class of registration to: Independent Practice Certificate||Effective:   23 Mar 1983</t>
  </si>
  <si>
    <t>M. O'Mahony Medicine Professional Corporation</t>
  </si>
  <si>
    <t>Dr. M. O'Mahony (CPSO# 51652)</t>
  </si>
  <si>
    <t>Suite 301A,1466 Bathurst Street,Toronto ON  M5R 3S3,(416) 785-2500</t>
  </si>
  <si>
    <t>54707</t>
  </si>
  <si>
    <t xml:space="preserve">Independent Practice as of 19 Sep 1989 </t>
  </si>
  <si>
    <t>University of the West Indies, 1981</t>
  </si>
  <si>
    <t>Providence Care Hospital,752 King Street West,P O Box 603,Kingston ON  K7L 4X3</t>
  </si>
  <si>
    <t>(613) 544-4900 Ext. 83011</t>
  </si>
  <si>
    <t>(613) 540-6113</t>
  </si>
  <si>
    <t>First certificate of registration issued: Postgraduate Education Certificate||Effective:   01 Jul 1984
Transfer of class of registration to: Hospital Practice Certificate||Effective:   30 Jun 1988
Transfer of class of registration to: Independent Practice Certificate||Effective:   19 Sep 1989</t>
  </si>
  <si>
    <t>30515</t>
  </si>
  <si>
    <t xml:space="preserve">Active Member as of 15 Jul 1984 </t>
  </si>
  <si>
    <t xml:space="preserve">Independent Practice as of 12 Dec 1978 </t>
  </si>
  <si>
    <t>604 - 208 BLOOR STREET WEST,TORONTO M5R 0A4,Toronto ON  M5R 2L4</t>
  </si>
  <si>
    <t>(416) 567-8141</t>
  </si>
  <si>
    <t>First certificate of registration issued: Postgraduate Education Certificate||Effective:   01 Jul 1974
Transfer of class of registration to: Hospital Practice Certificate||Effective:   01 Jul 1978
Transfer of class of registration to: Independent Practice Certificate||Effective:   12 Dec 1978</t>
  </si>
  <si>
    <t>77766</t>
  </si>
  <si>
    <t>University of Calgary, 2002</t>
  </si>
  <si>
    <t>North York General Hospital,4001 Leslie Street, 8 North AMHOP,Toronto, Ontario,Toronto ON  M2K 1E1</t>
  </si>
  <si>
    <t>(416) 756-6000 Ext. 4187</t>
  </si>
  <si>
    <t>Centre of Addiction &amp; Mental Health,- College Street Site:Toronto
North York General Hospital,General Division:Toronto</t>
  </si>
  <si>
    <t>University of Toronto, 01 Jul 2002  to 30 Jun 2003|PostGrad Yr 1 - Psychiatry
University of Toronto, 01 Jul 2003  to 30 Jun 2004|PostGrad Yr 2 - Psychiatry
University of Toronto, 01 Jul 2004  to 30 Jun 2005|PostGrad Yr 3 - Psychiatry
University of Toronto, 01 Jul 2005  to 30 Jun 2006|PostGrad Yr 4 - Psychiatry
University of Toronto, 01 Jul 2006  to 30 Jun 2007|PostGrad Yr 5 - Psychiatry
University of Toronto, 01 Jul 2007  to 30 Jun 2008|Clinical Fellow - Psychiatry
University of Toronto, 01 Jul 2008  to 30 Jun 2009|Clinical Fellow - Psychiatry
University of Toronto, 01 Jul 2009  to 30 Jun 2010|Clinical Fellow - Psychiatry
University of Toronto, 01 Jul 2011  to 30 Jun 2012|Clinical Fellow - Psychiatry
University of Toronto, 01 Jul 2012  to 30 Jun 2013|Clinical Fellow - Psychiatry
University of Toronto, 01 Jul 2013  to 30 Jun 2014|Clinical Fellow - Psychiatry
University of Toronto, 01 Jul 2014  to 30 Jun 2015|Clinical Fellow - Psychiatry</t>
  </si>
  <si>
    <t>Michael Tseng Medicine Professional Corporation</t>
  </si>
  <si>
    <t>Dr. M. Tseng (CPSO# 77766)</t>
  </si>
  <si>
    <t>North York General Hospital,8 North,4001 Leslie Street,Toronto ON  M2K 1E1,(416) 756-6000</t>
  </si>
  <si>
    <t>83084</t>
  </si>
  <si>
    <t>Baycrest Centre for Geriatric Care,Kimel Family Building 6th floor,3560 Bathurst Street,Toronto ON  M6A 2E1</t>
  </si>
  <si>
    <t>(416) 785-2500 Ext. 2521</t>
  </si>
  <si>
    <t>Suite 302,2788 Bathurst Street,Toronto ON  M6B 3A3,Canada,Phone:(416) 785-2500 Ext. 2521,Fax:(416) 850-5361,County:City of Toronto,Electoral District:10</t>
  </si>
  <si>
    <t>Psychiatry||Effective: 30 Jun 2010||RCPSC Specialist
Geriatric Psychiatry||Effective: 21 Sep 2015||RCPSC Specialist</t>
  </si>
  <si>
    <t>Dr. M.U. Wolf Medicine Professional Corporation</t>
  </si>
  <si>
    <t>Issued Date:  Nov 15 2010</t>
  </si>
  <si>
    <t>Dr. M. Wolf (CPSO# 83084)</t>
  </si>
  <si>
    <t>Suite 302,2788 Bathurst Street,Toronto ON  M6B 3A3,(416) 785-2500
Baycrest Centre for Geriatric Care,Baycrest Centre for Geriatric Care,Brain Health Complex  Room 4W02,3560 Bathurst Street,Toronto ON  M6A 2E1,(416) 785-2000</t>
  </si>
  <si>
    <t>100471</t>
  </si>
  <si>
    <t xml:space="preserve">Independent Practice as of 14 Sep 2018 </t>
  </si>
  <si>
    <t>St Joseph's Healthcare Hamilton,Department of Psychiatry,50 Charlton Ave E,Hamilton ON  L8N 4A6</t>
  </si>
  <si>
    <t>Psychiatry||Effective: 14 Sep 2018||RCPSC Specialist</t>
  </si>
  <si>
    <t>McMaster University, 01 Jul 2013  to 30 Jun 2014|PostGrad Yr 1 - Orthopedic Surgery
McMaster University, 01 Jul 2014  to 30 Jun 2015|PostGrad Yr 2 - Psychiatry
McMaster University, 01 Jul 2015  to 30 Jun 2016|PostGrad Yr 3 - Psychiatry
McMaster University, 01 Jul 2016  to 30 Jun 2017|PostGrad Yr 4 - Psychiatry
McMaster University, 01 Jul 2017  to 30 Jun 2018|PostGrad Yr 5 - Psychiatry
McMaster University, 01 Jul 2018  to 14 Sep 2018|PostGrad Yr 5 - Psychiatry</t>
  </si>
  <si>
    <t>First certificate of registration issued: Postgraduate Education Certificate||Effective:   01 Jul 2013
Transfer of class of registration to: Independent Practice Certificate||Effective:   14 Sep 2018</t>
  </si>
  <si>
    <t>71481</t>
  </si>
  <si>
    <t>Centre for Addiction and Mental,Health,250 College Street,Toronto ON  M5T 1R8</t>
  </si>
  <si>
    <t>88900</t>
  </si>
  <si>
    <t xml:space="preserve">Active Member as of 02 Oct 2014 </t>
  </si>
  <si>
    <t xml:space="preserve">Independent Practice as of 02 Oct 2014 </t>
  </si>
  <si>
    <t>St Michaels Hospital,Department Of Psychiatry,17th Floor,30 Bond Street,Toronto ON  M5B 1W8</t>
  </si>
  <si>
    <t>(416) 864-6060 Ext. 2694</t>
  </si>
  <si>
    <t>First certificate of registration issued: Postgraduate Education Certificate||Effective:   01 Jul 2008
Expired: Terms and conditions of certificate of registration||Expiry:      30 Jun 2013
Subsequent certificate of registration Issued: Independent Practice Certificate||Effective:   02 Oct 2014</t>
  </si>
  <si>
    <t>25360</t>
  </si>
  <si>
    <t xml:space="preserve">Active Member as of 27 Nov 1972 </t>
  </si>
  <si>
    <t xml:space="preserve">Restricted as of 17 Dec 2015 </t>
  </si>
  <si>
    <t>Charles Univ Prague Fac General Medicine, 1966</t>
  </si>
  <si>
    <t>127 Westmore Drive,Suite 103,Rexdale ON  M9V3Y6</t>
  </si>
  <si>
    <t>416-740-3822</t>
  </si>
  <si>
    <t>First certificate of registration issued: Independent Practice Certificate||Effective:   27 Nov 1972
Transfer of class of certificate to: Restricted certificate||Effective:   17 Dec 2015
Terms and conditions imposed on certificate by Inquiries, Complaints and Repo||Effective:   17 Dec 2015
Terms and conditions amended by member||Effective:   17 Jan 2016
Terms and conditions amended by Inquiries, Complaints and Repo||Effective:   16 May 2016
Terms and conditions amended by Inquiries, Complaints and Repo||Effective:   19 Jan 2017</t>
  </si>
  <si>
    <t>59509</t>
  </si>
  <si>
    <t xml:space="preserve">Independent Practice as of 29 Sep 1989 </t>
  </si>
  <si>
    <t>100 West 5th Street,Hamilton ON  L8N 3K7</t>
  </si>
  <si>
    <t>The University of Western Ontario, 15 Jun 1988  to 14 Jun 1989|Other - Rotating Internship
McMaster University, 01 Jul 1989  to 30 Jun 1990|Resident 1 - Psychiatry
McMaster University, 01 Jul 1990  to 30 Jun 1991|Resident 2 - Psychiatry
McMaster University, 01 Jul 1991  to 30 Jun 1992|Resident 3 - Psychiatry
McMaster University, 01 Jul 1992  to 30 Jun 1993|Resident 4 - Psychiatry</t>
  </si>
  <si>
    <t>First certificate of registration issued: Postgraduate Education Certificate||Effective:   15 Jun 1988
Transfer of class of registration to: Independent Practice Certificate||Effective:   29 Sep 1989</t>
  </si>
  <si>
    <t>Dr. Michal Siekierski Medicine Professional Corporation</t>
  </si>
  <si>
    <t>Issued Date:  Jul 10 2013</t>
  </si>
  <si>
    <t>Dr. M. Siekierski (CPSO# 59509)</t>
  </si>
  <si>
    <t>113674</t>
  </si>
  <si>
    <t>Academy of Medicine, Lodz, 2012</t>
  </si>
  <si>
    <t>5198241010</t>
  </si>
  <si>
    <t>5197673543</t>
  </si>
  <si>
    <t>First certificate of registration issued: Independent Practice Certificate||Effective:   04 Aug 2017</t>
  </si>
  <si>
    <t>25683</t>
  </si>
  <si>
    <t xml:space="preserve">Independent Practice as of 14 Dec 2007 </t>
  </si>
  <si>
    <t>The University of Western Ontario, 1972</t>
  </si>
  <si>
    <t>(705) 549-3181 Ext. 2137</t>
  </si>
  <si>
    <t>General Surgery||Effective: 15 Mar 1978||RCPSC Specialist
Psychiatry||Effective: 30 Jun 1996||RCPSC Specialist</t>
  </si>
  <si>
    <t>McMaster University, 01 Jul 1977  to 30 Jun 1978|Resident 1 - General Surgery
The University of Western Ontario, 01 Jul 1992  to 30 Jun 1993|Resident 1 - Psychiatry
The University of Western Ontario, 01 Jul 1993  to 30 Jun 1994|Resident 2 - Psychiatry
The University of Western Ontario, 01 Jul 1994  to 30 Jun 1995|Resident 3 - Psychiatry
The University of Western Ontario, 01 Jul 1995  to 30 Jun 1996|Resident 4 - Psychiatry</t>
  </si>
  <si>
    <t>First certificate of registration issued: Postgraduate Education Certificate||Effective:   14 Jun 1972
Transfer of class of registration to: Independent Practice Certificate||Effective:   20 Jun 1973
Transfer of class of certificate to: Restricted certificate||Effective:   08 Jun 1981
Transfer of class of registration to: Independent Practice Certificate||Effective:   14 Dec 2007</t>
  </si>
  <si>
    <t>75096</t>
  </si>
  <si>
    <t>66573</t>
  </si>
  <si>
    <t>Regional Mental Health Care,850 Highbury Avenue,London ON  N6A 4H1</t>
  </si>
  <si>
    <t>University of Ottawa, 01 Jul 1993  to 30 Jun 1994|PostGrad Yr 1 - Psychiatry
The University of Western Ontario, 01 Jul 1994  to 30 Jun 1995|PostGrad Yr 2 - Psychiatry
The University of Western Ontario, 01 Jul 1995  to 30 Jun 1996|Resident 2 - Psychiatry
The University of Western Ontario, 01 Jul 1996  to 30 Jun 1997|Resident 3 - Psychiatry
The University of Western Ontario, 01 Jul 1997  to 30 Jun 1998|Resident 4 - Psychiatry</t>
  </si>
  <si>
    <t>54523</t>
  </si>
  <si>
    <t>North Bay Regional Health Centre:North Bay
Ottawa Hospital,Civic Site:Ottawa
Ottawa Hospital,General Site:Ottawa
Royal Ottawa Health Care Group:Ottawa
Temiskaming Hospital:New Liskeard
Timmins and District Hospital:Timmins</t>
  </si>
  <si>
    <t>Psychiatry||Effective: 08 Jun 1988||RCPSC Specialist
Geriatric Psychiatry||Effective: 26 Sep 2013||RCPSC Specialist</t>
  </si>
  <si>
    <t>First certificate of registration issued: Postgraduate Education Certificate||Effective:   01 Jul 1984
Transfer of class of registration to: Independent Practice Certificate||Effective:   13 Aug 1987</t>
  </si>
  <si>
    <t>Michele M. Tremblay Medicine Professional Corporation</t>
  </si>
  <si>
    <t>Issued Date:  Sep 08 2006</t>
  </si>
  <si>
    <t>Dr. M. Tremblay (CPSO# 54523)</t>
  </si>
  <si>
    <t>70160</t>
  </si>
  <si>
    <t>Kingston Health Sciences Centre,Hotel Dieu,166 Brock St.,Kingston ON  K7L 5G2</t>
  </si>
  <si>
    <t>(613) 544-3400 Ext. 3326</t>
  </si>
  <si>
    <t>(613) 545-1364</t>
  </si>
  <si>
    <t>Queen's University, 01 Jul 1996  to 30 Jun 1997|PostGrad Yr 1 - Psychiatry
Queen's University, 01 Jul 1997  to 30 Jun 1998|PostGrad Yr 2 - Psychiatry
Queen's University, 01 Jul 1998  to 30 Jun 1999|PostGrad Yr 3 - Psychiatry
Queen's University, 01 Jul 1999  to 30 Jun 2000|PostGrad Yr 4 - Psychiatry
Queen's University, 01 Jul 2000  to 30 Jun 2001|PostGrad Yr 5 - Psychiatry</t>
  </si>
  <si>
    <t>Michele Boyd Medicine Professional Corporation</t>
  </si>
  <si>
    <t>Issued Date:  Oct 24 2011</t>
  </si>
  <si>
    <t>Dr. M. Boyd (CPSO# 70160)</t>
  </si>
  <si>
    <t>Hotel Dieu Hospital,Psychiatry Department,166 Brock Street,Kingston ON  K7L 5G2,(613) 544-3400</t>
  </si>
  <si>
    <t>95104</t>
  </si>
  <si>
    <t xml:space="preserve">Active Member as of 26 Apr 2017 </t>
  </si>
  <si>
    <t xml:space="preserve">Independent Practice as of 26 Apr 2017 </t>
  </si>
  <si>
    <t>Parkwood Hospital,Operational Stress Injury Clinic,550 Wellington Rd,London ON  N6C 0A7</t>
  </si>
  <si>
    <t>Psychiatry||Effective: 05 Mar 2017||RCPSC Specialist</t>
  </si>
  <si>
    <t>University of Toronto, 01 Jul 2011  to 30 Jun 2012|PostGrad Yr 1 - Psychiatry
University of Toronto, 01 Jul 2012  to 24 Jul 2012|PostGrad Yr 1 - Psychiatry
University of Toronto, 25 Jul 2012  to 30 Jun 2013|PostGrad Yr 2 - Psychiatry
University of Toronto, 01 Jul 2013  to 30 Jun 2014|PostGrad Yr 3 - Psychiatry
University of Toronto, 01 Jul 2014  to 30 Jun 2015|PostGrad Yr 4 - Psychiatry
University of Toronto, 01 Jul 2015  to 15 Nov 2015|PostGrad Yr 4 - Psychiatry
University of Toronto, 16 Nov 2015  to 30 Jun 2016|PostGrad Yr 5 - Psychiatry
University of Toronto, 01 Jul 2016  to 15 Nov 2016|PostGrad Yr 5 - Psychiatry
University of Toronto, 16 Nov 2016  to 05 Mar 2017|PostGrad Yr 5 - Psychiatry</t>
  </si>
  <si>
    <t>First certificate of registration issued: Postgraduate Education Certificate||Effective:   01 Jul 2011
Expired: Terms and conditions of certificate of registration||Expiry:      05 Mar 2017
Subsequent certificate of registration Issued: Independent Practice Certificate||Effective:   26 Apr 2017</t>
  </si>
  <si>
    <t>84304</t>
  </si>
  <si>
    <t xml:space="preserve">Active Member as of 04 Sep 2014 </t>
  </si>
  <si>
    <t xml:space="preserve">Independent Practice as of 04 Sep 2014 </t>
  </si>
  <si>
    <t>Suite 300,123 James Street North,Hamilton ON  L8R 2K8</t>
  </si>
  <si>
    <t>(905) 667-4872</t>
  </si>
  <si>
    <t>Mood Disorders Clinic,SJHH West 5th Campus,100 West 5th St,Hamilton, ON,Hamilton ON  L8N 3K7,Canada,Phone:(905) 388-2511,County:Regional Municipality of Hamilton-Wentworth,Electoral District:04
McMaster University Medical Centre,1200 Main St. W,Hamilton ON  L8N 3Z5,Canada,Phone:(905) 521-2100,County:Regional Municipality of Hamilton-Wentworth,Electoral District:04</t>
  </si>
  <si>
    <t>McMaster University, 01 Jul 2006  to 30 Jun 2007|PostGrad Yr 1 - Psychiatry
McMaster University, 01 Jul 2007  to 30 Jun 2008|PostGrad Yr 2 - Psychiatry
McMaster University, 01 Jul 2008  to 30 Jun 2009|PostGrad Yr 3 - Psychiatry
McMaster University, 01 Jul 2009  to 30 Jun 2010|PostGrad Yr 4 - Psychiatry
McMaster University, 01 Jul 2010  to 30 Jun 2011|PostGrad Yr 4 - Psychiatry
McMaster University, 01 Jul 2011  to 30 Jun 2012|PostGrad Yr 5 - Psychiatry
McMaster University, 01 Jul 2012  to 30 Jun 2013|Clinical Fellow - Psychiatry</t>
  </si>
  <si>
    <t>First certificate of registration issued: Postgraduate Education Certificate||Effective:   01 Jul 2006
Expired: Terms and conditions of certificate of registration||Expiry:      07 Dec 2012
Subsequent certificate of registration issued: Restricted certificate||Effective:   07 Dec 2012
Terms and conditions amended by Registration Committee||Effective:   02 Dec 2013
Expired: Terms and conditions imposed on certificate by Registration Committee||Effective:   16 Jan 2014
Subsequent certificate of registration Issued: Independent Practice Certificate||Effective:   04 Sep 2014</t>
  </si>
  <si>
    <t>Dr. DS Sehdev Medicine Professional Corporation</t>
  </si>
  <si>
    <t>Issued Date:  Feb 23 2012</t>
  </si>
  <si>
    <t>Dr. D. Sehdev (CPSO# 84538),Dr. M. Venantius (CPSO# 84304)</t>
  </si>
  <si>
    <t>Hamilton Health Sciences,Department of Emergency Medicine,237 Barton Street East,Hamilton ON  L8L 2X2,(905) 527-4322
699 Concession Street,699 Concession Street,Hamilton ON  L8V 5C2,(905) 521-2100
Hamilton International Airport,Hamilton International Airport,Hangar 4,9300 Airport Road,Mount Hope ON  L0R 1W0,(289) 426-1133
Hamilton International Airport,Hamilton International Airport,Hangar 4,9300 Airport Road,Mount Hope ON  L0R 1W0,(289) 426-113</t>
  </si>
  <si>
    <t>Dr. M Venantius Medicine Professional Corporation</t>
  </si>
  <si>
    <t>Suite 300,123 James Street North,Hamilton ON  L8R 2K8,(905) 667-4848</t>
  </si>
  <si>
    <t>71240</t>
  </si>
  <si>
    <t xml:space="preserve">Active Member as of 05 Jul 2002 </t>
  </si>
  <si>
    <t xml:space="preserve">Independent Practice as of 05 Jul 2002 </t>
  </si>
  <si>
    <t>IMPACT,Suite 304-489 College street,Toronto ON  M6G 1A5</t>
  </si>
  <si>
    <t>(416) 603-5800 Ext. 8197</t>
  </si>
  <si>
    <t>(416) 925-0802</t>
  </si>
  <si>
    <t>First certificate of registration issued: Postgraduate Education Certificate||Effective:   01 Jul 1997
Expired: Terms and conditions of certificate of registration||Expiry:      30 Jun 2002
Subsequent certificate of registration Issued: Independent Practice Certificate||Effective:   05 Jul 2002</t>
  </si>
  <si>
    <t>Michelle Carlier Medicine Professional Corporation</t>
  </si>
  <si>
    <t>Dr. M. Carlier (CPSO# 71240)</t>
  </si>
  <si>
    <t>IMPACT,Suite 304-489 College Street,Toronto ON  M6G 1A5,(416) 925-3350
Toronto General Hospital,Toronto General Hospital,200 Elizabeth Street,Toronto ON  M5G 2C4,(416) 340-4800
Toronto Western Hospital,Toronto Western Hospital,399 Bathurst Street,Toronto ON  M5T 2S8,(416) 603-5800
Princess Margaret Hospital,Princess Margaret Hospital,610 University Avenue,Toronto ON  M5G 2M9,(416) 946-4501</t>
  </si>
  <si>
    <t>86553</t>
  </si>
  <si>
    <t>First Episode Mood,and Anxiety Program,London Health Sciences Centre,860 Richmond Street,London ON  N6A 3H8</t>
  </si>
  <si>
    <t>62418</t>
  </si>
  <si>
    <t xml:space="preserve">Independent Practice as of 24 Jul 1991 </t>
  </si>
  <si>
    <t>206-1436 Royal York Rd,Toronto ON  M9P 3A9</t>
  </si>
  <si>
    <t>(416) 746-0689</t>
  </si>
  <si>
    <t>(416) 746-8682</t>
  </si>
  <si>
    <t>First certificate of registration issued: Postgraduate Education Certificate||Effective:   11 Jun 1990
Transfer of class of registration to: Independent Practice Certificate||Effective:   24 Jul 1991</t>
  </si>
  <si>
    <t>117080</t>
  </si>
  <si>
    <t xml:space="preserve">Active Member as of 11 Oct 2018 </t>
  </si>
  <si>
    <t xml:space="preserve">Independent Practice as of 11 Oct 2018 </t>
  </si>
  <si>
    <t>First certificate of registration issued: Independent Practice Certificate||Effective:   11 Oct 2018</t>
  </si>
  <si>
    <t>86764</t>
  </si>
  <si>
    <t>Royal Ottawa Health Care Group,Division of Forensic Psychiatry,1145 Carling Avenue,Ottawa ON  K1Z 7K4</t>
  </si>
  <si>
    <t>University of Ottawa, 01 Jul 2007  to 30 Jun 2008|PostGrad Yr 1 - Psychiatry
University of Ottawa, 01 Jul 2008  to 30 Jun 2009|PostGrad Yr 2 - Psychiatry
University of Ottawa, 01 Jul 2009  to 30 Jun 2010|PostGrad Yr 3 - Psychiatry
University of Ottawa, 01 Jul 2010  to 30 Jun 2011|PostGrad Yr 4 - Psychiatry
University of Ottawa, 01 Jul 2011  to 30 Jun 2012|PostGrad Yr 5 - Psychiatry
University of Ottawa, 01 Sep 2012  to 30 Jun 2013|PostGrad Yr 6 - Psychiatry
University of Ottawa, 01 Jul 2013  to 31 Aug 2013|PostGrad Yr 6 - Forensic Psychiatry</t>
  </si>
  <si>
    <t>MD Mathias Medicine Professional Corporation</t>
  </si>
  <si>
    <t>Issued Date:  Oct 19 2016</t>
  </si>
  <si>
    <t>Dr. M. Mathias (CPSO# 86764)</t>
  </si>
  <si>
    <t>Royal Ottawa Mental Health Centre,Division of Forensic Psychiatry,1145 Carling Avenue,Ottawa ON  K1Z 7K4,(613) 722-6521</t>
  </si>
  <si>
    <t>63832</t>
  </si>
  <si>
    <t xml:space="preserve">Independent Practice as of 25 Jun 1992 </t>
  </si>
  <si>
    <t>The Possibilities Clinic,#305 - 55 Eglinton Ave E.,Toronto ON  M4P 1G8</t>
  </si>
  <si>
    <t>Psychiatry||Effective: 30 Jun 1996||RCPSC Specialist
Child and Adolescent Psychiatry||Effective: 23 Sep 2014||RCPSC Specialist</t>
  </si>
  <si>
    <t>University of Toronto, 01 Jul 1995  to 30 Jun 1996|Resident 4 - Psychiatry
University of Toronto, 01 Jul 1996  to 30 Jun 1997|Clinical Fellow - Psychiatry</t>
  </si>
  <si>
    <t>First certificate of registration issued: Postgraduate Education Certificate||Effective:   17 Jun 1991
Transfer of class of registration to: Independent Practice Certificate||Effective:   25 Jun 1992</t>
  </si>
  <si>
    <t>66769</t>
  </si>
  <si>
    <t xml:space="preserve">Active Member as of 02 Oct 1998 </t>
  </si>
  <si>
    <t xml:space="preserve">Independent Practice as of 02 Oct 1998 </t>
  </si>
  <si>
    <t>(416) 530-6000 Ext. 3980</t>
  </si>
  <si>
    <t>Psychiatry||Effective: 30 Sep 1998||RCPSC Specialist
Child and Adolescent Psychiatry||Effective: 21 Sep 2015||RCPSC Specialist</t>
  </si>
  <si>
    <t>University of Toronto, 01 Jul 1993  to 30 Jun 1994|PostGrad Yr 1 - Psychiatry
University of Toronto, 01 Jul 1994  to 30 Jun 1995|Resident 1 - Psychiatry
University of Toronto, 01 Jul 1995  to 30 Jun 1996|Resident 2 - Psychiatry
University of Toronto, 01 Jul 1996  to 30 Jun 1997|Resident 3 - Psychiatry
University of Toronto, 01 Jul 1997  to 31 Dec 1997|Resident 4 - Psychiatry
University of Toronto, 01 Jan 1998  to 30 Jun 1998|Resident 4 - Psychiatry
University of Toronto, 01 Jul 1998  to 30 Sep 1998|Resident 4 - Psychiatry</t>
  </si>
  <si>
    <t>First certificate of registration issued: Postgraduate Education Certificate||Effective:   01 Jul 1993
Expired: Terms and conditions of certificate of registration||Expiry:      30 Sep 1998
Subsequent certificate of registration Issued: Independent Practice Certificate||Effective:   02 Oct 1998</t>
  </si>
  <si>
    <t>M. Marshall Medicine Professional Corporation</t>
  </si>
  <si>
    <t>Issued Date:  May 01 2017</t>
  </si>
  <si>
    <t>Dr. M. Marshall (CPSO# 66769)</t>
  </si>
  <si>
    <t>St Josephs Health Centre,Room 3L - 232,30 The Queensway,Toronto ON  M6R 1B5,(416) 530-6000</t>
  </si>
  <si>
    <t>33800</t>
  </si>
  <si>
    <t xml:space="preserve">Active Member as of 23 Oct 1980 </t>
  </si>
  <si>
    <t xml:space="preserve">Independent Practice as of 12 Nov 1982 </t>
  </si>
  <si>
    <t>L'vov Medical Institute, 1978</t>
  </si>
  <si>
    <t>165 Barton Street East,Hamilton ON  L8L 2W6</t>
  </si>
  <si>
    <t>9059212255</t>
  </si>
  <si>
    <t>8773638805</t>
  </si>
  <si>
    <t>First certificate of registration issued: Postgraduate Education Certificate||Effective:   23 Oct 1980
Transfer of class of registration to: Independent Practice Certificate||Effective:   12 Nov 1982</t>
  </si>
  <si>
    <t>Dr. Mikhail Epelbaum Medicine Professional Corporation</t>
  </si>
  <si>
    <t>Issued Date:  Jul 21 2009</t>
  </si>
  <si>
    <t>Dr. M. Epelbaum (CPSO# 33800)</t>
  </si>
  <si>
    <t>Hamilton Wentworth Detention Centre,165 Barton Street East,Hamilton ON  L8L 2W6,(905) 921-2255</t>
  </si>
  <si>
    <t>101795</t>
  </si>
  <si>
    <t>Academy of Medicine, Warsaw, 2013</t>
  </si>
  <si>
    <t>C A M H,Clarke Institute of Psychiatry,250 College St,Toronto ON  M5T 1R8</t>
  </si>
  <si>
    <t>The University of Western Ontario, 01 Jul 2013  to 21 Oct 2013|Assessment Verification Period - Psychiatry
The University of Western Ontario, 22 Oct 2013  to 30 Jun 2014|PostGrad Yr 1 - Psychiatry
The University of Western Ontario, 01 Jul 2014  to 30 Jun 2015|PostGrad Yr 2 - Psychiatry
University of Toronto, 01 Jul 2015  to 30 Jun 2016|PostGrad Yr 3 - Psychiatry
University of Toronto, 01 Jul 2016  to 30 Jun 2017|PostGrad Yr 4 - Psychiatry
University of Toronto, 01 Jul 2017  to 30 Jun 2018|PostGrad Yr 5 - Psychiatry</t>
  </si>
  <si>
    <t>First certificate of registration issued: Pre Entry Assessment Program Certificate||Effective:   12 Jul 2013
Transfer of class of registration to: Postgraduate Education Certificate||Effective:   22 Oct 2013
Transfer of class of registration to: Independent Practice Certificate||Effective:   30 Jun 2018</t>
  </si>
  <si>
    <t>96196</t>
  </si>
  <si>
    <t>Rogan, Milena (used until: 22 Jul 2015 )</t>
  </si>
  <si>
    <t>Medical University of the Americas, 2011</t>
  </si>
  <si>
    <t>Geriatric Psychiatry Community,Services Ottawa,75 Bruyere Street,Ottawa ON  K1N 5C7</t>
  </si>
  <si>
    <t>(613) 562-9777</t>
  </si>
  <si>
    <t>University of Ottawa, 01 Jul 2011  to 26 Sep 2011|Assessment Verification Period - Psychiatry
University of Ottawa, 27 Sep 2011  to 30 Jun 2012|PostGrad Yr 1 - Psychiatry
University of Ottawa, 01 Jul 2012  to 30 Jun 2013|PostGrad Yr 2 - Psychiatry
University of Ottawa, 01 Jul 2013  to 30 Jun 2014|PostGrad Yr 3 - Psychiatry
University of Ottawa, 01 Jul 2014  to 30 Jun 2015|PostGrad Yr 4 - Psychiatry
University of Ottawa, 01 Jul 2015  to 30 Jun 2016|PostGrad Yr 5 - Psychiatry
Queen's University, 01 Jul 2016  to 30 Jun 2017|PostGrad Yr 6 - Geriatric Psychiatry</t>
  </si>
  <si>
    <t>First certificate of registration issued: Pre Entry Assessment Program Certificate||Effective:   01 Jul 2011
Transfer of class of registration to: Postgraduate Education Certificate||Effective:   27 Sep 2011
Transfer of class of registration to: Independent Practice Certificate||Effective:   13 Jun 2017</t>
  </si>
  <si>
    <t>53909</t>
  </si>
  <si>
    <t>Queen's University, 1984</t>
  </si>
  <si>
    <t>Suite 1703,2 Carlton Street,Toronto ON  M5B 1J3</t>
  </si>
  <si>
    <t>(416) 593-0233</t>
  </si>
  <si>
    <t>82635</t>
  </si>
  <si>
    <t xml:space="preserve">Independent Practice as of 31 Dec 2010 </t>
  </si>
  <si>
    <t>262 Oxford St East Suite 104,London ON  N6A 1T8</t>
  </si>
  <si>
    <t>(519) 675-9624</t>
  </si>
  <si>
    <t>Psychiatry||Effective: 31 Dec 2010||RCPSC Specialist</t>
  </si>
  <si>
    <t>The University of Western Ontario, 01 Jul 2005  to 30 Jun 2006|PostGrad Yr 1 - Psychiatry
The University of Western Ontario, 01 Jul 2006  to 30 Jun 2007|PostGrad Yr 2 - Psychiatry
The University of Western Ontario, 01 Jul 2007  to 30 Jun 2008|PostGrad Yr 3 - Psychiatry
The University of Western Ontario, 01 Jul 2008  to 30 Mar 2009|PostGrad Yr 3 - Psychiatry
The University of Western Ontario, 31 Mar 2009  to 30 Jun 2009|PostGrad Yr 4 - Psychiatry
The University of Western Ontario, 01 Jul 2009  to 31 Mar 2010|PostGrad Yr 4 - Psychiatry
The University of Western Ontario, 01 Apr 2010  to 31 Dec 2010|PostGrad Yr 5 - Psychiatry</t>
  </si>
  <si>
    <t>First certificate of registration issued: Postgraduate Education Certificate||Effective:   01 Jul 2005
Transfer of class of registration to: Independent Practice Certificate||Effective:   31 Dec 2010</t>
  </si>
  <si>
    <t>Sean Ryan Medicine Professional Corporation</t>
  </si>
  <si>
    <t>Dr. M. Ryan (CPSO# 82635),Dr. S. Ryan (CPSO# 82670)</t>
  </si>
  <si>
    <t>South Huron Medical Centre,23 Huron Street West,Exeter ON  N0M 1S2,(519) 235-3343</t>
  </si>
  <si>
    <t>62697</t>
  </si>
  <si>
    <t>North York General Hosptial,4001 Leslie Street,805-J,Toronto ON  M2K 1E1</t>
  </si>
  <si>
    <t>(416) 756-6633</t>
  </si>
  <si>
    <t>(416) 756-6424</t>
  </si>
  <si>
    <t>University of Toronto, 11 Jun 1990  to 17 Jun 1991|Other - Internal Medicine
University of Toronto, 01 Aug 2003  to 30 Jun 2004|Clinical Fellow - Psychiatry
University of Toronto, 01 Jul 2004  to 11 Sep 2004|Clinical Fellow - Psychiatry</t>
  </si>
  <si>
    <t>First certificate of registration issued: Postgraduate Education Certificate||Effective:   11 Jun 1990
Expired: Terms and conditions of certificate of registration||Expiry:      17 Jun 1991
Subsequent certificate of registration Issued: Independent Practice Certificate||Effective:   09 Jul 1991
Expired: Resigned from membership.||Expiry:      01 Jun 1999
Subsequent certificate of registration Issued: Postgraduate Education Certificate||Effective:   04 Sep 2003
Expired: Terms and conditions of certificate of registration||Expiry:      23 Oct 2003
Subsequent certificate of registration issued: Restricted certificate||Effective:   23 Oct 2003
Terms and conditions amended by Registration Committee||Effective:   06 Oct 2004
Expired: Terms and conditions imposed on certificate by Registration Committee||Effective:   27 Jun 2005
Subsequent certificate of registration Issued: Independent Practice Certificate||Effective:   27 Jun 2005</t>
  </si>
  <si>
    <t>82353</t>
  </si>
  <si>
    <t xml:space="preserve">Active Member as of 23 Aug 2006 </t>
  </si>
  <si>
    <t xml:space="preserve">Independent Practice as of 23 Aug 2006 </t>
  </si>
  <si>
    <t>Croatian, English, Serbian</t>
  </si>
  <si>
    <t>University of Sarajevo, 1986</t>
  </si>
  <si>
    <t>The Shoniker Clinic,2877A Ellesmere Road,Toronto ON  M1E 4C1</t>
  </si>
  <si>
    <t>First certificate of registration issued: Restricted certificate||Effective:   29 Apr 2005
Terms and conditions imposed on certificate by Registration Committee||Effective:   29 Apr 2005
Expiry date attached to certificate of registration.||Expiry Date: 28 Apr 2008
Expired: Terms and conditions of certificate of registration||Expiry:      23 Aug 2006
Subsequent certificate of registration Issued: Independent Practice Certificate||Effective:   23 Aug 2006</t>
  </si>
  <si>
    <t>Dr. M. Vukovic Medicine Professional Corporation</t>
  </si>
  <si>
    <t>Dr. M. Vukovic (CPSO# 82353)</t>
  </si>
  <si>
    <t>The Shoniker Clinic,2877A Ellesmere Road,Toronto ON  M1E 4C1,(416) 281-7301</t>
  </si>
  <si>
    <t>70308</t>
  </si>
  <si>
    <t xml:space="preserve">Active Member as of 03 Mar 2015 </t>
  </si>
  <si>
    <t xml:space="preserve">Independent Practice as of 03 Mar 2015 </t>
  </si>
  <si>
    <t>Ste 2600,1125 University Drive,Ottawa ON  K1S 5B6</t>
  </si>
  <si>
    <t>First certificate of registration issued: Postgraduate Education Certificate||Effective:   01 Jul 1996
Expired: Terms and conditions of certificate of registration||Expiry:      30 Jun 2001
Subsequent certificate of registration Issued: Independent Practice Certificate||Effective:   13 Aug 2001
Expired: Resigned from membership.||Expiry:      30 Jun 2004
Subsequent certificate of registration Issued: Independent Practice Certificate||Effective:   03 Mar 2015</t>
  </si>
  <si>
    <t>73470</t>
  </si>
  <si>
    <t xml:space="preserve">Active Member as of 08 Jun 2005 </t>
  </si>
  <si>
    <t xml:space="preserve">Independent Practice as of 08 Jun 2005 </t>
  </si>
  <si>
    <t>University of Bombay, 1982</t>
  </si>
  <si>
    <t>87b Harbord Street,Toronto ON  M5S 1G4</t>
  </si>
  <si>
    <t>(647) 748-4111</t>
  </si>
  <si>
    <t>University of Toronto, 01 Jul 1999  to 30 Jun 2000|PostGrad Yr 1 - Psychiatry
University of Toronto, 01 Jul 2000  to 30 Jun 2001|PostGrad Yr 2 - Psychiatry
University of Toronto, 01 Jul 2001  to 30 Jun 2002|PostGrad Yr 3 - Psychiatry
University of Toronto, 01 Jul 2002  to 30 Jun 2003|PostGrad Yr 4 - Psychiatry
University of Toronto, 01 Jul 2003  to 30 Jun 2004|PostGrad Yr 5 - Psychiatry
University of Toronto, 01 Oct 2004  to 30 Jun 2005|Clinical Fellow - Psychiatry</t>
  </si>
  <si>
    <t>First certificate of registration issued: Postgraduate Education Certificate||Effective:   01 Jul 1999
Expired: Terms and conditions of certificate of registration||Expiry:      30 Jun 2004
Subsequent certificate of registration issued: Restricted certificate||Effective:   22 Oct 2004
Expired: Terms and conditions imposed on certificate by Registration Committee||Effective:   08 Jun 2005
Subsequent certificate of registration Issued: Independent Practice Certificate||Effective:   08 Jun 2005</t>
  </si>
  <si>
    <t>Minella DeSouza Medicine Professional Corporation</t>
  </si>
  <si>
    <t>Dr. M. DeSouza (CPSO# 73470)</t>
  </si>
  <si>
    <t>87B Harbord Street,Toronto ON  M5S 1G4,(647) 748-4111</t>
  </si>
  <si>
    <t>107913</t>
  </si>
  <si>
    <t xml:space="preserve">Active Member as of 28 Aug 2015 </t>
  </si>
  <si>
    <t xml:space="preserve">Independent Practice as of 28 Aug 2015 </t>
  </si>
  <si>
    <t>Zahedan University, 2005</t>
  </si>
  <si>
    <t>227 Victoria Street,Toronto ON  M5B 1T8</t>
  </si>
  <si>
    <t>(416) 363-3751 Ext. 2051</t>
  </si>
  <si>
    <t>Psychiatry||Effective: 30 Nov 2014||RCPSC Specialist
Child and Adolescent Psychiatry||Effective: 27 Sep 2016||RCPSC Specialist</t>
  </si>
  <si>
    <t>First certificate of registration issued: Independent Practice Certificate||Effective:   28 Aug 2015</t>
  </si>
  <si>
    <t>Minoo Mahmoudi Medicine Professional Corporation</t>
  </si>
  <si>
    <t>Issued Date:  Jul 05 2016</t>
  </si>
  <si>
    <t>Dr. M. Mahmoudi (CPSO# 107913)</t>
  </si>
  <si>
    <t>Youthdale Treatment Centre,227 Victoria Street,Toronto ON  M5B 1T8,(416) 363-3751</t>
  </si>
  <si>
    <t>95280</t>
  </si>
  <si>
    <t xml:space="preserve">Active Member as of 13 Feb 2014 </t>
  </si>
  <si>
    <t xml:space="preserve">Independent Practice as of 13 Feb 2014 </t>
  </si>
  <si>
    <t>R. N. T. Medical College, 2003</t>
  </si>
  <si>
    <t>Durham Community Clinic,Whitby Shores Plaza,Unit 116B,617 Victoria Street West,Whitby ON  L1N 0E4</t>
  </si>
  <si>
    <t>(905) 668-2975 Ext. 221</t>
  </si>
  <si>
    <t>International Sleep Clinic,West Parrysound Health Centre,6 Albert Street,Parry Sound ON  P2A 3A4,Canada,Phone:(705) 378-1162 Ext. 3306,County:Territorial District of Parry Sound,Electoral District:08
Peterborough Community Clinic,CMHAHKPR,415 Water St. N.,Peterborough ON  K9H 3L9,Canada,Phone:(705) 748-6687 Ext. 1034,Fax:(705) 748-5649,County:County of Peterborough,Electoral District:06
North Toronto  Sleep Clinic,,4040 Finch Avenue,Toronto ON  M1S 4V5,Canada,Phone:(416) 293-3233,Fax:(416) 293-0692,County:City of Toronto,Electoral District:10
611 Holly Ave,Suite 205,Milton ON  L9T 0K4,Canada,Phone:(905) 636-9772,County:Regional Municipality of Halton,Electoral District:04
Youthdale Child &amp; Adolescent SC,227 Victoria St,Toronto,Toronto ON  M5B 1T8,Canada,Phone:4167030505,Fax:4167030507,County:City of Toronto,Electoral District:10</t>
  </si>
  <si>
    <t>Alberta
British Columbia
India
United Kingdom</t>
  </si>
  <si>
    <t>Ontario Shores Centre for Mental Health Sciences:Whitby
West Parry Sound Health Centre:Parry Sound</t>
  </si>
  <si>
    <t>University of Toronto, 01 Jun 2011  to 31 Jul 2011|PEAP - Clinical Fellow - Psychiatry
University of Toronto, 01 Aug 2011  to 30 Jun 2012|Clinical Fellow - Psychiatry
University of Toronto, 01 Jul 2012  to 01 Mar 2013|Clinical Fellow - Psychiatry
University of Toronto, 01 Nov 2013  to 30 Jun 2014|Clinical Fellow - Psychiatry
University of Toronto, 01 Jul 2014  to 31 Oct 2014|Clinical Fellow - Psychiatry</t>
  </si>
  <si>
    <t>First certificate of registration issued: Pre Entry Assessment Program Certificate||Effective:   06 Jun 2011
Transfer of class of registration to: Postgraduate Education Certificate||Effective:   01 Aug 2011
Expired: Terms and conditions of certificate of registration||Expiry:      01 Mar 2013
Subsequent certificate of registration issued: Restricted certificate||Effective:   01 Nov 2013
Expired: Terms and conditions imposed on certificate by Registration Committee||Effective:   13 Feb 2014
Subsequent certificate of registration Issued: Independent Practice Certificate||Effective:   13 Feb 2014</t>
  </si>
  <si>
    <t>90168</t>
  </si>
  <si>
    <t xml:space="preserve">Active Member as of 08 Jan 2009 </t>
  </si>
  <si>
    <t xml:space="preserve">Independent Practice as of 08 Jan 2009 </t>
  </si>
  <si>
    <t>Punjab University, Pakistan, 1996</t>
  </si>
  <si>
    <t>25 FRONT AVENUE,Brockville ON  K6V 4J2</t>
  </si>
  <si>
    <t>(613) 342 2262 Ext. 5546</t>
  </si>
  <si>
    <t>613 345 4111</t>
  </si>
  <si>
    <t>United Kingdom
USA - Illinois</t>
  </si>
  <si>
    <t>Brockville General Hospital:Brockville
Quinte Healthcare,Belleville General Site:Belleville</t>
  </si>
  <si>
    <t>First certificate of registration issued: Independent Practice Certificate||Effective:   08 Jan 2009</t>
  </si>
  <si>
    <t>M. Mazhar Medicine Professional Corporation</t>
  </si>
  <si>
    <t>Issued Date:  Feb 09 2012</t>
  </si>
  <si>
    <t>Dr. M. Mazhar (CPSO# 90168)</t>
  </si>
  <si>
    <t>Hotel Dieu Hospital,166 Brock Street,Kingston ON  K7L 5G2,(613) 544-3400
166 Division Street,166 Division Street,Kingston ON  K7L 3M6,(613) 544-0228
166 Division Street,166 Division Street,Kingston ON  K7L 3M6,(613) 544-022</t>
  </si>
  <si>
    <t>Khalid Saeed Medicine Professional Corporation</t>
  </si>
  <si>
    <t>Inactive: May 27 2016</t>
  </si>
  <si>
    <t>78734</t>
  </si>
  <si>
    <t xml:space="preserve">Active Member as of 16 Mar 2011 </t>
  </si>
  <si>
    <t xml:space="preserve">Independent Practice as of 16 Mar 2011 </t>
  </si>
  <si>
    <t>English, French, Hungarian, Romanian</t>
  </si>
  <si>
    <t>University of Medicine and Pharmacy, 1983</t>
  </si>
  <si>
    <t>4-737 Belmont Avenue West,Kitchener,Ontario,Kitchener ON  N2M 1P3</t>
  </si>
  <si>
    <t>(519) 954-2201</t>
  </si>
  <si>
    <t>(519) 954-2202</t>
  </si>
  <si>
    <t>The University of Western Ontario, 30 Dec 2002  to 30 Jun 2003|International Specialist Physician - Psychiatry
The University of Western Ontario, 01 Jul 2003  to 30 Jun 2004|PostGrad Yr 4 - Psychiatry
The University of Western Ontario, 01 Jul 2004  to 30 Jun 2005|PostGrad Yr 5 - Psychiatry</t>
  </si>
  <si>
    <t>First certificate of registration issued: Postgraduate Education Certificate||Effective:   30 Dec 2002
Expired: Terms and conditions of certificate of registration||Expiry:      30 Jun 2005
Subsequent certificate of registration issued: Restricted certificate||Effective:   03 Aug 2005
Terms and conditions amended by Registration Committee||Effective:   06 Aug 2010
Expired: Terms and conditions imposed on certificate by Registration Committee||Effective:   16 Mar 2011
Subsequent certificate of registration Issued: Independent Practice Certificate||Effective:   16 Mar 2011</t>
  </si>
  <si>
    <t>Dr. Mirela Bucur Medicine Professional Corporation</t>
  </si>
  <si>
    <t>Issued Date:  Oct 17 2006</t>
  </si>
  <si>
    <t>Dr. M. Bucur (CPSO# 78734)</t>
  </si>
  <si>
    <t>4 - 737 Belmont Avenue West,Kitchener ON  N2M 1P3,(519) 954-2201</t>
  </si>
  <si>
    <t>41935</t>
  </si>
  <si>
    <t xml:space="preserve">Active Member as of 15 Sep 1971 </t>
  </si>
  <si>
    <t xml:space="preserve">Independent Practice as of 30 Jul 1992 </t>
  </si>
  <si>
    <t>The Johns Hopkins University, 1968</t>
  </si>
  <si>
    <t>St Joseph's Healthcare,Department Of Psychiatry,50 Charlton Avenue East,Hamilton ON  L8N 4A6</t>
  </si>
  <si>
    <t>(905) 522-4941 Ext. 33535</t>
  </si>
  <si>
    <t>USA - Maryland
USA - New York</t>
  </si>
  <si>
    <t>First certificate of registration issued: Postgraduate Education Certificate||Effective:   15 Sep 1971
Transfer of class of registration to: Academic Practice Certificate||Effective:   06 Jul 1973
Transfer of class of registration to: Independent Practice Certificate||Effective:   30 Jul 1992</t>
  </si>
  <si>
    <t>50327</t>
  </si>
  <si>
    <t xml:space="preserve">Active Member as of 06 Jul 1978 </t>
  </si>
  <si>
    <t xml:space="preserve">Independent Practice as of 07 Feb 1994 </t>
  </si>
  <si>
    <t>47 Bain Avenue,Toronto ON  M4K 1E5</t>
  </si>
  <si>
    <t>647 760 6663</t>
  </si>
  <si>
    <t>5 Floor,80 Workman's Way,Toronto ON  M5T 1R8,Canada,Phone:416 535 8501 Ext. 36545,County:City of Toronto,Electoral District:10</t>
  </si>
  <si>
    <t>First certificate of registration issued: Postgraduate Education Certificate||Effective:   06 Jul 1978
Transfer of class of registration to: Hospital Practice Certificate||Effective:   07 Feb 1984
Transfer of class of registration to: Independent Practice Certificate||Effective:   07 Feb 1994</t>
  </si>
  <si>
    <t>66000</t>
  </si>
  <si>
    <t xml:space="preserve">Active Member as of 23 Jun 2007 </t>
  </si>
  <si>
    <t xml:space="preserve">Restricted as of 23 Jun 2007 </t>
  </si>
  <si>
    <t>University of Connecticut, 1985</t>
  </si>
  <si>
    <t>Univ. of Toronto Scarborough,Health &amp; Wellness Centre,Student Centre, Room SL270,1265 Military Trail,Toronto ON  M1C 1A4</t>
  </si>
  <si>
    <t>(416) 287-7069</t>
  </si>
  <si>
    <t>Psychiatry||Effective: 23 Jun 2007||CPSO Recognized Specialist</t>
  </si>
  <si>
    <t>University of Toronto, 01 Jul 1992  to 30 Jun 1993|Clinical Fellow - Psychiatry
University of Toronto, 01 Jul 1993  to 30 Jun 1994|Clinical Fellow - Psychiatry</t>
  </si>
  <si>
    <t>First certificate of registration issued: Postgraduate Education Certificate||Effective:   16 Sep 1992
Expired: Terms and conditions of certificate of registration||Expiry:      30 Jun 1993
Subsequent certificate of registration issued: Restricted certificate||Effective:   23 Jun 2007</t>
  </si>
  <si>
    <t>58122</t>
  </si>
  <si>
    <t>University of Belgrade, 1980</t>
  </si>
  <si>
    <t>Suite 480,700 Lawrence Avenue West,Toronto ON  M6A 3B4</t>
  </si>
  <si>
    <t>(416) 789-7957 Ext. 3211</t>
  </si>
  <si>
    <t>(416) 789-9079</t>
  </si>
  <si>
    <t>Suite 250-A,1560 Yonge street,Toronto ON  M4T 2S9,Canada,Phone:(416) 854-9909,Fax:(416) 481-6514,County:City of Toronto,Electoral District:10
1235 Willson ave,5th floor,Toronto ON  M3M 0B2,Canada,Phone:416242 1000 Ext. 43171,County:City of Toronto,Electoral District:10</t>
  </si>
  <si>
    <t>First certificate of registration issued: Postgraduate Education Certificate||Effective:   01 Jul 1987
Transfer of class of registration to: Independent Practice Certificate||Effective:   23 Jul 1991</t>
  </si>
  <si>
    <t>M. Besir Medicine Professional Corporation</t>
  </si>
  <si>
    <t>Dr. M. Besir (CPSO# 58122)</t>
  </si>
  <si>
    <t>Suite 480,700 Lawrence Avenue West,Toronto ON  M6A 3B4,(416) 789-7957
Suite 250-A,Suite 250-A,1560 Yonge Street,Toronto ON  M4T 2S9,(416) 854-9909</t>
  </si>
  <si>
    <t>99623</t>
  </si>
  <si>
    <t xml:space="preserve">Active Member as of 15 Jan 2013 </t>
  </si>
  <si>
    <t xml:space="preserve">Independent Practice as of 24 Jul 2014 </t>
  </si>
  <si>
    <t>English, Romanian, Russian</t>
  </si>
  <si>
    <t>N.Testemitanu State Medical and Pharma, 1991</t>
  </si>
  <si>
    <t>70 Colony Farm Road,Forensic Psychiatric Hospital,Coquitlam BC  V3C 5X9</t>
  </si>
  <si>
    <t>(604) 524-7700</t>
  </si>
  <si>
    <t>McMaster University, 26 Nov 2012  to 31 Dec 2012|Elective Trainee - Psychiatry
McMaster University, 15 Jan 2013  to 30 Jun 2013|Clinical Fellow - Psychiatry
McMaster University, 01 Jul 2013  to 30 Jun 2014|Clinical Fellow - Psychiatry
McMaster University, 01 Jul 2014  to 31 Aug 2014|Clinical Fellow - Psychiatry</t>
  </si>
  <si>
    <t>First certificate of registration issued: Postgraduate Education Certificate||Effective:   26 Nov 2012
Expired: Terms and conditions of certificate of registration||Expiry:      31 Dec 2012
Subsequent certificate of registration Issued: Postgraduate Education Certificate||Effective:   15 Jan 2013
Transfer of class of registration to: Independent Practice Certificate||Effective:   24 Jul 2014</t>
  </si>
  <si>
    <t>97779</t>
  </si>
  <si>
    <t>University of Alberta, 2012</t>
  </si>
  <si>
    <t>Ontario Shores Centre for,Mental Health Sciences,700 Gordon St,Whitby ON  L1N 9X4</t>
  </si>
  <si>
    <t>98744</t>
  </si>
  <si>
    <t xml:space="preserve">Independent Practice as of 24 Jan 2013 </t>
  </si>
  <si>
    <t>University of Alberta, 2007</t>
  </si>
  <si>
    <t>C A M H,1001 Queen Street West,Toronto ON  M6J 1H4</t>
  </si>
  <si>
    <t>Psychiatry||Effective: 30 Jun 2012||RCPSC Specialist
Child and Adolescent Psychiatry||Effective: 27 Sep 2016||RCPSC Specialist</t>
  </si>
  <si>
    <t>University of Toronto, 01 Jul 2012  to 30 Jun 2013|PostGrad Yr 6 - Psychiatry</t>
  </si>
  <si>
    <t>First certificate of registration issued: Postgraduate Education Certificate||Effective:   01 Jul 2012
Transfer of class of registration to: Independent Practice Certificate||Effective:   24 Jan 2013</t>
  </si>
  <si>
    <t>Dr. Mitesh Patel Medicine Professional Corporation</t>
  </si>
  <si>
    <t>Issued Date:  Jul 24 2013</t>
  </si>
  <si>
    <t>Dr. M. Patel (CPSO# 98744)</t>
  </si>
  <si>
    <t>C A M H,1001 Queen Street West,Units 3 - 4,Toronto ON  M6J 1H4,(416) 535-8501</t>
  </si>
  <si>
    <t>94101</t>
  </si>
  <si>
    <t>University of Tehran, 2001</t>
  </si>
  <si>
    <t>(905) 813-1550</t>
  </si>
  <si>
    <t>Queen's University, 01 Jul 2010  to 22 Sep 2010|Assessment Verification Period - Psychiatry
Queen's University, 23 Sep 2010  to 30 Jun 2011|PostGrad Yr 1 - Psychiatry
Queen's University, 01 Jul 2011  to 30 Jun 2012|PostGrad Yr 2 - Psychiatry
Queen's University, 01 Jul 2012  to 30 Jun 2013|PostGrad Yr 3 - Psychiatry
Queen's University, 01 Jul 2013  to 30 Jun 2014|PostGrad Yr 4 - Psychiatry
Queen's University, 01 Jul 2014  to 30 Jun 2015|PostGrad Yr 5 - Psychiatry</t>
  </si>
  <si>
    <t>Dr. M. Monir Abbasi Medicine Professional Corporation</t>
  </si>
  <si>
    <t>Issued Date:  Mar 24 2016</t>
  </si>
  <si>
    <t>Dr. M. Monir Abbasi (CPSO# 94101)</t>
  </si>
  <si>
    <t>Credit Valley Hospital,2200 Eglinton Avenue West,Mississauga ON  L5M 2N1,(905) 813-1550</t>
  </si>
  <si>
    <t>93505</t>
  </si>
  <si>
    <t xml:space="preserve">Active Member as of 30 Jun 2015 </t>
  </si>
  <si>
    <t>Elfakhani, Mohamad Said (used until: 25 Aug 2014 )</t>
  </si>
  <si>
    <t>American University of Beirut, 2006</t>
  </si>
  <si>
    <t>LHSC Victoria Hospital,Department of Psychiatry,North Tower Room B8-140,800 Commissioners Road East,London ON  N6A 5W9</t>
  </si>
  <si>
    <t>(519) 685-8500 Ext. 57131</t>
  </si>
  <si>
    <t>519-667-6564</t>
  </si>
  <si>
    <t>The University of Western Ontario, 01 Jul 2010  to 23 Sep 2010|Assessment Verification Period - Psychiatry
The University of Western Ontario, 24 Sep 2010  to 30 Jun 2011|PostGrad Yr 1 - Psychiatry
The University of Western Ontario, 01 Jul 2011  to 30 Jun 2012|PostGrad Yr 2 - Psychiatry
The University of Western Ontario, 01 Jul 2012  to 30 Jun 2013|PostGrad Yr 3 - Psychiatry
The University of Western Ontario, 01 Jul 2013  to 30 Jun 2014|PostGrad Yr 4 - Psychiatry
The University of Western Ontario, 01 Jul 2014  to 30 Jun 2015|PostGrad Yr 5 - Psychiatry</t>
  </si>
  <si>
    <t>First certificate of registration issued: Pre Entry Assessment Program Certificate||Effective:   01 Jul 2010
Transfer of class of registration to: Postgraduate Education Certificate||Effective:   24 Sep 2010
Expired: Terms and conditions of certificate of registration||Expiry:      21 Jan 2014
Subsequent certificate of registration issued: Restricted certificate||Effective:   21 Jan 2014
Terms and conditions amended by Registration Committee||Effective:   23 Jun 2014
Expired: Terms and conditions imposed on certificate by Registration Committee||Effective:   30 Jun 2015
Subsequent certificate of registration Issued: Independent Practice Certificate||Effective:   30 Jun 2015</t>
  </si>
  <si>
    <t>M. Elfakhani Medicine Professional Corporation</t>
  </si>
  <si>
    <t>Dr. M. Elfakhani (CPSO# 93505)</t>
  </si>
  <si>
    <t>LHSC Victoria Hospital,Department of Psychiatry,North Tower Room B8 114,800 Commissioners Road East,London ON  N6A 5W9,(519) 685-8500</t>
  </si>
  <si>
    <t>89169</t>
  </si>
  <si>
    <t xml:space="preserve">Active Member as of 15 Jul 2014 </t>
  </si>
  <si>
    <t xml:space="preserve">Independent Practice as of 15 Jul 2014 </t>
  </si>
  <si>
    <t>Nishtar Medical College, 2004</t>
  </si>
  <si>
    <t>Kingston General Hospital,Burr 4 Psychiatry,76 Stuart Street,Kingston ON  K7L 2V7</t>
  </si>
  <si>
    <t>(613) 549-6666</t>
  </si>
  <si>
    <t>Queen's University, 01 Jul 2008  to 22 Sep 2008|Assessment Verification Period - Psychiatry
Queen's University, 23 Sep 2008  to 30 Jun 2009|PostGrad Yr 1 - Psychiatry
Queen's University, 01 Jul 2009  to 30 Jun 2010|PostGrad Yr 2 - Psychiatry
Queen's University, 01 Jul 2010  to 30 Jun 2011|PostGrad Yr 3 - Psychiatry
Queen's University, 01 Jul 2011  to 30 Jun 2012|PostGrad Yr 4 - Psychiatry
Queen's University, 01 Jul 2012  to 30 Jun 2013|PostGrad Yr 5 - Psychiatry
Queen's University, 01 Jul 2013  to 30 Sep 2013|Clinical Fellow - Psychiatry</t>
  </si>
  <si>
    <t>First certificate of registration issued: Pre Entry Assessment Program Certificate||Effective:   01 Jul 2008
Transfer of class of registration to: Postgraduate Education Certificate||Effective:   23 Sep 2008
Expired: Terms and conditions of certificate of registration||Expiry:      30 Jun 2013
Subsequent certificate of registration issued: Restricted certificate||Effective:   24 Sep 2013
Expired: Terms and conditions imposed on certificate by Registration Committee||Effective:   15 Jul 2014
Subsequent certificate of registration Issued: Independent Practice Certificate||Effective:   15 Jul 2014</t>
  </si>
  <si>
    <t>53699</t>
  </si>
  <si>
    <t xml:space="preserve">Active Member as of 10 Jan 1984 </t>
  </si>
  <si>
    <t xml:space="preserve">Independent Practice as of 07 Apr 1994 </t>
  </si>
  <si>
    <t>University of Peshawar, 1974</t>
  </si>
  <si>
    <t>Creative Psychotherapy Clinic Inc,213 Byron Street South,Whitby ON  L1N 4P7</t>
  </si>
  <si>
    <t>(905) 666-7253</t>
  </si>
  <si>
    <t>(905) 666-4397</t>
  </si>
  <si>
    <t>First certificate of registration issued: Hospital Practice Certificate||Effective:   10 Jan 1984
Transfer of class of registration to: Independent Practice Certificate||Effective:   07 Apr 1994</t>
  </si>
  <si>
    <t>Dr. Sohail Medicine Professional Corporation</t>
  </si>
  <si>
    <t>Dr. M. Sohail (CPSO# 53699)</t>
  </si>
  <si>
    <t>Creative Psychotherapy Clinic Inc,213 Byron Street South,Suite2-084,Whitby ON  L1N 4P7,(905) 666-7253</t>
  </si>
  <si>
    <t>85375</t>
  </si>
  <si>
    <t xml:space="preserve">Active Member as of 21 May 2009 </t>
  </si>
  <si>
    <t xml:space="preserve">Independent Practice as of 21 May 2009 </t>
  </si>
  <si>
    <t>Punjab University, Pakistan, 1995</t>
  </si>
  <si>
    <t>11 Agnes Street,Kitchener ON  N2G 2E7</t>
  </si>
  <si>
    <t>(519) 954-8574</t>
  </si>
  <si>
    <t>(519) 954-8578</t>
  </si>
  <si>
    <t>First certificate of registration issued: Restricted certificate||Effective:   11 Jul 2006
Terms and conditions imposed on certificate by Registration Committee||Effective:   11 Jul 2006
Expiry date attached to certificate of registration.||Expiry Date: 10 Jul 2009
Expired: Terms and conditions imposed on certificate by Registration Committee||Effective:   21 May 2009
Subsequent certificate of registration Issued: Independent Practice Certificate||Effective:   21 May 2009</t>
  </si>
  <si>
    <t>M. Saleem Medicine Professional Corporation</t>
  </si>
  <si>
    <t>Issued Date:  Feb 26 2010</t>
  </si>
  <si>
    <t>Dr. M. Saleem (CPSO# 85375)</t>
  </si>
  <si>
    <t>11 Agnes Street,Kitchener ON  N2G 2E7,(519) 954-8574</t>
  </si>
  <si>
    <t>82361</t>
  </si>
  <si>
    <t>Kuwait University, 2003</t>
  </si>
  <si>
    <t>Toronto Western Hospital,Department of Psychiatry,9th Floor MP Room 325,399 Bathurst Street,Toronto ON  M5T 2S8</t>
  </si>
  <si>
    <t>(416) 603-5800 Ext. 6508</t>
  </si>
  <si>
    <t>University of Toronto, 16 May 2005  to 29 Jun 2005|PEAP - Clinical Fellow - Psychiatry
University of Toronto, 30 Jun 2005  to 30 Jun 2006|PostGrad Yr 1 - Psychiatry
University of Toronto, 01 Jul 2006  to 30 Jun 2007|PostGrad Yr 2 - Psychiatry
University of Toronto, 01 Jul 2007  to 30 Jun 2008|PostGrad Yr 3 - Psychiatry
University of Toronto, 01 Jul 2008  to 30 Jun 2009|PostGrad Yr 4 - Psychiatry
University of Toronto, 01 Jul 2009  to 30 Jun 2010|PostGrad Yr 5 - Psychiatry
University of Toronto, 01 Jul 2010  to 30 Jun 2011|Clinical Fellow - Psychiatry
University of Toronto, 01 Jul 2011  to 30 Jun 2012|Clinical Fellow - Psychiatry</t>
  </si>
  <si>
    <t>First certificate of registration issued: Pre Entry Assessment Program Certificate||Effective:   16 May 2005
Transfer of class of registration to: Postgraduate Education Certificate||Effective:   30 Jun 2005
Transfer of class of registration to: Independent Practice Certificate||Effective:   30 Jun 2010</t>
  </si>
  <si>
    <t>86623</t>
  </si>
  <si>
    <t xml:space="preserve">Active Member as of 13 May 2010 </t>
  </si>
  <si>
    <t xml:space="preserve">Independent Practice as of 13 May 2010 </t>
  </si>
  <si>
    <t>Tanta University, 1984</t>
  </si>
  <si>
    <t>2000 Credit Valley Road,,Suite 514,,Mississauga ON  L5M 4N4</t>
  </si>
  <si>
    <t>905-997-7107</t>
  </si>
  <si>
    <t>866-253-5553</t>
  </si>
  <si>
    <t>New Jane Medical Centre,,911 Jane Street,,Toronto ON  M6N 4C6,Canada,Phone:647-345-5855,Fax:647-345-5057,County:City of Toronto,Electoral District:10
Niagara Health System,,1200 Fourth Ave.,St Catharines ON  L2S 0A9,Canada,Phone:905-378-4647,County:Regional Municipality of Niagara,Electoral District:04</t>
  </si>
  <si>
    <t>Queen's University, 01 Jul 2007  to 22 Sep 2007|Assessment Verification Period - Psychiatry
Queen's University, 23 Sep 2007  to 30 Jun 2008|PostGrad Yr 2 - Psychiatry
Queen's University, 01 Jul 2008  to 30 Jun 2009|PostGrad Yr 3 - Psychiatry
Queen's University, 01 Jul 2009  to 30 Mar 2010|PostGrad Yr 5 - Psychiatry</t>
  </si>
  <si>
    <t>First certificate of registration issued: Pre Entry Assessment Program Certificate||Effective:   01 Jul 2007
Transfer of class of registration to: Postgraduate Education Certificate||Effective:   23 Sep 2007
Expired: Terms and conditions of certificate of registration||Expiry:      30 Mar 2010
Subsequent certificate of registration Issued: Independent Practice Certificate||Effective:   13 May 2010</t>
  </si>
  <si>
    <t>Mohammed El Saidi Medicine Professional Corporation</t>
  </si>
  <si>
    <t>Issued Date:  Oct 13 2010</t>
  </si>
  <si>
    <t>Dr. M. El Saidi (CPSO# 86623)</t>
  </si>
  <si>
    <t>911A Jane Street,Toronto ON  M6N 4C6,(647) 345-5855
1200 Fourth Avenue,1200 Fourth Avenue,St Catharines ON  L2S 0A9,(905) 378-4647</t>
  </si>
  <si>
    <t>79488</t>
  </si>
  <si>
    <t>St Josephs Healthcare,East Region Mental Health Services,2757 King Street East,Hamilton ON  L8G 5E4</t>
  </si>
  <si>
    <t>905 573 4801</t>
  </si>
  <si>
    <t>Niagara North Family Health Team,145 Carlton Street,St Catharines ON  L2R 1R5,Canada,Phone:(905) 988-9617 Ext. 226,Fax:(905) 988-0047,County:Regional Municipality of Niagara,Electoral District:04
Quest Comminity Health Centre,145 Queenston St,St Catharines ON  L2R 2Z7,Canada,Phone:(905) 688-2558,County:Regional Municipality of Niagara,Electoral District:04
Quest Comminity Health Centre,145 Queenston St,St Catharines ON  L2R 2Z7,Canada,Phone:(905) 688-2558,County:Regional Municipality of Niagara,Electoral District:04
Brock University Student Centre,Harrison Hall,500 Glenridge Avenue,St Catharines ON  L2S 3A1,Canada,Phone:(905) 547-3555,County:Regional Municipality of Niagara,Electoral District:04
Niagara Health System - SCS,Out Patient Mental Health and ECT,1200, 4th Ave,St Catharines ON  L2S 0A9,Canada,Phone:(905) 378-4647 Ext. 49463,Fax:(905) 704-4420,County:Regional Municipality of Niagara,Electoral District:04
Imaging Research Center,St Josephs Healthcare,Room F 127, Fontbonne Building,301 James Street South,Hamilton ON  L8P 3B6,Canada,County:Regional Municipality of Hamilton-Wentworth,Electoral District:04</t>
  </si>
  <si>
    <t>Hamilton Health Sciences Centre McMaster &amp; Childrens Hosp,McMaster &amp; Children's Hospital:Hamilton
Niagara Health System,St Catharines General Site:St Catharines
St Joseph's Healthcare System,Hamilton:Hamilton</t>
  </si>
  <si>
    <t>McMaster University, 01 Jul 2003  to 30 Jun 2004|PostGrad Yr 1 - Psychiatry
McMaster University, 01 Jul 2004  to 30 Jun 2005|PostGrad Yr 2 - Psychiatry
McMaster University, 01 Jul 2005  to 30 Jun 2006|PostGrad Yr 3 - Psychiatry
McMaster University, 01 Jul 2006  to 30 Jun 2007|PostGrad Yr 4 - Psychiatry
McMaster University, 01 Jul 2007  to 30 Jun 2008|PostGrad Yr 5 - Psychiatry
McMaster University, 01 Jul 2008  to 30 Jun 2009|Clinical Fellow - Clinician Investigator
McMaster University, 01 Jul 2009  to 30 Jun 2010|Clinical Fellow - Clinician Investigator
McMaster University, 01 Jul 2010  to 30 Jun 2011|PostGrad Yr 6 - Clinician Investigator
McMaster University, 01 Jul 2011  to 30 Jun 2012|Clinical Fellow - Clinician Investigator</t>
  </si>
  <si>
    <t>Dr. M. A. Warsi Medicine Professional Corporation</t>
  </si>
  <si>
    <t>Issued Date:  Jul 08 2008</t>
  </si>
  <si>
    <t>Dr. M. Warsi (CPSO# 79488)</t>
  </si>
  <si>
    <t>St. Joseph's Healthcare Hamilton,Room F127, Imaging Research Centre,301 James Street South,Hamilton ON  L8P 3B6,(905) 522-1155
Unit 2, 2nd Floor,Unit 2, 2nd Floor,3550 Schmon Parkway,Thorold ON  L2V 4T7,(905) 688-2854
145 Carlton Street,145 Carlton Street,St Catharines ON  L2R 1R5,(905) 988-9617
1200 4th Avenue,1200 4th Avenue,St Catharines ON  L2S 0A9,(905) 378-4647
2757 King Street East,2757 King Street East,Hamilton ON  L8G 5E4,(905) 573-4801</t>
  </si>
  <si>
    <t>92558</t>
  </si>
  <si>
    <t xml:space="preserve">Active Member as of 04 Mar 2010 </t>
  </si>
  <si>
    <t xml:space="preserve">Restricted as of 04 Mar 2010 </t>
  </si>
  <si>
    <t>University of Karachi, 1994</t>
  </si>
  <si>
    <t>Etobicoke General Hospital,Mental Health,5th Floor,101 Humber College Boulevard,Etobicoke ON  M9V 1R8</t>
  </si>
  <si>
    <t>(416) 747-3400 Ext. 33591</t>
  </si>
  <si>
    <t>Psychiatry||Effective: 04 Mar 2010||CPSO Recognized Specialist</t>
  </si>
  <si>
    <t>First certificate of registration issued: Restricted certificate||Effective:   04 Mar 2010
Terms and conditions imposed on certificate by Registration Committee||Effective:   04 Mar 2010
Expiry date attached to certificate of registration.||Expiry Date: 03 Sep 2011
Terms and conditions amended by Registration Committee||Effective:   11 Oct 2011
Expiry date removed from certificate of registration.||Effective:   11 Oct 2011</t>
  </si>
  <si>
    <t>Dr. Mohammed F. I. Hussain Medicine Professional Corporation</t>
  </si>
  <si>
    <t>Issued Date:  Jul 13 2010</t>
  </si>
  <si>
    <t>Dr. M. Hussain (CPSO# 92558)</t>
  </si>
  <si>
    <t>Etobicoke General Hospital,Mental Health, 5th Floor,101 Humber College Boulevard,Etobicoke ON  M9V 1R8,(416) 747-3591</t>
  </si>
  <si>
    <t>80201</t>
  </si>
  <si>
    <t xml:space="preserve">Active Member as of 18 Dec 2013 </t>
  </si>
  <si>
    <t xml:space="preserve">Independent Practice as of 18 Dec 2013 </t>
  </si>
  <si>
    <t>King Abdul Aziz University, 1997</t>
  </si>
  <si>
    <t>Psychiatry||Effective: 28 Jul 2010||RCPSC Specialist</t>
  </si>
  <si>
    <t>Queen's University, 01 Oct 2003  to 23 Dec 2003|PEAP - Resident - Psychiatry
Queen's University, 24 Dec 2003  to 23 Dec 2004|PostGrad Yr 1 - Psychiatry
Queen's University, 24 Dec 2004  to 31 Jan 2005|PostGrad Yr 1 - Psychiatry
Queen's University, 01 Feb 2005  to 31 Jan 2006|PostGrad Yr 2 - Psychiatry
Queen's University, 01 Feb 2006  to 31 Jan 2007|PostGrad Yr 3 - Psychiatry
Queen's University, 01 Feb 2007  to 31 Jan 2008|PostGrad Yr 4 - Psychiatry
Queen's University, 01 Feb 2008  to 30 Jun 2008|PostGrad Yr 5 - Psychiatry
Queen's University, 01 Jul 2008  to 28 Jul 2009|PostGrad Yr 4 - Psychiatry
Queen's University, 29 Jul 2009  to 28 Jul 2010|PostGrad Yr 5 - Psychiatry</t>
  </si>
  <si>
    <t>First certificate of registration issued: Pre Entry Assessment Program Certificate||Effective:   01 Oct 2003
Transfer of class of registration to: Postgraduate Education Certificate||Effective:   24 Dec 2003
Expired: Terms and conditions of certificate of registration||Expiry:      28 Jul 2010
Subsequent certificate of registration issued: Restricted certificate||Effective:   08 Mar 2011
Expired: Terms and conditions imposed on certificate by Registration Committee||Effective:   18 Dec 2013
Subsequent certificate of registration Issued: Independent Practice Certificate||Effective:   18 Dec 2013</t>
  </si>
  <si>
    <t>Mohammed Al Nakhli Medicine Professional Corporation</t>
  </si>
  <si>
    <t>Dr. M. Al-Nakhli (CPSO# 80201)</t>
  </si>
  <si>
    <t>99979</t>
  </si>
  <si>
    <t xml:space="preserve">Active Member as of 30 Sep 2016 </t>
  </si>
  <si>
    <t xml:space="preserve">Restricted as of 30 Sep 2016 </t>
  </si>
  <si>
    <t>Arabic, English, Hindi, Telugu, Urdu</t>
  </si>
  <si>
    <t>Dr. N.T.R University of Health Sciences, 1996</t>
  </si>
  <si>
    <t>2200 EGLINTON AVENUE WEST,Mississauga ON  L5M2N1</t>
  </si>
  <si>
    <t>9058132200</t>
  </si>
  <si>
    <t>Unit 2,90 RESOLUTION DRIVE,Brampton ON  L6W 0A7,Canada,Phone:(855) 8547325,County:Regional Municipality of Peel,Electoral District:05</t>
  </si>
  <si>
    <t>First certificate of registration issued: Restricted certificate||Effective:   19 Mar 2013
Terms and conditions imposed on certificate by Registration Committee||Effective:   19 Mar 2013
Expiry date attached to certificate of registration.||Expiry Date: 18 Mar 2016
Terms and conditions amended by Registration Committee||Effective:   02 Mar 2016
Expired: Terms and conditions imposed on certificate by Registration Committee||Effective:   30 Sep 2016
Subsequent certificate of registration issued: Restricted certificate||Effective:   30 Sep 2016</t>
  </si>
  <si>
    <t>Dr. Mohammed Sayeed Ahmed Medicine Professional Corporation</t>
  </si>
  <si>
    <t>Issued Date:  May 01 2013</t>
  </si>
  <si>
    <t>Dr. M. Ahmed (CPSO# 99979)</t>
  </si>
  <si>
    <t>2-90 Resolution Drive,Brampton ON  L6W 0A7,(416) 883-3877
2200 Eglinton Avenue West,2200 Eglinton Avenue West,Mississauga ON  L5M 2N1,(905) 813-2398</t>
  </si>
  <si>
    <t>60548</t>
  </si>
  <si>
    <t xml:space="preserve">Active Member as of 23 Aug 1989 </t>
  </si>
  <si>
    <t xml:space="preserve">Independent Practice as of 23 Aug 1989 </t>
  </si>
  <si>
    <t>North Halton Mental Health Clinic,217 Main Street East,Milton ON  L9T 1N9</t>
  </si>
  <si>
    <t>(905) 693-4240</t>
  </si>
  <si>
    <t>North Halton Mental Health Clinic,280 Guelph Street, Unit 75,Georgetown ON  L7G 4B1,Canada,Phone:(905) 693-4240,County:Regional Municipality of Halton,Electoral District:04</t>
  </si>
  <si>
    <t>University of Toronto, 30 Nov 1998  to 30 Jun 1999|PostGrad Yr 2 - Psychiatry
University of Toronto, 01 Jul 1999  to 30 Nov 1999|PostGrad Yr 2 - Psychiatry
University of Toronto, 01 Dec 1999  to 30 Jun 2000|PostGrad Yr 3 - Psychiatry
University of Toronto, 01 Jul 2000  to 30 Jun 2001|PostGrad Yr 2 - Psychiatry
University of Toronto, 01 Jul 2001  to 14 Sep 2001|PostGrad Yr 2 - Psychiatry
University of Toronto, 15 Sep 2001  to 30 Jun 2002|PostGrad Yr 3 - Psychiatry
University of Toronto, 01 Jul 2002  to 30 Sep 2002|PostGrad Yr 3 - Psychiatry
University of Toronto, 01 Oct 2002  to 30 Jun 2003|PostGrad Yr 3 - Psychiatry
University of Toronto, 01 Jul 2003  to 30 Jun 2004|PostGrad Yr 4 - Psychiatry
University of Toronto, 01 Jul 2004  to 30 Jun 2005|PostGrad Yr 5 - Psychiatry</t>
  </si>
  <si>
    <t>First certificate of registration issued: Postgraduate Education Certificate||Effective:   09 Mar 1989
Expired: Terms and conditions of certificate of registration||Expiry:      05 Apr 1989
Subsequent certificate of registration Issued: Independent Practice Certificate||Effective:   23 Aug 1989</t>
  </si>
  <si>
    <t>84843</t>
  </si>
  <si>
    <t>Islamic Azad University, 1997</t>
  </si>
  <si>
    <t>Mackenzie Health,York Central Hospital,10 Trench Street,Richmond Hill ON  L4C 4Z3</t>
  </si>
  <si>
    <t>(905) 883-1212</t>
  </si>
  <si>
    <t>University of Toronto, 01 Jul 2006  to 22 Sep 2006|Assessment Verification Period - Family Medicine
University of Toronto, 23 Sep 2006  to 30 Apr 2007|PostGrad Yr 1 - Family Medicine
University of Toronto, 01 May 2007  to 30 Jun 2007|PostGrad Yr 1 - Psychiatry
University of Toronto, 01 Jul 2007  to 30 Jun 2008|PostGrad Yr 2 - Psychiatry
University of Toronto, 01 Jul 2008  to 24 Apr 2009|PostGrad Yr 2 - Psychiatry
University of Toronto, 25 Apr 2009  to 24 Apr 2010|PostGrad Yr 3 - Psychiatry
University of Toronto, 25 Apr 2010  to 24 Apr 2011|PostGrad Yr 4 - Psychiatry
University of Toronto, 25 Apr 2011  to 30 Jun 2011|PostGrad Yr 5 - Psychiatry
University of Toronto, 01 Jul 2011  to 30 Jun 2012|PostGrad Yr 5 - Psychiatry</t>
  </si>
  <si>
    <t>First certificate of registration issued: Pre Entry Assessment Program Certificate||Effective:   01 Jul 2006
Transfer of class of registration to: Postgraduate Education Certificate||Effective:   23 Sep 2006
Transfer of class of registration to: Independent Practice Certificate||Effective:   30 Jun 2012</t>
  </si>
  <si>
    <t>Mottaghian Medicine Professional Corporation</t>
  </si>
  <si>
    <t>Issued Date:  Mar 11 2013</t>
  </si>
  <si>
    <t>Dr. M. Mottaghian (CPSO# 84843)</t>
  </si>
  <si>
    <t>Mackenzie Health,York Central Hospital,10 Trench Street,Richmond Hill ON  L4C 4Z3,(905) 883-1212</t>
  </si>
  <si>
    <t>56180</t>
  </si>
  <si>
    <t xml:space="preserve">Independent Practice as of 25 Aug 1987 </t>
  </si>
  <si>
    <t>University of Tehran, 1981</t>
  </si>
  <si>
    <t>North York General Hospital,Mental Health Clinic,4001 Leslie Street,Toronto ON  M2K 1E1</t>
  </si>
  <si>
    <t>North York General Hospital,Branson Division,555 Finch Avenue West,Toronto ON  M2R 1N5,Canada,County:City of Toronto,Electoral District:10</t>
  </si>
  <si>
    <t>First certificate of registration issued: Postgraduate Education Certificate||Effective:   05 Jul 1985
Expired: Terms and conditions of certificate of registration||Expiry:      16 Jun 1986
Subsequent certificate of registration Issued: Postgraduate Education Certificate||Effective:   01 Jul 1986
Transfer of class of registration to: Independent Practice Certificate||Effective:   25 Aug 1987</t>
  </si>
  <si>
    <t>A.Oshidari Medicine Professional Corporation</t>
  </si>
  <si>
    <t>Issued Date:  Jul 04 2007</t>
  </si>
  <si>
    <t>Dr. A. Oshidari (CPSO# 64671),Dr. M. Zare Parsi (CPSO# 56180)</t>
  </si>
  <si>
    <t>Lyndhurst Hospital,520 Sutherland Drive,Toronto ON  M4G 3V9,(905) 881-0264
Lyndhurst Hospital,520 Sutherland Drive,Toronto ON  M4G 3V9,(905) 881-026</t>
  </si>
  <si>
    <t>M. Zare Parsi Medicine Professional Corporation</t>
  </si>
  <si>
    <t>Issued Date:  Jul 27 2007</t>
  </si>
  <si>
    <t>Dr. M. Zare Parsi (CPSO# 56180)</t>
  </si>
  <si>
    <t>North York General Hospital,Mental Health Clinic,4001 Leslie Street,Willowdale ON  M2K 1E1,(905) 881-0264</t>
  </si>
  <si>
    <t>32416</t>
  </si>
  <si>
    <t xml:space="preserve">Active Member as of 10 Jun 1981 </t>
  </si>
  <si>
    <t xml:space="preserve">Independent Practice as of 10 Jun 1981 </t>
  </si>
  <si>
    <t>Mount Sinai Hospital,Department of Psychiatry,600 University Avenue, Room 918,Toronto ON  M5G 1X5</t>
  </si>
  <si>
    <t>(416) 586-4800 Ext. 4555</t>
  </si>
  <si>
    <t>250 College St,Toronto ON,Toronto ON  M5S 2S1,Canada,Phone:(416) 586-4800 Ext. 4555,Fax:(416) 586-8654,County:City of Toronto,Electoral District:10</t>
  </si>
  <si>
    <t>Baycrest Hospital:Toronto
Centre of Addiction &amp; Mental Health,- College Street Site:Toronto
Mount Sinai Hospital:Toronto
University Health Network,Toronto General Hospital Site:Toronto</t>
  </si>
  <si>
    <t>First certificate of registration issued: Postgraduate Education Certificate||Effective:   01 Jul 1978
Expired: Terms and conditions of certificate of registration||Expiry:      30 Jun 1980
Subsequent certificate of registration Issued: Independent Practice Certificate||Effective:   10 Jun 1981</t>
  </si>
  <si>
    <t>Dr. Molyn Leszcz Medicine Professional Corporation</t>
  </si>
  <si>
    <t>Issued Date:  Aug 22 2007</t>
  </si>
  <si>
    <t>Dr. M. Leszcz (CPSO# 32416)</t>
  </si>
  <si>
    <t>Mount Sinai Hospital,Department of Psychiatry,Room 918 - 600 University Avenue,Toronto ON  M5G 1X5,(416) 586-4800</t>
  </si>
  <si>
    <t>69026</t>
  </si>
  <si>
    <t xml:space="preserve">Active Member as of 06 Oct 2000 </t>
  </si>
  <si>
    <t xml:space="preserve">Independent Practice as of 06 Oct 2000 </t>
  </si>
  <si>
    <t>McGill University, 1995</t>
  </si>
  <si>
    <t>CHUM,1051 rue Sanguinet,Departement de Psychiatrie,Montreal QC  H2X 3E4</t>
  </si>
  <si>
    <t>(514) 890-8000 Ext. 10653</t>
  </si>
  <si>
    <t>University of Toronto, 01 Jul 1995  to 30 Jun 1996|PostGrad Yr 1 - Psychiatry
University of Toronto, 01 Jul 1996  to 30 Jun 1997|PostGrad Yr 2 - Psychiatry
University of Toronto, 01 Jul 1997  to 30 Jun 1998|PostGrad Yr 3 - Psychiatry
University of Toronto, 01 Jul 1998  to 30 Jun 1999|PostGrad Yr 4 - Psychiatry
University of Toronto, 01 Jul 1999  to 30 Jun 2000|PostGrad Yr 5 - Psychiatry
University of Toronto, 01 Jul 2000  to 30 Sep 2000|PostGrad Yr 5 - Psychiatry
University of Toronto, 01 Jan 2001  to 30 Jun 2001|Clinical Fellow - Psychiatry
University of Toronto, 01 Jul 2001  to 31 Dec 2001|Clinical Fellow - Psychiatry</t>
  </si>
  <si>
    <t>First certificate of registration issued: Postgraduate Education Certificate||Effective:   01 Jul 1995
Expired: Terms and conditions of certificate of registration||Expiry:      30 Sep 2000
Subsequent certificate of registration Issued: Independent Practice Certificate||Effective:   06 Oct 2000</t>
  </si>
  <si>
    <t>24295</t>
  </si>
  <si>
    <t xml:space="preserve">Active Member as of 04 Nov 1971 </t>
  </si>
  <si>
    <t xml:space="preserve">Independent Practice as of 04 Nov 1971 </t>
  </si>
  <si>
    <t>Ain Shams University, 1965</t>
  </si>
  <si>
    <t>220 Duncan Mill Road,Suite 418,M3B2N7,Don Mills ON  M3B 3J5</t>
  </si>
  <si>
    <t>(416) 447-8053</t>
  </si>
  <si>
    <t>4001 Leslie St,Toronto ON  M2K 1E1,Canada,Phone:(416) 756-6655,Fax:(416) 756-6424,County:City of Toronto,Electoral District:10</t>
  </si>
  <si>
    <t>First certificate of registration issued: Independent Practice Certificate||Effective:   04 Nov 1971</t>
  </si>
  <si>
    <t>Dr. Mona M. Girgis Medicine Professional Corporation</t>
  </si>
  <si>
    <t>Issued Date:  Oct 18 2010</t>
  </si>
  <si>
    <t>Dr. M. Girgis (CPSO# 24295)</t>
  </si>
  <si>
    <t>418 - 220 Duncan Mill Road,Toronto ON  M3B 3J5,(416) 447-8053
North York General Hospital,North York General Hospital,4001 Leslie Street,Suite 8North,Toronto ON  M2K 1E1,(416) 756-6655</t>
  </si>
  <si>
    <t>86940</t>
  </si>
  <si>
    <t xml:space="preserve">Active Member as of 27 Aug 2012 </t>
  </si>
  <si>
    <t xml:space="preserve">Independent Practice as of 27 Aug 2012 </t>
  </si>
  <si>
    <t>250 College St,Toronto ON  M5T 1R8</t>
  </si>
  <si>
    <t>(416) 535-8501 Ext. 34016</t>
  </si>
  <si>
    <t>1619 Queen St E,Toronto ON  M4L 1G4,Canada,Phone:417-778-5858,County:City of Toronto,Electoral District:10</t>
  </si>
  <si>
    <t>University of Toronto, 01 Jul 2007  to 30 Jun 2008|PostGrad Yr 1 - Family Medicine
University of Toronto, 01 Jul 2008  to 30 Jun 2009|PostGrad Yr 2 - Psychiatry
University of Toronto, 01 Jul 2009  to 30 Jun 2010|PostGrad Yr 3 - Psychiatry
University of Toronto, 01 Jul 2010  to 30 Jun 2011|PostGrad Yr 4 - Psychiatry
University of Toronto, 01 Jul 2011  to 30 Jun 2012|PostGrad Yr 5 - Psychiatry</t>
  </si>
  <si>
    <t>First certificate of registration issued: Postgraduate Education Certificate||Effective:   01 Jul 2007
Expired: Terms and conditions of certificate of registration||Expiry:      30 Jun 2012
Subsequent certificate of registration Issued: Independent Practice Certificate||Effective:   27 Aug 2012</t>
  </si>
  <si>
    <t>Dr. Monica A. Choi Medicine Professional Corporation</t>
  </si>
  <si>
    <t>Dr. M. Choi (CPSO# 86940)</t>
  </si>
  <si>
    <t>Suite 801,30 Eglinton Avenue West,Mississauga ON  L5R 3E7,(416) 535-8501
1619 Queen Street East,1619 Queen Street East,Toronto ON  M4L 1G4,(416) 778-5858
250 College Street,250 College Street,Toronto ON  M5T 1R8,(416) 535-8501</t>
  </si>
  <si>
    <t>94871</t>
  </si>
  <si>
    <t xml:space="preserve">Active Member as of 26 Oct 2016 </t>
  </si>
  <si>
    <t xml:space="preserve">Restricted as of 26 Oct 2016 </t>
  </si>
  <si>
    <t>University of Buenos Aires, 1977</t>
  </si>
  <si>
    <t>Suite 307,120 Eglinton Avenue East,Toronto ON  M4P 1E2</t>
  </si>
  <si>
    <t>647-343-4115</t>
  </si>
  <si>
    <t>647-346-5015</t>
  </si>
  <si>
    <t>University of Toronto, 01 Jan 2011  to 31 Dec 2011|Clinical Fellow - Psychiatry
University of Toronto, 01 Jan 2012  to 31 Aug 2012|Clinical Fellow - Psychiatry
University of Toronto, 01 Sep 2012  to 30 Jun 2013|Clinical Fellow - Psychiatry
University of Toronto, 01 Jul 2013  to 30 Jun 2014|Clinical Fellow - Psychiatry
University of Toronto, 01 Jul 2015  to 30 Jun 2016|Clinical Fellow - Psychiatry</t>
  </si>
  <si>
    <t>First certificate of registration issued: Postgraduate Education Certificate||Effective:   03 Mar 2011
Expired: Terms and conditions of certificate of registration||Expiry:      31 Dec 2011
Subsequent certificate of registration Issued: Postgraduate Education Certificate||Effective:   22 May 2012
Expired: Terms and conditions of certificate of registration||Expiry:      30 Jun 2014
Subsequent certificate of registration Issued: Postgraduate Education Certificate||Effective:   01 Jul 2015
Expired: Terms and conditions of certificate of registration||Expiry:      30 Jun 2016
Subsequent certificate of registration issued: Restricted certificate||Effective:   26 Oct 2016
Expiry as per terms and conditions imposed on certificate||Expiry Date: 25 Oct 2019</t>
  </si>
  <si>
    <t>51245</t>
  </si>
  <si>
    <t>Suite 500,2 Jane Street,Toronto ON  M6S 4W3</t>
  </si>
  <si>
    <t>(416) 934-0468</t>
  </si>
  <si>
    <t>647-352-9191</t>
  </si>
  <si>
    <t>Suite 419,2425 Bloor Street West,Toronto ON  M6S 4N4,Canada,Phone:(416) 934-0468,County:City of Toronto,Electoral District:10
Suite 419,2425 Bloor Street West,Toronto ON  M6S 4N4,Canada,Phone:(416) 934-0468,County:City of Toronto,Electoral District:10</t>
  </si>
  <si>
    <t>First certificate of registration issued: Postgraduate Education Certificate||Effective:   01 Jul 1982
Transfer of class of registration to: Independent Practice Certificate||Effective:   31 Dec 1985</t>
  </si>
  <si>
    <t>77623</t>
  </si>
  <si>
    <t>9th Floor,Room 461,New East Wing,399 Bathurst Street,Toronto ON  M5T 2S8</t>
  </si>
  <si>
    <t>(416) 603-5974</t>
  </si>
  <si>
    <t>(416) 603-5049</t>
  </si>
  <si>
    <t>Psychiatry||Effective: 01 Jul 2007||RCPSC Specialist</t>
  </si>
  <si>
    <t>University of Toronto, 01 Sep 2001  to 30 Jun 2002|Clinical Fellow - Psychiatry
University of Toronto, 01 Jul 2002  to 06 Apr 2003|Clinical Fellow - Psychiatry
University of Toronto, 07 Apr 2003  to 03 Oct 2003|International Specialist Physician - Psychiatry</t>
  </si>
  <si>
    <t>First certificate of registration issued: Postgraduate Education Certificate||Effective:   29 May 2002
Expired: Terms and conditions of certificate of registration||Expiry:      06 Apr 2003
Subsequent certificate of registration Issued: Postgraduate Education Certificate||Effective:   07 Apr 2003
Expired: Terms and conditions of certificate of registration||Expiry:      03 Oct 2003
Subsequent certificate of registration issued: Restricted certificate||Effective:   14 Jan 2004
Terms and conditions amended by Registration Committee||Effective:   06 Oct 2006
Terms and conditions amended by Registration Committee||Effective:   06 Oct 2006
Expired: Terms and conditions imposed on certificate by Registration Committee||Effective:   24 Mar 2008
Subsequent certificate of registration Issued: Independent Practice Certificate||Effective:   24 Mar 2008</t>
  </si>
  <si>
    <t>88775</t>
  </si>
  <si>
    <t xml:space="preserve">Active Member as of 18 May 2016 </t>
  </si>
  <si>
    <t xml:space="preserve">Independent Practice as of 18 May 2016 </t>
  </si>
  <si>
    <t>Bhattacharyya, Monidipa (used until: 29 May 2012 )</t>
  </si>
  <si>
    <t>Hospital for Sick Children,Department of Psychiatry,First Floor Burton Wing,555 University Avenue,Toronto ON  M5G 1X8</t>
  </si>
  <si>
    <t>Hospital For Sick Children:Toronto
Sunnybrook Health Sciences Centre:Toronto</t>
  </si>
  <si>
    <t>Psychiatry||Effective: 30 Jun 2014||RCPSC Specialist
Child and Adolescent Psychiatry||Effective: 29 Feb 2016||RCPSC Specialist</t>
  </si>
  <si>
    <t>University of Toronto, 01 Jul 2008  to 30 Jun 2009|PostGrad Yr 1 - Psychiatry
University of Toronto, 01 Jul 2009  to 30 Jun 2010|PostGrad Yr 2 - Psychiatry
University of Toronto, 01 Jul 2010  to 30 Jun 2011|PostGrad Yr 3 - Psychiatry
University of Toronto, 01 Jul 2011  to 30 Jun 2012|PostGrad Yr 4 - Psychiatry
University of Toronto, 01 Jul 2012  to 30 Jun 2013|PostGrad Yr 5 - Psychiatry
University of Toronto, 01 Jul 2013  to 30 Jun 2014|PostGrad Yr 5 - Paediatric Psychiatry
University of Toronto, 01 Jul 2014  to 30 Jun 2015|PostGrad Yr 6 - Paediatric Psychiatry
University of Toronto, 01 Jul 2015  to 29 Feb 2016|PostGrad Yr 6 - Paediatric Psychiatry</t>
  </si>
  <si>
    <t>First certificate of registration issued: Postgraduate Education Certificate||Effective:   01 Jul 2008
Expired: Terms and conditions of certificate of registration||Expiry:      29 Feb 2016
Subsequent certificate of registration Issued: Independent Practice Certificate||Effective:   18 May 2016</t>
  </si>
  <si>
    <t>Dr. M Ravi Medicine Professional Corporation</t>
  </si>
  <si>
    <t>Issued Date:  Jun 27 2016</t>
  </si>
  <si>
    <t>Dr. M. Ravi (CPSO# 88775)</t>
  </si>
  <si>
    <t>Hospital for Sick Children,Department of Psychiatry,First Floor Burton Wing,555 University Avenue,Toronto ON  M5G 1X8,(416) 813-7005</t>
  </si>
  <si>
    <t>55031</t>
  </si>
  <si>
    <t xml:space="preserve">Active Member as of 13 Dec 1984 </t>
  </si>
  <si>
    <t xml:space="preserve">Independent Practice as of 13 Dec 1984 </t>
  </si>
  <si>
    <t>City Univ N Y  Mount Sinai School of Med, 1980</t>
  </si>
  <si>
    <t>Suite 302,110 Eglinton Avenue West,Toronto ON  M4R 1A3</t>
  </si>
  <si>
    <t>(416) 482-3530</t>
  </si>
  <si>
    <t>(416) 487-4327</t>
  </si>
  <si>
    <t>Collingwood General and Marine Hospital:Collingwood
West Park Healthcare Centre:Toronto</t>
  </si>
  <si>
    <t>First certificate of registration issued: Independent Practice Certificate||Effective:   13 Dec 1984</t>
  </si>
  <si>
    <t>24285</t>
  </si>
  <si>
    <t xml:space="preserve">Active Member as of 29 Oct 1971 </t>
  </si>
  <si>
    <t xml:space="preserve">Independent Practice as of 29 Oct 1971 </t>
  </si>
  <si>
    <t>McGill University, 1963</t>
  </si>
  <si>
    <t>Suite 407,4800 Leslie Street,Toronto ON  M2J 2K9</t>
  </si>
  <si>
    <t>(416) 236-5650</t>
  </si>
  <si>
    <t>(416) 493-0170</t>
  </si>
  <si>
    <t>Baycrest Centre,3560 Bathurst Street,Toronto ON  M6A 2E1,Canada,Phone:(416) 785-2500 Ext. 2982,Fax:(416) 785-2492,County:City of Toronto,Electoral District:10</t>
  </si>
  <si>
    <t>First certificate of registration issued: Independent Practice Certificate||Effective:   29 Oct 1971</t>
  </si>
  <si>
    <t>64687</t>
  </si>
  <si>
    <t xml:space="preserve">Active Member as of 05 Nov 1991 </t>
  </si>
  <si>
    <t xml:space="preserve">Independent Practice as of 05 Nov 1991 </t>
  </si>
  <si>
    <t>Centre for Urban Health Solutions,102 Madison Avenue,Toronto,Ontario,Toronto ON  M5R 2S4</t>
  </si>
  <si>
    <t>(416)921-7068</t>
  </si>
  <si>
    <t>Psychiatry||Effective: 13 Dec 1991||RCPSC Specialist</t>
  </si>
  <si>
    <t>First certificate of registration issued: Independent Practice Certificate||Effective:   05 Nov 1991</t>
  </si>
  <si>
    <t>108701</t>
  </si>
  <si>
    <t xml:space="preserve">Active Member as of 19 Sep 2018 </t>
  </si>
  <si>
    <t xml:space="preserve">Independent Practice as of 19 Sep 2018 </t>
  </si>
  <si>
    <t>Madras Medical College, 1997</t>
  </si>
  <si>
    <t>The Royal Mental Health,Care and  Research,Department of Psychiatry,205A - 2121 Carling Ave,Ottawa ON  K2A 1H2</t>
  </si>
  <si>
    <t>First certificate of registration issued: Restricted certificate||Effective:   13 Apr 2016
Terms and conditions imposed on certificate by Registration Committee||Effective:   13 Apr 2016
Expiry date attached to certificate of registration.||Expiry Date: 08 Jan 2021
Expired: Terms and conditions imposed on certificate by Registration Committee||Effective:   19 Sep 2018
Subsequent certificate of registration Issued: Independent Practice Certificate||Effective:   19 Sep 2018</t>
  </si>
  <si>
    <t>Moshieve Febin Edwin Sona Jasmine Das Medicine Professional Corporation</t>
  </si>
  <si>
    <t>Issued Date:  Jan 27 2017</t>
  </si>
  <si>
    <t>Dr. M. Edwin (CPSO# 108701),Dr. S. Jasmine Das (CPSO# 111045)</t>
  </si>
  <si>
    <t>The Royal Mental Health Care &amp; Research,Community Mental Health Program,1145 Carling Avenue,Ottawa ON  K1Z 7K4,(613) 722-6521
Appletree Medical Centre,Appletree Medical Centre,2150 Robertson Road,Ottawa ON  K2H 9S1,(613) 482-0118
205A-2121 Carling Avenue,205A-2121 Carling Avenue,Ottawa ON  K2A 1H2,(613) 722-6521</t>
  </si>
  <si>
    <t>64418</t>
  </si>
  <si>
    <t xml:space="preserve">Active Member as of 08 Aug 1995 </t>
  </si>
  <si>
    <t xml:space="preserve">Independent Practice as of 08 Aug 1995 </t>
  </si>
  <si>
    <t>Shiraz University, 1981</t>
  </si>
  <si>
    <t>69 Highland Lane,Richmond Hill ON  L4C 3S1</t>
  </si>
  <si>
    <t>(905) 508-0583</t>
  </si>
  <si>
    <t>(905) 508-0143</t>
  </si>
  <si>
    <t>Suite 16,1415 Kennedy Road,Toronto ON  M1P 2L6,Canada,Phone:905-508-0583,Fax:905-508-0143,County:City of Toronto,Electoral District:10</t>
  </si>
  <si>
    <t>First certificate of registration issued: Postgraduate Education Certificate||Effective:   02 Aug 1991
Expired: Terms and conditions of certificate of registration||Expiry:      31 Jul 1995
Subsequent certificate of registration Issued: Independent Practice Certificate||Effective:   08 Aug 1995</t>
  </si>
  <si>
    <t>90712</t>
  </si>
  <si>
    <t>Tanta University, 1993</t>
  </si>
  <si>
    <t>25 Front Avenue W,Brockville ON  K6V 4J2</t>
  </si>
  <si>
    <t>(613) 342-2262 Ext. 5362</t>
  </si>
  <si>
    <t>(613) 342-2435</t>
  </si>
  <si>
    <t>75 Charles St,Brockville General Hospital,Brockville ON  K6V 1S8,Canada,Phone:(613) 345-5645,County:County of Leeds and Grenville,Electoral District:06</t>
  </si>
  <si>
    <t>Queen's University, 01 Jul 2009  to 22 Sep 2009|Assessment Verification Period - Psychiatry
Queen's University, 23 Sep 2009  to 30 Jun 2010|PostGrad Yr 2 - Psychiatry
Queen's University, 01 Jul 2010  to 30 Jun 2011|PostGrad Yr 3 - Psychiatry
Queen's University, 01 Jul 2011  to 30 Jun 2012|PostGrad Yr 4 - Psychiatry
Queen's University, 01 Jul 2012  to 30 Jun 2013|PostGrad Yr 5 - Psychiatry
Queen's University, 01 Jul 2013  to 19 Jul 2013|PostGrad Yr 5 - Psychiatry</t>
  </si>
  <si>
    <t>First certificate of registration issued: Pre Entry Assessment Program Certificate||Effective:   01 Jul 2009
Transfer of class of registration to: Postgraduate Education Certificate||Effective:   23 Sep 2009
Transfer of class of registration to: Independent Practice Certificate||Effective:   30 Jun 2013</t>
  </si>
  <si>
    <t>Moustafa Eid Medicine Professional Corporation</t>
  </si>
  <si>
    <t>Inactive: May  4 2018</t>
  </si>
  <si>
    <t>100143</t>
  </si>
  <si>
    <t xml:space="preserve">Active Member as of 02 May 2013 </t>
  </si>
  <si>
    <t xml:space="preserve">Restricted as of 02 May 2013 </t>
  </si>
  <si>
    <t>Nishtar Medical College, 1985</t>
  </si>
  <si>
    <t>Developmental Disabilities,Consulting Program,Ongwanada Resource Centre,191 Portmouth Avenue,Kingston ON  K7M 8A6</t>
  </si>
  <si>
    <t>Pakistan
United Kingdom</t>
  </si>
  <si>
    <t>Kingston Health Sciences Centre:Kingston
Peterborough Regional Health Centre:Peterborough
Providence Care Hospital:Kingston</t>
  </si>
  <si>
    <t>Psychiatry||Effective: 02 May 2013||CPSO Recognized Specialist</t>
  </si>
  <si>
    <t>First certificate of registration issued: Restricted certificate||Effective:   02 May 2013
Terms and conditions imposed on certificate by Registration Committee||Effective:   02 May 2013
Expiry date attached to certificate of registration.||Expiry Date: 14 Mar 2015
Expiry date attached to certificate of registration.||Expiry Date: 30 Jun 2021</t>
  </si>
  <si>
    <t>Muhammad Ayub Medicine Professional Corporation</t>
  </si>
  <si>
    <t>Issued Date:  Jun 27 2013</t>
  </si>
  <si>
    <t>Dr. M. Ayub (CPSO# 100143)</t>
  </si>
  <si>
    <t>Providence Care Mental Health Services,Department of Psychiatry,752 King Street West,Kingston ON  K7L 4X3,(613) 548-5567
Developmental Disabilities Consulting Program,Developmental Disabilities Consulting Program,Ongwanda Resource Centre,191 Portsmouth Avenue,Kingston ON  K7M 8A6,(613) 549-7944</t>
  </si>
  <si>
    <t>111244</t>
  </si>
  <si>
    <t xml:space="preserve">Active Member as of 14 Dec 2016 </t>
  </si>
  <si>
    <t xml:space="preserve">Restricted as of 14 Dec 2016 </t>
  </si>
  <si>
    <t>Dow Medical College, 1991</t>
  </si>
  <si>
    <t>Windsor Regional Hospital,1995 Lens Avenue,Windsor ON  N8W 1L9</t>
  </si>
  <si>
    <t>(519) 973-4411 Ext. 33223</t>
  </si>
  <si>
    <t>860 Tecumseh Road East,Windsor ON  N8X 2S5,Canada,Phone:(519) 915-9967,Fax:5199159947,County:County of Essex,Electoral District:01
Hotel Dieu Grace Healthcare,Windsor ON  N9C 3Z4,Canada,County:County of Essex,Electoral District:01</t>
  </si>
  <si>
    <t>Ireland
Pakistan
United Kingdom</t>
  </si>
  <si>
    <t>Psychiatry||Effective: 14 Dec 2016||CPSO Recognized Specialist</t>
  </si>
  <si>
    <t>First certificate of registration issued: Restricted certificate||Effective:   14 Dec 2016
Terms and conditions imposed on certificate by Registration Committee||Effective:   14 Dec 2016
Expiry date attached to certificate of registration.||Expiry Date: 13 Dec 2019</t>
  </si>
  <si>
    <t>Dr. Muhammad Azam Khan Medicine Professional Corporation</t>
  </si>
  <si>
    <t>Issued Date:  May 26 2017</t>
  </si>
  <si>
    <t>Dr. M. Khan (CPSO# 111244)</t>
  </si>
  <si>
    <t>Suite 105,860 Tecumseh Road East,Windsor ON  N8X 2S5,(519) 915-9967</t>
  </si>
  <si>
    <t>116809</t>
  </si>
  <si>
    <t xml:space="preserve">Restricted as of 16 Aug 2018 </t>
  </si>
  <si>
    <t>University of Karachi, 1992</t>
  </si>
  <si>
    <t>First certificate of registration issued: Restricted certificate||Effective:   16 Aug 2018
Terms and conditions imposed on certificate by Registration Committee||Effective:   16 Aug 2018</t>
  </si>
  <si>
    <t>114155</t>
  </si>
  <si>
    <t xml:space="preserve">Active Member as of 01 Dec 2017 </t>
  </si>
  <si>
    <t xml:space="preserve">Restricted as of 01 Dec 2017 </t>
  </si>
  <si>
    <t>St. George's Hospital Medical School, 2007</t>
  </si>
  <si>
    <t>Centre for Addiction,and Mental Health,100 Stokes Street,Toronto ON  M6J 1H4</t>
  </si>
  <si>
    <t>(416) 535-8501 Ext. 37838</t>
  </si>
  <si>
    <t>Psychiatry||Effective: 01 Dec 2017||CPSO Recognized Specialist</t>
  </si>
  <si>
    <t>First certificate of registration issued: Restricted certificate||Effective:   01 Dec 2017
Terms and conditions imposed on certificate by Registration Committee||Effective:   01 Dec 2017
Expiry date attached to certificate of registration.||Expiry Date: 30 Nov 2024</t>
  </si>
  <si>
    <t>108685</t>
  </si>
  <si>
    <t xml:space="preserve">Active Member as of 06 Apr 2016 </t>
  </si>
  <si>
    <t xml:space="preserve">Restricted as of 06 Apr 2016 </t>
  </si>
  <si>
    <t>Allama Iqbal Medical College, 1987</t>
  </si>
  <si>
    <t>Dual Diagnosis Consultation,Providence Care Mental Health,Services,301-234 Concession St,Kingston ON  K7K 6W6</t>
  </si>
  <si>
    <t>(613) 530-2400</t>
  </si>
  <si>
    <t>(613) 530-2212</t>
  </si>
  <si>
    <t>289 Pinnacle Street,Belleville ON  K8N 3B3,Canada,Phone:(613)962-2541,Fax:(613)962-6357,County:County of Hastings,Electoral District:06
234 Concession Street,Kingston ON  K7M 6W6,Canada,Phone:(613) 530-2400 Ext. 23,Fax:(613) 530-2212,County:County of Frontenac,Electoral District:06</t>
  </si>
  <si>
    <t>Pakistan</t>
  </si>
  <si>
    <t>Psychiatry||Effective: 06 Apr 2016||CPSO Recognized Specialist</t>
  </si>
  <si>
    <t>First certificate of registration issued: Restricted certificate||Effective:   06 Apr 2016
Terms and conditions imposed on certificate by Registration Committee||Effective:   06 Apr 2016
Expiry date attached to certificate of registration.||Expiry Date: 30 Jun 2019</t>
  </si>
  <si>
    <t>Muhammad Nasar Khan Medicine Professional Corporation</t>
  </si>
  <si>
    <t>Issued Date:  Jun 03 2016</t>
  </si>
  <si>
    <t>Dr. M. Khan (CPSO# 108685)</t>
  </si>
  <si>
    <t>Providence Care Mental Health Services,301-234 Concession Street,Kingston ON  K7K 6W6,(613) 530-2400
Pathways to Independence,Pathways to Independence,289 Pinnacle Street,Belleville ON  K8N 3B3,(613) 962-2541
Kingston Health Sciences Centre,Kingston Health Sciences Centre,76 Stuart Street,Kingston ON  K7L 2V7,(613) 549-3232</t>
  </si>
  <si>
    <t>89627</t>
  </si>
  <si>
    <t xml:space="preserve">Active Member as of 15 Jul 2008 </t>
  </si>
  <si>
    <t xml:space="preserve">Independent Practice as of 15 Jul 2008 </t>
  </si>
  <si>
    <t>University of Karachi, 1991</t>
  </si>
  <si>
    <t>Brampton Civic Hospital,Department of Psychiatry,2100 Boviard Drive East,Brampton ON  L6R 3J7</t>
  </si>
  <si>
    <t>First certificate of registration issued: Independent Practice Certificate||Effective:   15 Jul 2008</t>
  </si>
  <si>
    <t>Dr. Razi Sayeed Medicine Professional Corporation</t>
  </si>
  <si>
    <t>Issued Date:  Oct 04 2011</t>
  </si>
  <si>
    <t>Dr. M. Sayeed (CPSO# 89627)</t>
  </si>
  <si>
    <t>Brampton Civic Hospital,Department of Psychiatry,2100 Bovaird Drive East,Brampton ON  L6R 3J7,(905) 494-2120</t>
  </si>
  <si>
    <t>110284</t>
  </si>
  <si>
    <t xml:space="preserve">Active Member as of 14 Mar 2018 </t>
  </si>
  <si>
    <t xml:space="preserve">Restricted as of 14 Mar 2018 </t>
  </si>
  <si>
    <t>Windsor Regional Hospital,1030 Ouellette ave,Windsor ON  N9A1E1</t>
  </si>
  <si>
    <t>519 973 4444 Ext. 33301</t>
  </si>
  <si>
    <t>(226) 221-8892</t>
  </si>
  <si>
    <t>3955 Tecumseh Road East,Windsor ON  N8W 1J5,Canada,Phone:2262219326,Fax:2262218892,County:County of Essex,Electoral District:01
Windsor Regional Hospital,Ouellette Campus,1030 Ouellette Avenue,Windsor ON  N9A 1E1,Canada,Phone:(519) 973-4411,County:County of Essex,Electoral District:01
Hotel-Dieu Grace Healthcare,1453 Prince Road,Windsor ON  N9C 3Z4,Canada,Phone:(519) 257-5111,County:County of Essex,Electoral District:01</t>
  </si>
  <si>
    <t>First certificate of registration issued: Restricted certificate||Effective:   04 Jul 2016
Terms and conditions imposed on certificate by Registration Committee||Effective:   04 Jul 2016
Expiry date attached to certificate of registration.||Expiry Date: 01 Apr 2019
Terms and conditions amended by Registration Committee||Effective:   14 Sep 2017
Expiry date attached to certificate of registration||Expiry Date: 01 Apr 2019
Expired: Terms and conditions imposed on certificate by Registration Committee||Effective:   13 Mar 2018
Subsequent certificate of registration issued: Restricted certificate||Effective:   14 Mar 2018</t>
  </si>
  <si>
    <t>Dr. Muhammad S. Akhtar Medicine Professional Corporation</t>
  </si>
  <si>
    <t>Dr. M. Akhtar (CPSO# 110284)</t>
  </si>
  <si>
    <t>Windsor Regional Hospital,1995 Lens Avenue,Windsor ON  N8W 1L9,(519) 254-5577
1453 Prince Road,1453 Prince Road,Windsor ON  N9C 3Z4,(519) 257-5111
Windsor Regional Hospital,Windsor Regional Hospital,3 South Ward,1030 Ouellette Avenue,Windsor ON  N9A 1E1
3955 Tecumseh Road East,3955 Tecumseh Road East,Windsor ON  N8W 1J5,(226) 280-4983</t>
  </si>
  <si>
    <t>50103</t>
  </si>
  <si>
    <t xml:space="preserve">Active Member as of 16 Apr 1987 </t>
  </si>
  <si>
    <t xml:space="preserve">Independent Practice as of 17 Apr 1997 </t>
  </si>
  <si>
    <t>University of Karachi, 1972</t>
  </si>
  <si>
    <t>St Catharines Hospital Site,1200 Fourth Avenue,St Catharines ON  L2S 0A9</t>
  </si>
  <si>
    <t>905-378-4647 Ext. 45133</t>
  </si>
  <si>
    <t>127 Westmore Drive Unit 103,Toronto ON  M9V 3Y6,Canada,Phone:416 749 3933,Fax:416 749 3936,County:City of Toronto,Electoral District:10</t>
  </si>
  <si>
    <t>Niagara Health System Ontario Street Site:St Catharines</t>
  </si>
  <si>
    <t>University of Toronto, 01 Jul 1982  to 30 Jun 1983|Resident 1 - Psychiatry
University of Toronto, 01 Jul 1983  to 30 Jun 1984|Resident 2 - Psychiatry
University of Toronto, 01 Jul 1984  to 30 Jun 1985|Resident 3 - Psychiatry
University of Toronto, 01 Jul 1985  to 30 Jun 1986|Resident 4 - Psychiatry
University of Toronto, 01 Jul 1986  to 31 Dec 1996|Resident 4 - Psychiatry</t>
  </si>
  <si>
    <t>First certificate of registration issued: Postgraduate Education Certificate||Effective:   14 Jul 1982
Expired: Terms and conditions of certificate of registration||Expiry:      31 Dec 1986
Subsequent certificate of registration Issued: Hospital Practice Certificate||Effective:   16 Apr 1987
Transfer of class of registration to: Independent Practice Certificate||Effective:   17 Apr 1997</t>
  </si>
  <si>
    <t>Shahid Aziz Medicine Professional Corporation</t>
  </si>
  <si>
    <t>Issued Date:  Jul 16 2004</t>
  </si>
  <si>
    <t>Dr. M. Aziz (CPSO# 50103)</t>
  </si>
  <si>
    <t>St Catharines Hospital Site,1200 Fourth Avenue,St Catharines ON  L2S 0A9,(905) 378-4647</t>
  </si>
  <si>
    <t>53217</t>
  </si>
  <si>
    <t xml:space="preserve">Active Member as of 15 Sep 1988 </t>
  </si>
  <si>
    <t xml:space="preserve">Independent Practice as of 15 Sep 1988 </t>
  </si>
  <si>
    <t>Mental Health Services,Lakeridge Health,1 Hospital Court,Oshawa ON  L1G 2B9</t>
  </si>
  <si>
    <t>First certificate of registration issued: Postgraduate Education Certificate||Effective:   01 Jul 1983
Expired: Terms and conditions of certificate of registration||Expiry:      30 Jun 1987
Subsequent certificate of registration Issued: Independent Practice Certificate||Effective:   15 Sep 1988</t>
  </si>
  <si>
    <t>Dr. Muhammed Zakaria Medicine Professional Corporation</t>
  </si>
  <si>
    <t>Dr. M. Zakaria (CPSO# 53217)</t>
  </si>
  <si>
    <t>Mental Health Services,Lakeridge Health,1 Hospital Court,Oshawa ON  L1G 2B9,(905) 576-8711</t>
  </si>
  <si>
    <t>62926</t>
  </si>
  <si>
    <t xml:space="preserve">Active Member as of 10 Feb 1999 </t>
  </si>
  <si>
    <t xml:space="preserve">Independent Practice as of 10 Feb 1999 </t>
  </si>
  <si>
    <t>Dacca Medical College, 1973</t>
  </si>
  <si>
    <t>Brampton Civic Hospital,2100 Bovaird Drive East,Brampton ON  L6R 3J7</t>
  </si>
  <si>
    <t>(905) 494-2120 Ext. 50619</t>
  </si>
  <si>
    <t>University of Toronto, 01 Jul 1990  to 30 Jun 1991|Resident 1 - Psychiatry
University of Toronto, 01 Jul 1991  to 30 Jun 1992|Resident 2 - Psychiatry
University of Toronto, 01 Jul 1992  to 31 Jul 1993|Resident 3 - Psychiatry
University of Toronto, 01 Aug 1993  to 30 Jun 1994|Resident 4 - Psychiatry
University of Toronto, 01 Jul 1994  to 30 Jun 1995|Resident 4 - Psychiatry
University of Toronto, 01 Jul 1995  to 01 Feb 1996|Resident 4 - Psychiatry</t>
  </si>
  <si>
    <t>First certificate of registration issued: Postgraduate Education Certificate||Effective:   30 Jul 1990
Expired: Terms and conditions of certificate of registration||Expiry:      01 Feb 1996
Subsequent certificate of registration Issued: Independent Practice Certificate||Effective:   10 Feb 1999</t>
  </si>
  <si>
    <t>Bakht Medicine Professional Corporation</t>
  </si>
  <si>
    <t>Issued Date:  Dec 17 2014</t>
  </si>
  <si>
    <t>Dr. M. Bakht (CPSO# 62926)</t>
  </si>
  <si>
    <t>76946</t>
  </si>
  <si>
    <t xml:space="preserve">Active Member as of 01 Nov 2006 </t>
  </si>
  <si>
    <t>University of Karachi, 1982</t>
  </si>
  <si>
    <t>Niagara Health System Ontario Street Site:St Catharines
Trillium Health Partners,The Credit Valley Hospital:Mississauga</t>
  </si>
  <si>
    <t>McMaster University, 01 Jul 2001  to 30 Jun 2002|Clinical Fellow - Psychiatry
McMaster University, 01 Jul 2002  to 30 Sep 2002|Clinical Fellow - Psychiatry</t>
  </si>
  <si>
    <t>First certificate of registration issued: Postgraduate Education Certificate||Effective:   02 Aug 2001
Expired: Terms and conditions of certificate of registration||Expiry:      30 Sep 2002
Subsequent certificate of registration issued: Restricted certificate||Effective:   01 Oct 2002
Terms and conditions amended by Registration Committee||Effective:   15 Oct 2004
Expired: Terms and conditions imposed on certificate by Registration Committee||Effective:   30 Jun 2005
Subsequent certificate of registration Issued: Independent Practice Certificate||Effective:   01 Nov 2006</t>
  </si>
  <si>
    <t>Dr. Mujeeb Ur Rehman Medicine Professional Corporation</t>
  </si>
  <si>
    <t>Issued Date:  Jun 16 2008</t>
  </si>
  <si>
    <t>Dr. M. Rehman (CPSO# 76946)</t>
  </si>
  <si>
    <t>The Credit Valley Hospital,2200 Eglinton Avenue West,Room 2432,Mississauga ON  L5M 1N2,(905) 813-2398</t>
  </si>
  <si>
    <t>112311</t>
  </si>
  <si>
    <t xml:space="preserve">Active Member as of 30 May 2017 </t>
  </si>
  <si>
    <t xml:space="preserve">Independent Practice as of 30 May 2017 </t>
  </si>
  <si>
    <t>University of Calabar, 2000</t>
  </si>
  <si>
    <t>First certificate of registration issued: Independent Practice Certificate||Effective:   30 May 2017</t>
  </si>
  <si>
    <t>M. Uhoegbu Medicine Professional Corporation</t>
  </si>
  <si>
    <t>Dr. M. Uhoegbu (CPSO# 112311)</t>
  </si>
  <si>
    <t>81143</t>
  </si>
  <si>
    <t xml:space="preserve">Active Member as of 26 Jul 2007 </t>
  </si>
  <si>
    <t xml:space="preserve">Independent Practice as of 26 Jul 2007 </t>
  </si>
  <si>
    <t>University of Karachi, 1998</t>
  </si>
  <si>
    <t>OakvilleTrafalgar Memorial Hospital,3001 Hospital Gate,Oakville ON  L6M 0L8</t>
  </si>
  <si>
    <t>Psychiatry||Effective: 23 Apr 2007||RCPSC Specialist</t>
  </si>
  <si>
    <t>University of Toronto, 01 Jul 2004  to 31 Jul 2004|Elective Trainee - Psychiatry</t>
  </si>
  <si>
    <t>First certificate of registration issued: Postgraduate Education Certificate||Effective:   01 Jul 2004
Expired: Terms and conditions of certificate of registration||Expiry:      31 Jul 2004
Subsequent certificate of registration issued: Restricted certificate||Effective:   23 Aug 2006
Expired: Terms and conditions imposed on certificate by Registration Committee||Effective:   26 Jul 2007
Subsequent certificate of registration Issued: Independent Practice Certificate||Effective:   26 Jul 2007</t>
  </si>
  <si>
    <t>Dr. Mustafa Warsi Medicine Professional Corporation</t>
  </si>
  <si>
    <t>Issued Date:  Sep 15 2009</t>
  </si>
  <si>
    <t>Dr. M. Hadi (CPSO# 79957),Dr. M. Warsi (CPSO# 81143)</t>
  </si>
  <si>
    <t>3001 Hospital Gate,Oakville ON  L6M 0L8,(905) 845-2571
3001 Hospital Gate,Oakville ON  L6M 0L8,(905) 845-257</t>
  </si>
  <si>
    <t>Dr. Maha Hadi Medicine Professional Corporation</t>
  </si>
  <si>
    <t>Issued Date:  Oct 22 2014</t>
  </si>
  <si>
    <t>4062 Confederation Parkway,Mississauga ON  L5B 0G4,(647) 722-2370
7070 McLaughlin Road,7070 McLaughlin Road,Mississauga ON  L5W 1W7</t>
  </si>
  <si>
    <t>74393</t>
  </si>
  <si>
    <t xml:space="preserve">Active Member as of 04 Nov 1999 </t>
  </si>
  <si>
    <t xml:space="preserve">Independent Practice as of 04 Nov 1999 </t>
  </si>
  <si>
    <t>Bangalore University, 1970</t>
  </si>
  <si>
    <t>Suite 412,450 Central Avenue,London ON  N6B 2E8</t>
  </si>
  <si>
    <t>(519) 642-7958</t>
  </si>
  <si>
    <t>(519) 642-7580</t>
  </si>
  <si>
    <t>First certificate of registration issued: Independent Practice Certificate||Effective:   04 Nov 1999</t>
  </si>
  <si>
    <t>91275</t>
  </si>
  <si>
    <t>Chernovzy Medical Institute, 1989</t>
  </si>
  <si>
    <t>Montfort Hospital,Ottawa ON  K1K 0T2</t>
  </si>
  <si>
    <t>(613) 746-4621 Ext. 3968</t>
  </si>
  <si>
    <t>(613) 748-4938</t>
  </si>
  <si>
    <t>University of Ottawa, 01 Jul 2009  to 22 Sep 2009|Assessment Verification Period - Psychiatry
University of Ottawa, 23 Sep 2009  to 30 Jun 2010|PostGrad Yr 1 - Psychiatry
University of Ottawa, 01 Jul 2010  to 30 Jun 2011|PostGrad Yr 2 - Psychiatry
University of Ottawa, 01 Jul 2011  to 30 Jun 2012|PostGrad Yr 3 - Psychiatry
University of Ottawa, 01 Jul 2012  to 30 Jun 2013|PostGrad Yr 4 - Psychiatry
University of Ottawa, 01 Jul 2013  to 30 Jun 2014|PostGrad Yr 5 - Psychiatry</t>
  </si>
  <si>
    <t>Dr. M. Pityk Medicine Professional Corporation</t>
  </si>
  <si>
    <t>Issued Date:  Sep 18 2014</t>
  </si>
  <si>
    <t>Dr. M. Pityk (CPSO# 91275)</t>
  </si>
  <si>
    <t>713 Montreal Road,Ottawa ON  K1K 0T2,(613) 746-4621</t>
  </si>
  <si>
    <t>53919</t>
  </si>
  <si>
    <t xml:space="preserve">Independent Practice as of 04 Oct 1985 </t>
  </si>
  <si>
    <t>78 Baby Point Crescent,Toronto ON  M6S 2C1</t>
  </si>
  <si>
    <t>(416) 617-8093</t>
  </si>
  <si>
    <t>(416) 766-8981</t>
  </si>
  <si>
    <t>Mount Sinai Hospital,Perinatal Mental Health Unit,3rd Floor,700 University Avenue,Toronto ON  M5G 1X5,Canada,Phone:416-586-4800 Ext. 8325,Fax:416 586 8596,County:City of Toronto,Electoral District:10</t>
  </si>
  <si>
    <t>Hospital For Sick Children:Toronto
Mount Sinai Hospital:Toronto</t>
  </si>
  <si>
    <t>University of Toronto, 11 Jun 1984  to 17 Jun 1985|Other - Comprehensive Internship
University of Toronto, 01 Jul 1985  to 30 Jun 1986|Resident 1 - Psychiatry
University of Toronto, 01 Jul 1986  to 30 Jun 1987|Resident 2 - Psychiatry
University of Toronto, 01 Jul 1987  to 30 Jun 1988|Resident 4 - Psychiatry
University of Toronto, 01 Jul 1988  to 31 Dec 1988|Resident 4 - Psychiatry
University of Toronto, 01 Jan 1989  to 30 Jun 1989|Clinical Fellow - Clinical Pharmacology</t>
  </si>
  <si>
    <t>First certificate of registration issued: Postgraduate Education Certificate||Effective:   11 Jun 1984
Transfer of class of registration to: Independent Practice Certificate||Effective:   04 Oct 1985</t>
  </si>
  <si>
    <t>68523</t>
  </si>
  <si>
    <t xml:space="preserve">Active Member as of 23 Aug 1994 </t>
  </si>
  <si>
    <t xml:space="preserve">Independent Practice as of 23 Aug 1994 </t>
  </si>
  <si>
    <t>Mysore University, 1979</t>
  </si>
  <si>
    <t>750 Spadina Crescent,Suite 104,Saskatoon SK  S7K 3H3</t>
  </si>
  <si>
    <t>(306) 653-4843</t>
  </si>
  <si>
    <t>(306) 653-3190</t>
  </si>
  <si>
    <t>Psychiatry||Effective: 19 Nov 1993||RCPSC Specialist
Geriatric Psychiatry||Effective: 23 Sep 2014||RCPSC Specialist</t>
  </si>
  <si>
    <t>First certificate of registration issued: Independent Practice Certificate||Effective:   23 Aug 1994</t>
  </si>
  <si>
    <t>58838</t>
  </si>
  <si>
    <t xml:space="preserve">Active Member as of 07 Jul 1987 </t>
  </si>
  <si>
    <t xml:space="preserve">Independent Practice as of 05 Jun 1989 </t>
  </si>
  <si>
    <t>Ain Shams University, 1979</t>
  </si>
  <si>
    <t>2000 Credit Valley Road,Suite 413,Mississauga ON  L5M 4N4</t>
  </si>
  <si>
    <t>(905) 607-1262</t>
  </si>
  <si>
    <t>905 6071263</t>
  </si>
  <si>
    <t>First certificate of registration issued: Postgraduate Education Certificate||Effective:   07 Jul 1987
Transfer of class of registration to: Independent Practice Certificate||Effective:   05 Jun 1989</t>
  </si>
  <si>
    <t>Dr. Nabil Philips Medicine Professional Corporation</t>
  </si>
  <si>
    <t>Issued Date:  Jul 19 2006</t>
  </si>
  <si>
    <t>Dr. N. Philips (CPSO# 58838)</t>
  </si>
  <si>
    <t>Suite 413,2000 Credit Valley Road,Mississauga ON  L5M 4N4,(905) 607-1262</t>
  </si>
  <si>
    <t>92377</t>
  </si>
  <si>
    <t xml:space="preserve">Active Member as of 26 Mar 2014 </t>
  </si>
  <si>
    <t xml:space="preserve">Restricted as of 26 Mar 2014 </t>
  </si>
  <si>
    <t>University of London, 2003</t>
  </si>
  <si>
    <t>McMaster Department of Psychiatry &amp;,Behavioural Neurosciences,St. Joseph's Healthcare Hamilton,Administration B3, 100 West 5th St,Hamilton ON  L8N 3K7</t>
  </si>
  <si>
    <t>(905) 6674847</t>
  </si>
  <si>
    <t>Psychiatry||Effective: 26 Mar 2014||CPSO Recognized Specialist</t>
  </si>
  <si>
    <t>First certificate of registration issued: Restricted certificate||Effective:   11 Jan 2010
Terms and conditions imposed on certificate by Registration Committee||Effective:   11 Jan 2010
Expiry date attached to certificate of registration.||Expiry Date: 20 Dec 2012
Expired: Terms and conditions imposed on certificate by Registration Committee||Effective:   30 Sep 2011
Subsequent certificate of registration issued: Restricted certificate||Effective:   26 Mar 2014
Terms and conditions amended by Registration Committee||Effective:   14 Nov 2016
Terms and conditions amended by Registration Committee||Effective:   20 Dec 2016
Terms and conditions amended by Registration Committee||Effective:   16 Mar 2017
Expiry date attached to certificate of registration||Expiry Date: 30 Jun 2020</t>
  </si>
  <si>
    <t>102821</t>
  </si>
  <si>
    <t xml:space="preserve">Active Member as of 05 May 2014 </t>
  </si>
  <si>
    <t>English, French, Russian</t>
  </si>
  <si>
    <t>Moscow State Univ name af MV Lomonosov, 2001</t>
  </si>
  <si>
    <t>101 Humber College Blvd,Etobicoke ON  M9V 1R8</t>
  </si>
  <si>
    <t>(416) 494-2120</t>
  </si>
  <si>
    <t>2100 Bovaird Drive East,Brampton ON  L6R 3J7,Canada,Phone:(905) 494-2120,County:Regional Municipality of Peel,Electoral District:05</t>
  </si>
  <si>
    <t>McMaster University, 05 May 2014  to 30 Jun 2014|Elective Trainee - Psychiatry</t>
  </si>
  <si>
    <t>First certificate of registration issued: Postgraduate Education Certificate||Effective:   05 May 2014
Transfer of class of registration to: Independent Practice Certificate||Effective:   30 Jun 2014</t>
  </si>
  <si>
    <t>Stroganova Medicine Professional Corporation</t>
  </si>
  <si>
    <t>Issued Date:  Sep 04 2014</t>
  </si>
  <si>
    <t>Dr. N. Stroganova (CPSO# 102821)</t>
  </si>
  <si>
    <t>Etobicoke General Hospital,101 Humber College Boulevard,Etobicoke ON  M9V 1R8,(416) 494-2120
2100 Bovaird Drive East,2100 Bovaird Drive East,Brampton ON  L6R 3J7,(905) 494-2120</t>
  </si>
  <si>
    <t>85182</t>
  </si>
  <si>
    <t xml:space="preserve">Active Member as of 16 Aug 2010 </t>
  </si>
  <si>
    <t xml:space="preserve">Independent Practice as of 16 Aug 2010 </t>
  </si>
  <si>
    <t>The University of British Columbia, 2001</t>
  </si>
  <si>
    <t>Suite 210,455 Spadina Avenue,Toronto ON  M5S 2G8</t>
  </si>
  <si>
    <t>(416) 535-8501 Ext. 77350</t>
  </si>
  <si>
    <t>(416) 971-7172</t>
  </si>
  <si>
    <t>The University of Western Ontario, 01 Jul 2006  to 30 Jun 2007|PostGrad Yr 1 - Psychiatry
The University of Western Ontario, 01 Jul 2007  to 30 Jun 2008|PostGrad Yr 3 - Psychiatry
The University of Western Ontario, 01 Jul 2008  to 30 Jun 2009|PostGrad Yr 4 - Psychiatry
The University of Western Ontario, 01 Jul 2009  to 30 Jun 2010|PostGrad Yr 5 - Psychiatry</t>
  </si>
  <si>
    <t>First certificate of registration issued: Independent Practice Certificate||Effective:   30 Jun 2006
Expired: Resigned from membership.||Expiry:      30 Jun 2008
Subsequent certificate of registration Issued: Postgraduate Education Certificate||Effective:   01 Jul 2008
Expired: Terms and conditions of certificate of registration||Expiry:      30 Jun 2010
Subsequent certificate of registration Issued: Independent Practice Certificate||Effective:   16 Aug 2010</t>
  </si>
  <si>
    <t>Nadia Aleem Medicine Professional Corporation</t>
  </si>
  <si>
    <t>Issued Date:  Apr 03 2012</t>
  </si>
  <si>
    <t>Dr. N. Aleem (CPSO# 85182)</t>
  </si>
  <si>
    <t>Suite 210,455 Spadina Avenue,Toronto ON  M5S 2G8,(416) 535-8501</t>
  </si>
  <si>
    <t>65494</t>
  </si>
  <si>
    <t>195 Abraham St,Cambridge ON  N3H 1H4</t>
  </si>
  <si>
    <t>(519) 803-8402</t>
  </si>
  <si>
    <t>(519) 653-7423</t>
  </si>
  <si>
    <t>Psychiatry||Effective: 31 Jul 1999||RCPSC Specialist</t>
  </si>
  <si>
    <t>University of Toronto, 01 Jul 1995  to 30 Jun 1996|Resident 3 - Psychiatry
University of Toronto, 01 Jul 1997  to 30 Jun 1998|Resident 3 - Psychiatry
University of Toronto, 01 Jul 1998  to 30 Jun 1999|Resident 4 - Psychiatry
University of Toronto, 01 Jul 1999  to 30 Jun 2000|Resident 4 - Psychiatry</t>
  </si>
  <si>
    <t>Dr. Nadine Nyhus Medicine Professional Corporation</t>
  </si>
  <si>
    <t>Dr. N. Nyhus (CPSO# 65494)</t>
  </si>
  <si>
    <t>Kerry's Place Autism Services,Unit 3,25 Van Kirk Drive,Brampton ON  L7A 1A6,(905) 457-8711
195 Abraham Street,195 Abraham Street,Cambridge ON  N3H 1H4,(519) 803-8402</t>
  </si>
  <si>
    <t>80056</t>
  </si>
  <si>
    <t xml:space="preserve">Active Member as of 30 Jul 2003 </t>
  </si>
  <si>
    <t>St Michaels Hospital,17th Floor,Cardinal Carter Wing,30 Bond Street,Toronto ON  M5B 1W8</t>
  </si>
  <si>
    <t>(416) 864-6060 Ext. 5418</t>
  </si>
  <si>
    <t>First certificate of registration issued: Postgraduate Education Certificate||Effective:   30 Jul 2003
Transfer of class of registration to: Independent Practice Certificate||Effective:   30 Jun 2008</t>
  </si>
  <si>
    <t>33637</t>
  </si>
  <si>
    <t xml:space="preserve">Active Member as of 01 Jan 1966 </t>
  </si>
  <si>
    <t xml:space="preserve">Independent Practice as of 30 Jul 1982 </t>
  </si>
  <si>
    <t>Osmania University, 1960</t>
  </si>
  <si>
    <t>First certificate of registration issued: Temporary Employment Practice Certificate||Effective:   01 Jan 1966
Transfer of class of registration to: Postgraduate Education Certificate||Effective:   01 Jan 1972
Transfer of class of registration to: Temporary Employment Practice Certificate||Effective:   09 Jan 1973
Transfer of class of registration to: Public Service Practice Certificate||Effective:   29 Jun 1976
Transfer of class of registration to: Independent Practice Certificate||Effective:   30 Jul 1982</t>
  </si>
  <si>
    <t>108034</t>
  </si>
  <si>
    <t xml:space="preserve">Active Member as of 16 Aug 2017 </t>
  </si>
  <si>
    <t xml:space="preserve">Restricted as of 16 Aug 2017 </t>
  </si>
  <si>
    <t>Mashhad University of Medical Science, 1995</t>
  </si>
  <si>
    <t>Southwest Centre for Forensic,Mental Health Care,401 Sunset Drive,St Thomas ON  N5R 3C6</t>
  </si>
  <si>
    <t>(519) 631-8510</t>
  </si>
  <si>
    <t>Iran</t>
  </si>
  <si>
    <t>Forensic Psychiatry||Effective: 16 Aug 2017||CPSO Recognized Specialist
Psychiatry||Effective: 17 Jan 2018||RCPSC Specialist</t>
  </si>
  <si>
    <t>McMaster University, 01 Oct 2015  to 14 Dec 2015|PEAP - Clinical Fellow - Psychiatry
McMaster University, 15 Dec 2015  to 30 Jun 2016|Clinical Fellow - Psychiatry
McMaster University, 01 Jul 2016  to 30 Sep 2016|Clinical Fellow - Psychiatry
The University of Western Ontario, 01 Oct 2016  to 30 Jun 2017|Clinical Fellow - Psychiatry
The University of Western Ontario, 01 Jul 2017  to 15 Aug 2017|Clinical Fellow - Psychiatry</t>
  </si>
  <si>
    <t>First certificate of registration issued: Pre Entry Assessment Program Certificate||Effective:   01 Oct 2015
Transfer of class of registration to: Postgraduate Education Certificate||Effective:   16 Dec 2015
Expired: Terms and conditions of certificate of registration||Expiry:      15 Aug 2017
Subsequent certificate of registration issued: Restricted certificate||Effective:   16 Aug 2017
Expiry as per terms and conditions imposed on certificate||Expiry Date: 30 Jun 2020</t>
  </si>
  <si>
    <t>Dr. Naghmeh Mokhber Medicine Professional Corporation</t>
  </si>
  <si>
    <t>Issued Date:  Mar 21 2018</t>
  </si>
  <si>
    <t>Dr. N. Mokhber (CPSO# 108034)</t>
  </si>
  <si>
    <t>Southwest Centre for Forensic Mental Health Care,401 Sunset Drive,St Thomas ON  N5R 3C6,(519) 646-6100</t>
  </si>
  <si>
    <t>90739</t>
  </si>
  <si>
    <t xml:space="preserve">Active Member as of 31 Jul 2014 </t>
  </si>
  <si>
    <t xml:space="preserve">Independent Practice as of 31 Jul 2014 </t>
  </si>
  <si>
    <t>TS Medical Centre,692 Euclid Avenue,Toronto ON  M6G 2T9</t>
  </si>
  <si>
    <t>(416) 901-9020</t>
  </si>
  <si>
    <t>University of Toronto, 01 Jul 2009  to 30 Jun 2010|PostGrad Yr 1 - Psychiatry
University of Toronto, 01 Jul 2010  to 31 Jul 2010|PostGrad Yr 1 - Psychiatry
University of Toronto, 01 Aug 2010  to 31 Jul 2011|PostGrad Yr 2 - Psychiatry
University of Toronto, 01 Jul 2011  to 30 Jun 2012|PostGrad Yr 3 - Psychiatry
University of Toronto, 01 Jul 2012  to 30 Jun 2013|PostGrad Yr 4 - Psychiatry
University of Toronto, 01 Jul 2013  to 30 Jun 2014|PostGrad Yr 5 - Psychiatry</t>
  </si>
  <si>
    <t>First certificate of registration issued: Postgraduate Education Certificate||Effective:   01 Jul 2009
Expired: Terms and conditions of certificate of registration||Expiry:      30 Jun 2014
Subsequent certificate of registration Issued: Independent Practice Certificate||Effective:   31 Jul 2014</t>
  </si>
  <si>
    <t>93240</t>
  </si>
  <si>
    <t>705-675-5900 Ext. 8234</t>
  </si>
  <si>
    <t>705-671-3031</t>
  </si>
  <si>
    <t>Queen's University, 01 Jul 2010  to 30 Jun 2011|PostGrad Yr 1 - Psychiatry
Queen's University, 01 Jul 2011  to 30 Jun 2012|PostGrad Yr 2 - Psychiatry
Queen's University, 01 Jul 2012  to 30 Jun 2013|PostGrad Yr 3 - Psychiatry
Queen's University, 01 Jul 2013  to 30 Jun 2014|PostGrad Yr 4 - Psychiatry
Queen's University, 01 Jul 2014  to 30 Jun 2015|PostGrad Yr 5 - Psychiatry</t>
  </si>
  <si>
    <t>51561</t>
  </si>
  <si>
    <t xml:space="preserve">Active Member as of 18 Jun 1979 </t>
  </si>
  <si>
    <t xml:space="preserve">Independent Practice as of 15 Apr 1983 </t>
  </si>
  <si>
    <t>Suite 2500,120 Adelaide Street West,Toronto ON  M5H 1T1</t>
  </si>
  <si>
    <t>(416) 922-6904</t>
  </si>
  <si>
    <t>(416) 367-1954</t>
  </si>
  <si>
    <t>First certificate of registration issued: Postgraduate Education Certificate||Effective:   18 Jun 1979
Transfer of class of registration to: Independent Practice Certificate||Effective:   15 Apr 1983</t>
  </si>
  <si>
    <t>72603</t>
  </si>
  <si>
    <t>Biddle, Nancy Lea (used until: 10 Jun 2003 )</t>
  </si>
  <si>
    <t>(416) 323-6400 Ext. 4937</t>
  </si>
  <si>
    <t>Dr. Nancy McCallum Medicine Professional Corporation</t>
  </si>
  <si>
    <t>Dr. N. McCallum (CPSO# 72603)</t>
  </si>
  <si>
    <t>Women's College Hospital,Department of Psychiatry,7th Floor,76 Grenville Street,Toronto ON  M5S 1B2,(416) 323-6400</t>
  </si>
  <si>
    <t>60153</t>
  </si>
  <si>
    <t xml:space="preserve">Active Member as of 13 Jul 1988 </t>
  </si>
  <si>
    <t xml:space="preserve">Independent Practice as of 13 Jul 1988 </t>
  </si>
  <si>
    <t>The University of Western Ontario, 01 Jul 1992  to 30 Jun 1993|Resident 4 - Psychiatry</t>
  </si>
  <si>
    <t>First certificate of registration issued: Independent Practice Certificate||Effective:   13 Jul 1988</t>
  </si>
  <si>
    <t>114007</t>
  </si>
  <si>
    <t xml:space="preserve">Active Member as of 05 Oct 2017 </t>
  </si>
  <si>
    <t xml:space="preserve">Independent Practice as of 05 Oct 2017 </t>
  </si>
  <si>
    <t>Rajah Muthiah Medical College, 2004</t>
  </si>
  <si>
    <t>400-350 Cheadle St W,Swift Current SK  S9H 4G3</t>
  </si>
  <si>
    <t>1(306) 7785280</t>
  </si>
  <si>
    <t>New Brunswick
Saskatchewan</t>
  </si>
  <si>
    <t>First certificate of registration issued: Independent Practice Certificate||Effective:   05 Oct 2017</t>
  </si>
  <si>
    <t>54926</t>
  </si>
  <si>
    <t xml:space="preserve">Active Member as of 19 Sep 1984 </t>
  </si>
  <si>
    <t xml:space="preserve">Independent Practice as of 19 Sep 1984 </t>
  </si>
  <si>
    <t>English, Hindi, Kannada, Telugu</t>
  </si>
  <si>
    <t>Andhra University, 1973</t>
  </si>
  <si>
    <t>440 Giles Boulevard East,Windsor ON  N9A 4C6</t>
  </si>
  <si>
    <t>(519) 258-1282</t>
  </si>
  <si>
    <t>(519) 258-9758</t>
  </si>
  <si>
    <t>First certificate of registration issued: Independent Practice Certificate||Effective:   19 Sep 1984</t>
  </si>
  <si>
    <t>Malempati Medicine Professional Corporation</t>
  </si>
  <si>
    <t>Issued Date:  Mar 24 2004</t>
  </si>
  <si>
    <t>Dr. N. Malempati (CPSO# 54926)</t>
  </si>
  <si>
    <t>440 Giles Boulevard East,Windsor ON  N9A 4C6,(519) 258-1282</t>
  </si>
  <si>
    <t>104641</t>
  </si>
  <si>
    <t xml:space="preserve">Active Member as of 24 Apr 2018 </t>
  </si>
  <si>
    <t xml:space="preserve">Restricted as of 24 Apr 2018 </t>
  </si>
  <si>
    <t>Azari, English, Farsi, French</t>
  </si>
  <si>
    <t>SHAHEED BEHESHTI UNIVERSITY, 1997</t>
  </si>
  <si>
    <t>C A M H,100 Stokes St,Toronto ON  M6J 1H4</t>
  </si>
  <si>
    <t>Psychiatry||Effective: 24 Apr 2018||CPSO Recognized Specialist</t>
  </si>
  <si>
    <t>University of Toronto, 01 Jul 2014  to 22 Sep 2014|PEAP - Clinical Fellow - Psychiatry
University of Toronto, 23 Sep 2014  to 30 Jun 2015|Clinical Fellow - Psychiatry</t>
  </si>
  <si>
    <t>First certificate of registration issued: Pre Entry Assessment Program Certificate||Effective:   18 Jul 2014
Transfer of class of registration to: Postgraduate Education Certificate||Effective:   23 Sep 2014
Expired: Terms and conditions of certificate of registration||Expiry:      30 Jun 2015
Subsequent certificate of registration issued: Restricted certificate||Effective:   24 Apr 2018
Expiry as per terms and conditions imposed on certificate||Expiry Date: 23 Apr 2025</t>
  </si>
  <si>
    <t>106121</t>
  </si>
  <si>
    <t>St. John's Medical College, 1992</t>
  </si>
  <si>
    <t>Royal Ottawa Mental Health Centre,Department of Psychiatry,1145 Carling Avenue,Ottawa ON  K1Z 7K4</t>
  </si>
  <si>
    <t>Nova Scotia
United Kingdom</t>
  </si>
  <si>
    <t>First certificate of registration issued: Restricted certificate||Effective:   01 Jun 2015
Terms and conditions imposed on certificate by Registration Committee||Effective:   01 Jun 2015
Expiry date attached to certificate of registration.||Expiry Date: 31 May 2018
Expired: Terms and conditions imposed on certificate by Registration Committee||Effective:   01 Aug 2017
Subsequent certificate of registration Issued: Independent Practice Certificate||Effective:   01 Aug 2017</t>
  </si>
  <si>
    <t>N.S. Rao Medicine Professional Corporation</t>
  </si>
  <si>
    <t>Issued Date:  Apr 01 2016</t>
  </si>
  <si>
    <t>Dr. N. Rao (CPSO# 106121)</t>
  </si>
  <si>
    <t>51759</t>
  </si>
  <si>
    <t xml:space="preserve">Active Member as of 01 Aug 1998 </t>
  </si>
  <si>
    <t>English, French, Urdu</t>
  </si>
  <si>
    <t>Punjab University, Pakistan, 1972</t>
  </si>
  <si>
    <t>Department of Psychiatry,Hotel Dieu Hospital,166 Brock Street,Kingston ON  K7L 5G2</t>
  </si>
  <si>
    <t>(613) 544-3310 Ext. 3510</t>
  </si>
  <si>
    <t>University of Ottawa, 01 Jul 1981  to 30 Jun 1982|Resident 3 - Psychiatry
University of Ottawa, 01 Jul 1982  to 30 Jun 1983|Resident 4 - Psychiatry
University of Ottawa, 15 Sep 1983  to 30 Jun 1984|Resident 4 - Psychiatry</t>
  </si>
  <si>
    <t>First certificate of registration issued: Postgraduate Education Certificate||Effective:   09 Jul 1981
Transfer of class of registration to: Hospital Practice Certificate||Effective:   23 Jan 1984
Expired: Terms and conditions of certificate of registration||Expiry:      30 Apr 1992
Subsequent certificate of registration Issued: Academic Practice Certificate||Effective:   01 Aug 1998
Transfer of class of registration to: Independent Practice Certificate||Effective:   27 Jul 2004</t>
  </si>
  <si>
    <t>Nasreen Roberts Medicine Professional Corporation</t>
  </si>
  <si>
    <t>Issued Date:  Oct 08 2014</t>
  </si>
  <si>
    <t>Dr. N. Roberts (CPSO# 51759)</t>
  </si>
  <si>
    <t>Hotel Dieu Hospital,Department of Psychiatry,166 Brock Street,Kingston ON  K7L 5G2,(613) 544-3310
Kingston General Hospital,Kingston General Hospital,76 Stuart Street,Kingston ON  K7L 2V7,(613) 549-6666
Children's Mental Health Services,Children's Mental Health Services,300 - 3 Applewood Drive,Belleville ON  K3P 4E3,(613) 966-3100</t>
  </si>
  <si>
    <t>111532</t>
  </si>
  <si>
    <t>UNIVERSITE D'ALGER, 1993</t>
  </si>
  <si>
    <t>Hopital Montfort,713 Montreal Rd,Ottawa ON  K1K 0T2</t>
  </si>
  <si>
    <t>University of Ottawa, 10 Apr 2017  to 30 Jun 2017|Elective Trainee - Psychiatry</t>
  </si>
  <si>
    <t>First certificate of registration issued: Postgraduate Education Certificate||Effective:   10 Apr 2017
Expired: Terms and conditions of certificate of registration||Expiry:      30 Jun 2017
Subsequent certificate of registration Issued: Independent Practice Certificate||Effective:   30 Jun 2018</t>
  </si>
  <si>
    <t>84568</t>
  </si>
  <si>
    <t>Sochocky, Natalie Irene (used until: 31 May 2012 )</t>
  </si>
  <si>
    <t>McGill University, 2006</t>
  </si>
  <si>
    <t>416-469-6580 Ext. 6304</t>
  </si>
  <si>
    <t>416-469-6805</t>
  </si>
  <si>
    <t>University of Ottawa, 01 Jul 2006  to 30 Jun 2007|PostGrad Yr 1 - Psychiatry
University of Ottawa, 01 Jul 2007  to 30 Jun 2008|PostGrad Yr 2 - Psychiatry
University of Ottawa, 01 Jul 2008  to 30 Jun 2009|PostGrad Yr 3 - Psychiatry
University of Ottawa, 01 Jul 2009  to 30 Jun 2010|PostGrad Yr 4 - Psychiatry
University of Ottawa, 01 Jul 2010  to 30 Jun 2011|PostGrad Yr 5 - Psychiatry
University of Ottawa, 01 Jul 2011  to 26 Sep 2011|Clinical Fellow - Psychiatry</t>
  </si>
  <si>
    <t>Dr. Natalie Erdmann Medicine Professional Corporation</t>
  </si>
  <si>
    <t>Issued Date:  Nov 05 2014</t>
  </si>
  <si>
    <t>Dr. N. Erdmann (CPSO# 84568)</t>
  </si>
  <si>
    <t>Toronto East General Hospital,Department of Psychiatry,825 Coxwell Avenue,Toronto ON  M4C 3E7,(416) 469-6580</t>
  </si>
  <si>
    <t>95795</t>
  </si>
  <si>
    <t>McMaster University,Student Wellness Centre,MUSC, Room B101,1280 Main Street West,Hamilton ON  L8S 4S4</t>
  </si>
  <si>
    <t>(905) 525-9140 Ext. 27700</t>
  </si>
  <si>
    <t>University of Toronto,Koffler Student Services Centre,214 College St, 1st Floor,Toronto ON  M5T 2Z9,Canada,Phone:(416) 978-8030,County:City of Toronto,Electoral District:10</t>
  </si>
  <si>
    <t>Natasha Snelgrove Medicine Professional Corporation</t>
  </si>
  <si>
    <t>Issued Date:  Apr 18 2016</t>
  </si>
  <si>
    <t>Dr. N. Snelgrove (CPSO# 95795)</t>
  </si>
  <si>
    <t>University of Toronto,Koffler Student Service Centre,214 College Street, 1st Floor,Toronto ON  M5T 2Z9,(416) 978-8030
McMaster University Student Wellness Centre,McMaster University Student Wellness Centre,Student Centre, Room B101,1280 Main Street West,Hamilton ON  L8S 4S4,(905) 525-9140</t>
  </si>
  <si>
    <t>115729</t>
  </si>
  <si>
    <t xml:space="preserve">Active Member as of 13 Jun 2018 </t>
  </si>
  <si>
    <t xml:space="preserve">Independent Practice as of 13 Jun 2018 </t>
  </si>
  <si>
    <t>The University of British Columbia, 2009</t>
  </si>
  <si>
    <t>Kingston General Hospital,Department of Psychiatry Burr 4,76 Stuart St,Kingston ON  K7L 2V7</t>
  </si>
  <si>
    <t>First certificate of registration issued: Independent Practice Certificate||Effective:   13 Jun 2018</t>
  </si>
  <si>
    <t>79705</t>
  </si>
  <si>
    <t xml:space="preserve">Active Member as of 25 Jun 2003 </t>
  </si>
  <si>
    <t xml:space="preserve">Independent Practice as of 25 Jun 2003 </t>
  </si>
  <si>
    <t>Cleghorn Early Intervention Clinic,,Level 0, SJHH, W5th campus,100 West 5th Street,Hamilton ON  L8N 3K7</t>
  </si>
  <si>
    <t>(905) 522-1155 Ext. 36586</t>
  </si>
  <si>
    <t>(905) 525-2805</t>
  </si>
  <si>
    <t>Psychiatry||Effective: 03 Jun 2003||RCPSC Specialist</t>
  </si>
  <si>
    <t>University of Toronto, 01 Jul 2003  to 30 Jun 2004|Clinical Fellow - Psychiatry
University of Toronto, 01 Jul 2004  to 30 Jun 2005|Clinical Fellow - Psychiatry
University of Toronto, 01 Jul 2005  to 30 Jun 2006|Clinical Fellow - Psychiatry</t>
  </si>
  <si>
    <t>First certificate of registration issued: Independent Practice Certificate||Effective:   25 Jun 2003</t>
  </si>
  <si>
    <t>97584</t>
  </si>
  <si>
    <t>Waypoint Centre for Mental Health,500 Church Street,Penetang ON  L9M 1G3</t>
  </si>
  <si>
    <t>705-549-3181</t>
  </si>
  <si>
    <t>Royal Victoria Regional Health Cent,201 Georgian Drive,Barrie ON  L4M 6M2,Canada,County:County of Simcoe,Electoral District:05</t>
  </si>
  <si>
    <t>Royal Victoria Regional Health Centre:Barrie
Waypoint Centre for Mental Health Care:Penetanguishene</t>
  </si>
  <si>
    <t>University of Toronto, 01 Jul 2012  to 30 Jun 2013|PostGrad Yr 1 - Psychiatry
McMaster University, 01 Jul 2013  to 30 Jun 2014|PostGrad Yr 2 - Psychiatry
McMaster University, 01 Jul 2014  to 30 Jun 2015|PostGrad Yr 3 - Psychiatry
McMaster University, 01 Jul 2015  to 30 Jun 2016|PostGrad Yr 4 - Psychiatry
McMaster University, 01 Jul 2016  to 30 Jun 2017|PostGrad Yr 5 - Psychiatry</t>
  </si>
  <si>
    <t>First certificate of registration issued: Postgraduate Education Certificate||Effective:   01 Jul 2012
Expired: Terms and conditions of certificate of registration||Expiry:      01 Jan 2015
Subsequent certificate of registration issued: Restricted certificate||Effective:   01 Jan 2015
Terms and conditions amended by Registration Committee||Effective:   15 May 2015
Terms and conditions amended by Registration Committee||Effective:   26 May 2016
Expired: Terms and conditions imposed on certificate by Registration Committee||Effective:   30 Jun 2017
Subsequent certificate of registration Issued: Independent Practice Certificate||Effective:   30 Jun 2017</t>
  </si>
  <si>
    <t>56001</t>
  </si>
  <si>
    <t xml:space="preserve">Active Member as of 21 Jun 1985 </t>
  </si>
  <si>
    <t xml:space="preserve">Independent Practice as of 21 Jun 1985 </t>
  </si>
  <si>
    <t>(416) 363-3751 Ext. 2021</t>
  </si>
  <si>
    <t>First certificate of registration issued: Independent Practice Certificate||Effective:   21 Jun 1985</t>
  </si>
  <si>
    <t>N. Scharf Medicine Professional Corporation</t>
  </si>
  <si>
    <t>Issued Date:  Feb 19 2004</t>
  </si>
  <si>
    <t>Dr. N. Scharf (CPSO# 56001)</t>
  </si>
  <si>
    <t>52918</t>
  </si>
  <si>
    <t xml:space="preserve">Independent Practice as of 08 Aug 1984 </t>
  </si>
  <si>
    <t>Sunnybrook Health Sciences Centre,2075 Bayview Avenue,Suite FG19,Toronto ON  M4N 3M5</t>
  </si>
  <si>
    <t>(416) 480-6133</t>
  </si>
  <si>
    <t>First certificate of registration issued: Postgraduate Education Certificate||Effective:   13 Jun 1983
Transfer of class of registration to: Independent Practice Certificate||Effective:   08 Aug 1984</t>
  </si>
  <si>
    <t>Dr. Nathan Herrmann Medicine Professional Corporation</t>
  </si>
  <si>
    <t>Dr. N. Herrmann (CPSO# 52918)</t>
  </si>
  <si>
    <t>Sunnybrook Health Sciences Centre,2075 Bayview Avenue,Suite FG19,Department of Psychiatry,Toronto ON  M4N 3M5,(416) 480-6133</t>
  </si>
  <si>
    <t>83055</t>
  </si>
  <si>
    <t xml:space="preserve">Active Member as of 10 Sep 2010 </t>
  </si>
  <si>
    <t xml:space="preserve">Independent Practice as of 10 Sep 2010 </t>
  </si>
  <si>
    <t>CAMH,Research Imaging Centre,Room 626,250 College Street,Toronto ON  M5T 1R8</t>
  </si>
  <si>
    <t>(416) 535-8501 Ext. 34248</t>
  </si>
  <si>
    <t>Psychiatry||Effective: 30 Jun 2010||RCPSC Specialist
Forensic Psychiatry||Effective: 26 Sep 2013||RCPSC Specialist</t>
  </si>
  <si>
    <t>University of Toronto, 01 Jul 2005  to 30 Jun 2006|PostGrad Yr 1 - Psychiatry
University of Toronto, 01 Jul 2006  to 30 Jun 2007|PostGrad Yr 2 - Psychiatry
University of Toronto, 01 Jul 2007  to 30 Jun 2008|PostGrad Yr 3 - Psychiatry
University of Toronto, 01 Jul 2008  to 30 Jun 2009|PostGrad Yr 4 - Psychiatry
University of Toronto, 01 Jul 2009  to 30 Jun 2010|PostGrad Yr 5 - Psychiatry
University of Toronto, 01 Jul 2011  to 30 Jun 2012|Clinical Fellow - Psychiatry
University of Toronto, 01 Jul 2012  to 30 Jun 2013|Clinical Fellow - Psychiatry
University of Toronto, 01 Jul 2013  to 30 Jun 2014|Clinical Fellow - Psychiatry</t>
  </si>
  <si>
    <t>First certificate of registration issued: Postgraduate Education Certificate||Effective:   01 Jul 2005
Expired: Terms and conditions of certificate of registration||Expiry:      30 Jun 2010
Subsequent certificate of registration Issued: Independent Practice Certificate||Effective:   10 Sep 2010</t>
  </si>
  <si>
    <t>N. Kolla Medicine Professional Corporation</t>
  </si>
  <si>
    <t>Issued Date:  Dec 05 2016</t>
  </si>
  <si>
    <t>Dr. N. Kolla (CPSO# 83055)</t>
  </si>
  <si>
    <t>CAMH,Research Imaging Centre,Suite 436,250 College Street,Toronto ON  M5T 1R8,(416) 535-8501</t>
  </si>
  <si>
    <t>95982</t>
  </si>
  <si>
    <t>St Joseph's Health Centre,Department of Psychiatry,30 the Queensway,Toronto ON  M6R 1B5</t>
  </si>
  <si>
    <t>(416) 530-6000 Ext. 3680</t>
  </si>
  <si>
    <t>416-530-6076</t>
  </si>
  <si>
    <t>Psychiatry||Effective: 15 Jul 2016||RCPSC Specialist</t>
  </si>
  <si>
    <t>University of Toronto, 01 Jul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Psychiatry
University of Toronto, 01 Jul 2016  to 15 Jul 2016|PostGrad Yr 5 - Psychiatry</t>
  </si>
  <si>
    <t>First certificate of registration issued: Postgraduate Education Certificate||Effective:   01 Jul 2011
Transfer of class of registration to: Independent Practice Certificate||Effective:   15 Jul 2016</t>
  </si>
  <si>
    <t>Charach Medicine Professional Corporation</t>
  </si>
  <si>
    <t>Issued Date:  Sep 08 2016</t>
  </si>
  <si>
    <t>Dr. N. Charach (CPSO# 95982)</t>
  </si>
  <si>
    <t>St Joseph's Healthcare,Department of Psychiatry,30 The Queensway,Toronto ON  M6R 1B5,(416) 530-6000</t>
  </si>
  <si>
    <t>82383</t>
  </si>
  <si>
    <t xml:space="preserve">Active Member as of 13 May 2005 </t>
  </si>
  <si>
    <t xml:space="preserve">Independent Practice as of 13 May 2005 </t>
  </si>
  <si>
    <t>Psychiatry||Effective: 11 Jun 2002||RCPSC Specialist</t>
  </si>
  <si>
    <t>First certificate of registration issued: Independent Practice Certificate||Effective:   13 May 2005</t>
  </si>
  <si>
    <t>Dr. Naushad Noorani Medicine Professional Corporation</t>
  </si>
  <si>
    <t>Issued Date:  May 01 2006</t>
  </si>
  <si>
    <t>Dr. N. Noorani (CPSO# 82383)</t>
  </si>
  <si>
    <t>William Osler Health Centre,Brampton Civic Hospital,2100 Bovaird Drive East,Brampton ON  L6R 3J7,(905) 494-2120</t>
  </si>
  <si>
    <t>62889</t>
  </si>
  <si>
    <t xml:space="preserve">Active Member as of 12 Jul 1990 </t>
  </si>
  <si>
    <t>Bangalore University, 1975</t>
  </si>
  <si>
    <t>Credit Valley Professional Building,Suite 413,2300 Eglinton Avenue West,Mississauga ON  L5M 2V8</t>
  </si>
  <si>
    <t>(905) 607-4907</t>
  </si>
  <si>
    <t>(905) 607-4611</t>
  </si>
  <si>
    <t>Credit Valley Hospital,2200 Eglinton Avenue West,Mississauga ON  L5M 2N1,Canada,Phone:(905) 813-4402,County:Regional Municipality of Peel,Electoral District:05</t>
  </si>
  <si>
    <t>First certificate of registration issued: Independent Practice Certificate||Effective:   12 Jul 1990</t>
  </si>
  <si>
    <t>Naveen Dayal Medicine Professional Corporation</t>
  </si>
  <si>
    <t>Dr. N. Dayal (CPSO# 62889)</t>
  </si>
  <si>
    <t>Credit Valley Professional Corporation,413 - 2300 Eglinton Avenue West,Mississauga ON  L5M 2V8,(905) 607-4907</t>
  </si>
  <si>
    <t>81020</t>
  </si>
  <si>
    <t xml:space="preserve">Active Member as of 21 Jan 2015 </t>
  </si>
  <si>
    <t xml:space="preserve">Independent Practice as of 21 Jan 2015 </t>
  </si>
  <si>
    <t>(905)494-2120 Ext. 58764</t>
  </si>
  <si>
    <t>First certificate of registration issued: Postgraduate Education Certificate||Effective:   01 Jul 2004
Transfer of class of registration to: Independent Practice Certificate||Effective:   30 Jun 2009
Expired: Resigned from membership.||Expiry:      01 Jun 2010
Subsequent certificate of registration Issued: Independent Practice Certificate||Effective:   21 Jan 2015</t>
  </si>
  <si>
    <t>Navin Kaicker Medicine Professional Corporation</t>
  </si>
  <si>
    <t>Dr. N. Kaicker (CPSO# 81020)</t>
  </si>
  <si>
    <t>2100 Bovaird Drive East,Brampton ON  L6R 3J7,(905) 494-2120</t>
  </si>
  <si>
    <t>95224</t>
  </si>
  <si>
    <t xml:space="preserve">Independent Practice as of 16 Dec 2016 </t>
  </si>
  <si>
    <t>University of Tehran, 2006</t>
  </si>
  <si>
    <t>Centre for Addiction And Mental,Health (CAMH),100 Stokes Street,Toronto ON  M6J 1H4</t>
  </si>
  <si>
    <t>(416) 535-8501 Ext. 34255</t>
  </si>
  <si>
    <t>Psychiatry||Effective: 15 Dec 2016||RCPSC Specialist</t>
  </si>
  <si>
    <t>Queen's University, 01 Jul 2011  to 22 Sep 2011|Assessment Verification Period - Psychiatry
Queen's University, 23 Sep 2011  to 30 Jun 2012|PostGrad Yr 1 - Psychiatry
Queen's University, 01 Jul 2012  to 30 Jun 2013|PostGrad Yr 2 - Psychiatry
Queen's University, 01 Jul 2013  to 30 Jun 2014|PostGrad Yr 3 - Psychiatry
Queen's University, 01 Jul 2014  to 15 Dec 2014|PostGrad Yr 3 - Psychiatry
Queen's University, 16 Dec 2014  to 30 Jun 2015|PostGrad Yr 4 - Psychiatry
Queen's University, 01 Jul 2015  to 15 Dec 2015|PostGrad Yr 4 - Psychiatry
Queen's University, 16 Dec 2015  to 30 Jun 2016|PostGrad Yr 5 - Psychiatry
Queen's University, 01 Jul 2016  to 15 Dec 2016|PostGrad Yr 5 - Psychiatry</t>
  </si>
  <si>
    <t>First certificate of registration issued: Pre Entry Assessment Program Certificate||Effective:   01 Jul 2011
Transfer of class of registration to: Postgraduate Education Certificate||Effective:   23 Sep 2011
Transfer of class of registration to: Independent Practice Certificate||Effective:   16 Dec 2016</t>
  </si>
  <si>
    <t>85554</t>
  </si>
  <si>
    <t xml:space="preserve">Active Member as of 07 Sep 2006 </t>
  </si>
  <si>
    <t xml:space="preserve">Restricted as of 07 Sep 2006 </t>
  </si>
  <si>
    <t>Punjab University, Pakistan, 1969</t>
  </si>
  <si>
    <t>Royal Victoria Hospital of Barrie,Department of Psychiatry,201 Georgian Drive,Barrie ON  L4M 6M2</t>
  </si>
  <si>
    <t>7800 Kennedy Road,,Suite 101,Markham ON  L3R 2C7,Canada,Phone:(647) 725-3099,Fax:(905) 470-8121,County:Regional Municipality of York,Electoral District:05
127 Westmore Dr.,Suite 103,Etobicoke ON  M9V 3Y6,Canada,Phone:(416) 749-3933,Fax:(416) 749-3936,County:City of Toronto,Electoral District:10</t>
  </si>
  <si>
    <t>Psychiatry||Effective: 07 Sep 2006||CPSO Recognized Specialist</t>
  </si>
  <si>
    <t>First certificate of registration issued: Restricted certificate||Effective:   07 Sep 2006
Terms and conditions imposed on certificate by Registration Committee||Effective:   07 Sep 2006
Expiry date attached to certificate of registration.||Expiry Date: 06 Mar 2008
Terms and conditions amended by Registration Committee||Effective:   19 Oct 2007
Expiry date removed from certificate of registration.||Effective:   06 Mar 2008</t>
  </si>
  <si>
    <t>Nazir Malik Medicine Professional Corporation</t>
  </si>
  <si>
    <t>Issued Date:  Jan 17 2008</t>
  </si>
  <si>
    <t>Dr. N. Malik (CPSO# 85554)</t>
  </si>
  <si>
    <t>Royal Victoria Hospital,Department of Psychiatry,201 Georgian Drive,Barrie ON  L4M 6M2,(705) 728-9090
Suite 103,Suite 103,127 Westmore Drive,Etobicoke ON  M9V 3Y6,(416) 749-3933
Suite 101,Suite 101,7800 Kennedy Road,Markham ON  L3R 2C7,(647) 725-3099
Suite 4,Suite 4,200 Davis Drive,Newmarket ON  L3Y 2N4,(905) 554-1517</t>
  </si>
  <si>
    <t>108497</t>
  </si>
  <si>
    <t xml:space="preserve">Active Member as of 28 Nov 2016 </t>
  </si>
  <si>
    <t xml:space="preserve">Independent Practice as of 02 Oct 2017 </t>
  </si>
  <si>
    <t>University of Sind, 1989</t>
  </si>
  <si>
    <t>Great Lakes Medical Centre,25-B Great Lakes Drive,Brampton ON  L6R 2S5</t>
  </si>
  <si>
    <t>(905) 494-0302</t>
  </si>
  <si>
    <t>USA - Mississippi</t>
  </si>
  <si>
    <t>Trillium Health Partners,Mississauga Hospital:Mississauga
Trillium Health Partners,The Credit Valley Hospital:Mississauga</t>
  </si>
  <si>
    <t>University of Toronto, 01 Mar 2016  to 31 Mar 2016|Elective Trainee - Psychiatry
University of Toronto, 01 Nov 2016  to 30 Jun 2017|Clinical Fellow - Psychiatry
University of Toronto, 01 Jul 2017  to 30 Oct 2017|Clinical Fellow - Psychiatry</t>
  </si>
  <si>
    <t>First certificate of registration issued: Postgraduate Education Certificate||Effective:   01 Mar 2016
Expired: Terms and conditions of certificate of registration||Expiry:      31 Mar 2016
Subsequent certificate of registration Issued: Postgraduate Education Certificate||Effective:   28 Nov 2016
Transfer of class of registration to: Independent Practice Certificate||Effective:   02 Oct 2017</t>
  </si>
  <si>
    <t>Dr. Nazneen Shakeel Medicine Professional Corporation</t>
  </si>
  <si>
    <t>Issued Date:  Nov 06 2017</t>
  </si>
  <si>
    <t>Dr. N. Shakeel (CPSO# 108497)</t>
  </si>
  <si>
    <t>25-B Great Lakes Drive,Brampton ON  L5R 2S8,(905) 494-0302
2200 Eglinton Avenue West,2200 Eglinton Avenue West,Mississauga ON  L5M 2N1,(905) 813-2200</t>
  </si>
  <si>
    <t>68932</t>
  </si>
  <si>
    <t>Sunnybrook &amp; Women's College,Health Science Centre,2075 Bayview Avenue,FG-62,North York ON  M4N 3M5</t>
  </si>
  <si>
    <t>(416) 480-4208</t>
  </si>
  <si>
    <t>Dr. Neal Westreich Medicine Professional Corporation</t>
  </si>
  <si>
    <t>Issued Date:  Feb 09 2006</t>
  </si>
  <si>
    <t>Dr. N. Westreich (CPSO# 68932)</t>
  </si>
  <si>
    <t>Sunnybrook &amp; Women's College,Health Sciences Centre,FG-60 - 2075 Bayview Avenue,Toronto ON  M4N 3M5,(416) 480-4208</t>
  </si>
  <si>
    <t>113951</t>
  </si>
  <si>
    <t>Isfahan University, 2007</t>
  </si>
  <si>
    <t>St. Joseph's Healthcare Hamilton,Anxiety Treatment &amp; Research Clinic,Level 1, Block B, Room B162,100 West 5th St,Hamilton ON  L8N 3K7</t>
  </si>
  <si>
    <t>(905) 522-1155 Ext. 34964</t>
  </si>
  <si>
    <t>First certificate of registration issued: Independent Practice Certificate||Effective:   25 Sep 2017</t>
  </si>
  <si>
    <t>Neda Abedi-Sohroforouzani Medicine Professional Corporation</t>
  </si>
  <si>
    <t>Issued Date:  Sep 27 2018</t>
  </si>
  <si>
    <t>Dr. N. Abedi-Sohroforouzani (CPSO# 113951)</t>
  </si>
  <si>
    <t>St Joseph Healthcare Hamilton,Anxiety Treatment and Research Clinic,Room B162, West 5th Campus,100 West 5th Street,Hamilton ON  L8N 3K7,(905) 522-1155</t>
  </si>
  <si>
    <t>42500</t>
  </si>
  <si>
    <t xml:space="preserve">Active Member as of 29 Sep 1982 </t>
  </si>
  <si>
    <t xml:space="preserve">Independent Practice as of 19 Oct 1992 </t>
  </si>
  <si>
    <t>Daya, Neena (used until: 14 Jan 2001 )</t>
  </si>
  <si>
    <t>University of Dar Es Salaam, 1976</t>
  </si>
  <si>
    <t>(613) 722-6521 Ext. 6615</t>
  </si>
  <si>
    <t>First certificate of registration issued: Postgraduate Education Certificate||Effective:   01 Jul 1978
Expired: Terms and conditions of certificate of registration||Expiry:      30 Jun 1982
Subsequent certificate of registration Issued: Hospital Practice Certificate||Effective:   29 Sep 1982
Transfer of class of registration to: Independent Practice Certificate||Effective:   19 Oct 1992</t>
  </si>
  <si>
    <t>Bali Medicine Professional Corporation</t>
  </si>
  <si>
    <t>Issued Date:  Jan 25 2007</t>
  </si>
  <si>
    <t>Dr. N. Bali (CPSO# 42500)</t>
  </si>
  <si>
    <t>89464</t>
  </si>
  <si>
    <t xml:space="preserve">Active Member as of 28 Oct 2014 </t>
  </si>
  <si>
    <t xml:space="preserve">Independent Practice as of 28 Oct 2014 </t>
  </si>
  <si>
    <t>Medical University of the Americas, 2008</t>
  </si>
  <si>
    <t>Joseph Brant Hospital,Department of Psychiatry,1182 North Shore Boulevard,Burlington ON  L7S 1C5</t>
  </si>
  <si>
    <t>9056310513</t>
  </si>
  <si>
    <t>Queen's University, 01 Jul 2008  to 22 Sep 2008|Assessment Verification Period - Psychiatry
Queen's University, 23 Sep 2008  to 30 Jun 2009|PostGrad Yr 1 - Psychiatry
Queen's University, 01 Jul 2009  to 30 Jun 2010|PostGrad Yr 2 - Psychiatry
Queen's University, 01 Jul 2010  to 30 Jun 2011|PostGrad Yr 3 - Psychiatry
Queen's University, 01 Jul 2011  to 30 Jun 2012|PostGrad Yr 4 - Psychiatry
Queen's University, 01 Jul 2012  to 30 Jun 2013|PostGrad Yr 5 - Psychiatry</t>
  </si>
  <si>
    <t>First certificate of registration issued: Pre Entry Assessment Program Certificate||Effective:   01 Jul 2008
Transfer of class of registration to: Postgraduate Education Certificate||Effective:   23 Sep 2008
Expired: Terms and conditions of certificate of registration||Expiry:      30 Jun 2013
Subsequent certificate of registration issued: Restricted certificate||Effective:   26 Sep 2013
Expired: Terms and conditions imposed on certificate by Registration Committee||Effective:   28 Oct 2014
Subsequent certificate of registration Issued: Independent Practice Certificate||Effective:   28 Oct 2014</t>
  </si>
  <si>
    <t>Neena J. R. Sadera Medicine Professional Corporation</t>
  </si>
  <si>
    <t>Issued Date:  Jun 30 2015</t>
  </si>
  <si>
    <t>Dr. N. Sadera (CPSO# 89464)</t>
  </si>
  <si>
    <t>104013</t>
  </si>
  <si>
    <t xml:space="preserve">Active Member as of 12 Feb 2018 </t>
  </si>
  <si>
    <t xml:space="preserve">Independent Practice as of 12 Feb 2018 </t>
  </si>
  <si>
    <t>Bangalore Medical College, 2000</t>
  </si>
  <si>
    <t>A wing, Psychiatry,Lakeridge Health,1 Hospital Ct,ON L1G 2B9,Kingston ON  K7L 2V7</t>
  </si>
  <si>
    <t>First certificate of registration issued: Restricted certificate||Effective:   25 Aug 2014
Terms and conditions imposed on certificate by Registration Committee||Effective:   25 Aug 2014
Expiry date attached to certificate of registration.||Expiry Date: 02 Jun 2016
Expired: Terms and conditions imposed on certificate by Registration Committee||Effective:   02 Jan 2016
Subsequent certificate of registration issued: Restricted certificate||Effective:   02 Jan 2017
Expired: Terms and conditions imposed on certificate by Registration Committee||Effective:   12 Feb 2018
Subsequent certificate of registration Issued: Independent Practice Certificate||Effective:   12 Feb 2018</t>
  </si>
  <si>
    <t>Neeraj Bajaj Medicine Professional Corporation</t>
  </si>
  <si>
    <t>Issued Date:  Mar 10 2015</t>
  </si>
  <si>
    <t>Dr. N. Bajaj (CPSO# 104013)</t>
  </si>
  <si>
    <t>A Wing Psychiatry,Lakeridge Health,1 Hospital Court,Oshawa ON  L1G 2B9,(905) 576-8711</t>
  </si>
  <si>
    <t>102857</t>
  </si>
  <si>
    <t xml:space="preserve">Active Member as of 09 Oct 2015 </t>
  </si>
  <si>
    <t xml:space="preserve">Independent Practice as of 09 Oct 2015 </t>
  </si>
  <si>
    <t>Ross University, 2006</t>
  </si>
  <si>
    <t>Niagara Health System,St. Catharines General Site,Mental Health &amp; Addictions,1200 Fourth Avenue,St Catharines ON  L2S 0A9</t>
  </si>
  <si>
    <t>(905) 378-4647 Ext. 46573</t>
  </si>
  <si>
    <t>905-704-4406</t>
  </si>
  <si>
    <t>Psychiatry||Effective: 14 May 2014||RCPSC Specialist
Child and Adolescent Psychiatry||Effective: 26 Sep 2017||RCPSC Specialist</t>
  </si>
  <si>
    <t>First certificate of registration issued: Restricted certificate||Effective:   02 May 2014
Terms and conditions imposed on certificate by Registration Committee||Effective:   02 May 2014
Expiry date attached to certificate of registration.||Expiry Date: 01 Nov 2015
Expired: Terms and conditions imposed on certificate by Registration Committee||Effective:   09 Oct 2015
Subsequent certificate of registration Issued: Independent Practice Certificate||Effective:   09 Oct 2015</t>
  </si>
  <si>
    <t>Dr. N. K. Shukla Medicine Professional Corporation</t>
  </si>
  <si>
    <t>Issued Date:  Dec 11 2014</t>
  </si>
  <si>
    <t>Dr. N. Shukla (CPSO# 102857)</t>
  </si>
  <si>
    <t>Niagara Health System,Department of Psychiatry,1200 Fourth Avenue,St Catharines ON  L2S 0A9,(905) 378-4647</t>
  </si>
  <si>
    <t>81305</t>
  </si>
  <si>
    <t xml:space="preserve">Active Member as of 24 Jun 2004 </t>
  </si>
  <si>
    <t xml:space="preserve">Independent Practice as of 24 Jun 2004 </t>
  </si>
  <si>
    <t>The University of Manitoba, 1990</t>
  </si>
  <si>
    <t>(613) 721-4700 Ext. 3991</t>
  </si>
  <si>
    <t>First certificate of registration issued: Independent Practice Certificate||Effective:   24 Jun 2004</t>
  </si>
  <si>
    <t>Neil Kraitberg Medicine Professional Corporation</t>
  </si>
  <si>
    <t>Issued Date:  Jul 11 2008</t>
  </si>
  <si>
    <t>Dr. N. Kraitberg (CPSO# 81305)</t>
  </si>
  <si>
    <t>3045 Baseline Road,Nepean ON  K2H 8P4,(613) 721-4700</t>
  </si>
  <si>
    <t>57092</t>
  </si>
  <si>
    <t xml:space="preserve">Independent Practice as of 14 Sep 1987 </t>
  </si>
  <si>
    <t>The University of Western Ontario, 1986</t>
  </si>
  <si>
    <t>Suite 301,343 Wilson Avenue,Toronto ON  M3H 1T1</t>
  </si>
  <si>
    <t>(416) 515-7741</t>
  </si>
  <si>
    <t>(416) 515-0241</t>
  </si>
  <si>
    <t>First certificate of registration issued: Postgraduate Education Certificate||Effective:   16 Jun 1986
Transfer of class of registration to: Independent Practice Certificate||Effective:   14 Sep 1987</t>
  </si>
  <si>
    <t>51885</t>
  </si>
  <si>
    <t xml:space="preserve">Active Member as of 02 May 1978 </t>
  </si>
  <si>
    <t>University of Buenos Aires, 1973</t>
  </si>
  <si>
    <t>Suite 105,4 Director Court,Vaughan ON  L4L 3Z5</t>
  </si>
  <si>
    <t>(416) 633-8124</t>
  </si>
  <si>
    <t>(416) 633-1570</t>
  </si>
  <si>
    <t>82 Buttonwood Avenue,Toronto ON  M6M 2J5,Canada,Phone:(416) 243-3612,County:City of Toronto,Electoral District:10
Suite 105,4 Lansing Square,Toronto ON  M6M 1S5,Canada,Phone:(416) 490-6464,County:City of Toronto,Electoral District:10</t>
  </si>
  <si>
    <t>First certificate of registration issued: Postgraduate Education Certificate||Effective:   02 May 1978
Transfer of class of registration to: Independent Practice Certificate||Effective:   20 Dec 1985</t>
  </si>
  <si>
    <t>Zielinsky Medicine Professional Corporation</t>
  </si>
  <si>
    <t>Issued Date:  Mar 23 2009</t>
  </si>
  <si>
    <t>Dr. N. Zielinsky (CPSO# 51885)</t>
  </si>
  <si>
    <t>4 Director Court,Suite 105,Vaughan ON  L4L 3Z5,(416) 633-8124
3760 14th Avenue,3760 14th Avenue,Suite 201,Markham ON  L3R 3T7,(416) 609-3211
85 Buttonwood Avenue,85 Buttonwood Avenue,Toronto ON  M6M 2J5,(416) 243-3612</t>
  </si>
  <si>
    <t>89656</t>
  </si>
  <si>
    <t xml:space="preserve">Active Member as of 22 Jul 2008 </t>
  </si>
  <si>
    <t xml:space="preserve">Independent Practice as of 22 Jul 2008 </t>
  </si>
  <si>
    <t>Medical University Sofia, 2001</t>
  </si>
  <si>
    <t>CPRI Primary Site,600 Sanatorium Road,London ON  N6H 3W7</t>
  </si>
  <si>
    <t>(519) 858-2774 Ext. 2352</t>
  </si>
  <si>
    <t>(519) 858-1917</t>
  </si>
  <si>
    <t>Psychiatry||Effective: 30 Jun 2008||RCPSC Specialist
Child and Adolescent Psychiatry||Effective: 21 Sep 2015||RCPSC Specialist</t>
  </si>
  <si>
    <t>First certificate of registration issued: Independent Practice Certificate||Effective:   22 Jul 2008</t>
  </si>
  <si>
    <t>57182</t>
  </si>
  <si>
    <t xml:space="preserve">Active Member as of 28 Oct 1988 </t>
  </si>
  <si>
    <t xml:space="preserve">Independent Practice as of 28 Oct 1988 </t>
  </si>
  <si>
    <t>Armenian, English, Spanish</t>
  </si>
  <si>
    <t>(416) 363-3751 Ext. 4201</t>
  </si>
  <si>
    <t>32 Zahavy Drive,Thornhill ON  L4J 7R6,Canada,Phone:(905) 669-1722,County:Regional Municipality of York,Electoral District:05</t>
  </si>
  <si>
    <t>North York General Hospital,Branson Hospital Site:Toronto</t>
  </si>
  <si>
    <t>University of Toronto, 01 Jul 1995  to 30 Jun 1996|Resident 4 - Psychiatry</t>
  </si>
  <si>
    <t>First certificate of registration issued: Postgraduate Education Certificate||Effective:   01 Jul 1986
Expired: Terms and conditions of certificate of registration||Expiry:      13 Jun 1988
Subsequent certificate of registration Issued: Independent Practice Certificate||Effective:   28 Oct 1988</t>
  </si>
  <si>
    <t>113531</t>
  </si>
  <si>
    <t xml:space="preserve">Restricted as of 18 Jul 2017 </t>
  </si>
  <si>
    <t>Grey Bruce Health Services,Department of Psychiatry,1800 8th Street East,Owen Sound ON  N4K 6M9</t>
  </si>
  <si>
    <t>5193762121 Ext. 2874</t>
  </si>
  <si>
    <t>First certificate of registration issued: Restricted certificate||Effective:   18 Jul 2017
Terms and conditions imposed on certificate by Registration Committee||Effective:   18 Jul 2017
Expiry date attached to certificate of registration.||Expiry Date: 17 Jan 2019</t>
  </si>
  <si>
    <t>N. O. Ugwu Medicine Professional Corporation</t>
  </si>
  <si>
    <t>Dr. N. Ugwu (CPSO# 113531)</t>
  </si>
  <si>
    <t>Grey Bruce Health Services,Department of Psychiatry,1800 8th Street East,Owen Sound ON  N4K 6M9,(519) 376-2121</t>
  </si>
  <si>
    <t>100926</t>
  </si>
  <si>
    <t>763 - 250 College St,Toronto ON  M5T 1R8</t>
  </si>
  <si>
    <t>31316</t>
  </si>
  <si>
    <t xml:space="preserve">Active Member as of 24 Jan 1980 </t>
  </si>
  <si>
    <t xml:space="preserve">Independent Practice as of 24 Jan 1980 </t>
  </si>
  <si>
    <t>Queen's University, 1975</t>
  </si>
  <si>
    <t>(613) 544-3310</t>
  </si>
  <si>
    <t>First certificate of registration issued: Postgraduate Education Certificate||Effective:   01 Jul 1975
Transfer of class of registration to: Hospital Practice Certificate||Effective:   01 Aug 1979
Transfer of class of registration to: Independent Practice Certificate||Effective:   24 Jan 1980</t>
  </si>
  <si>
    <t>Delva Medicine Professional Corporation</t>
  </si>
  <si>
    <t>Issued Date:  Jul 04 2012</t>
  </si>
  <si>
    <t>Dr. M. Delva (CPSO# 31100),Dr. N. Delva (CPSO# 31316)</t>
  </si>
  <si>
    <t>Bruyere Family Medicine Centre,75 Bruyere Street,Ottawa ON  K1N 5C7,(613) 241-3344
Hotel Dieu Hospital,Hotel Dieu Hospital,166 Brock Street,Kingston ON  K7L 5G2,(613) 544-3310</t>
  </si>
  <si>
    <t>50890</t>
  </si>
  <si>
    <t xml:space="preserve">Independent Practice as of 31 Oct 1983 </t>
  </si>
  <si>
    <t>Department of Psychiatry,Room B358,St. Joseph's Healthcare,100 West 5th Street,Hamilton ON  L8N 3K7</t>
  </si>
  <si>
    <t>(905) 522-1155 Ext. 36291</t>
  </si>
  <si>
    <t>East Region Mental Health Services,St Josephs Healthcare,2757 King Street East,Hamilton ON  L8G 5E4,Canada,Phone:(905) 573-4801,Fax:905 573 4802,County:Regional Municipality of Hamilton-Wentworth,Electoral District:04</t>
  </si>
  <si>
    <t>Hamilton Health Sciences Centre McMaster &amp; Childrens Hosp,McMaster &amp; Children's Hospital:Hamilton
Hamilton Health Sciences,General Site:Hamilton
St Joseph's Centre for Mountain Health Services:Hamilton
St Joseph's Healthcare System,Hamilton:Hamilton</t>
  </si>
  <si>
    <t>First certificate of registration issued: Postgraduate Education Certificate||Effective:   01 Jul 1978
Transfer of class of registration to: Independent Practice Certificate||Effective:   31 Oct 1983</t>
  </si>
  <si>
    <t>Nicholas Kates Medicine Professional Corporation</t>
  </si>
  <si>
    <t>Issued Date:  Nov 18 2013</t>
  </si>
  <si>
    <t>Dr. N. Kates (CPSO# 50890)</t>
  </si>
  <si>
    <t>St. Joseph's Healthcare,Department of Psychiatry,Room B358,100 West 5th Street,Hamilton ON  L8N 3K7,(905) 522-1155</t>
  </si>
  <si>
    <t>74813</t>
  </si>
  <si>
    <t>Department of Psychiatry,The Hospital for Sick Children,555 University Avenue,Toronto ON  M5G 1X8</t>
  </si>
  <si>
    <t>(416) 813-5760</t>
  </si>
  <si>
    <t>74459</t>
  </si>
  <si>
    <t xml:space="preserve">Active Member as of 23 Jan 2002 </t>
  </si>
  <si>
    <t xml:space="preserve">Independent Practice as of 23 Jan 2002 </t>
  </si>
  <si>
    <t>Dutch, English, French, German, Spanish</t>
  </si>
  <si>
    <t>Erasmus University, 1988</t>
  </si>
  <si>
    <t>Baycrest Centre for Geriatric Care,Department of Psychiatry,Kimel Family Building, Room 660,3560 Bathurst Street,Toronto ON  M6A 2E1</t>
  </si>
  <si>
    <t>(416) 785-2500 Ext. 3358</t>
  </si>
  <si>
    <t>Psychiatry||Effective: 16 Nov 2000||RCPSC Specialist
Geriatric Psychiatry||Effective: 21 Sep 2015||RCPSC Specialist</t>
  </si>
  <si>
    <t>University of Toronto, 14 Sep 1999  to 30 Jun 2000|Clinical Fellow - Psychiatry
University of Toronto, 01 Jul 2000  to 30 Jun 2001|Clinical Fellow - Psychiatry
University of Toronto, 01 Jul 2001  to 05 Jan 2002|Clinical Fellow - Psychiatry</t>
  </si>
  <si>
    <t>First certificate of registration issued: Postgraduate Education Certificate||Effective:   06 Jan 2000
Expired: Terms and conditions of certificate of registration||Expiry:      05 Jan 2002
Subsequent certificate of registration Issued: Independent Practice Certificate||Effective:   23 Jan 2002</t>
  </si>
  <si>
    <t>88821</t>
  </si>
  <si>
    <t>Women's College Hospital,7th Floor, Women's Mental Health,76 Grenville Street,Toronto ON  M5S 1B1</t>
  </si>
  <si>
    <t>(416) 323-6400 Ext. 4049</t>
  </si>
  <si>
    <t>Springboard Clinic,Suite 301, 1055 Yonge Street,Toronto ON  M4W 2L2,Canada,Phone:416-901-3077,County:City of Toronto,Electoral District:10</t>
  </si>
  <si>
    <t>First certificate of registration issued: Postgraduate Education Certificate||Effective:   01 Jul 2008
Expired: Terms and conditions of certificate of registration||Expiry:      27 Oct 2011
Subsequent certificate of registration issued: Restricted certificate||Effective:   27 Oct 2011
Expired: Terms and conditions imposed on certificate by Registration Committee||Effective:   30 Jun 2012
Subsequent certificate of registration Issued: Postgraduate Education Certificate||Effective:   01 Jul 2012
Expired: Terms and conditions of certificate of registration||Expiry:      17 Jul 2012
Subsequent certificate of registration issued: Restricted certificate||Effective:   17 Jul 2012
Expired: Terms and conditions of certificate of registration||Expiry:      30 Jun 2013
Subsequent certificate of registration Issued: Independent Practice Certificate||Effective:   30 Jun 2013</t>
  </si>
  <si>
    <t>93260</t>
  </si>
  <si>
    <t xml:space="preserve">Independent Practice as of 24 Feb 2016 </t>
  </si>
  <si>
    <t>Centre for Addiction&amp; Mental Health,250 College Street,Toronto ON  M5T 1R8</t>
  </si>
  <si>
    <t>416-979-6882</t>
  </si>
  <si>
    <t>University of Ottawa, 01 Jul 2010  to 30 Jun 2011|PostGrad Yr 1 - Psychiatry
University of Ottawa, 01 Jul 2011  to 30 Jun 2012|PostGrad Yr 2 - Psychiatry
University of Ottawa, 01 Jul 2012  to 30 Jun 2013|PostGrad Yr 3 - Psychiatry
University of Ottawa, 01 Jul 2013  to 30 Jun 2014|PostGrad Yr 4 - Psychiatry
University of Ottawa, 01 Jul 2014  to 30 Jun 2015|PostGrad Yr 5 - Psychiatry
University of Ottawa, 01 Jul 2015  to 30 Jun 2016|PostGrad Yr 6 - Child and Adolescent Psychiatry</t>
  </si>
  <si>
    <t>First certificate of registration issued: Postgraduate Education Certificate||Effective:   01 Jul 2010
Transfer of class of registration to: Independent Practice Certificate||Effective:   24 Feb 2016</t>
  </si>
  <si>
    <t>Dr. Nicole Davis-Faroque Medicine Professional Corporation</t>
  </si>
  <si>
    <t>Issued Date:  Sep 07 2016</t>
  </si>
  <si>
    <t>Dr. N. Davis-Faroque (CPSO# 93260)</t>
  </si>
  <si>
    <t>91600</t>
  </si>
  <si>
    <t xml:space="preserve">Independent Practice as of 12 Jun 2015 </t>
  </si>
  <si>
    <t>CAMH, 7th floor,250 College Street,Toronto ON  M5T 1R8</t>
  </si>
  <si>
    <t>4165358501</t>
  </si>
  <si>
    <t>4162604197</t>
  </si>
  <si>
    <t>Inner City Health Associates,(c/o St. Michael's Hospital),59 Adelaide St. E. 2nd floor,Toronto, ON  M5C 1K6,Toronto ON  M5C 1K6,Canada,Phone:416-591-4411,Fax:416-640-2072,County:City of Toronto,Electoral District:10</t>
  </si>
  <si>
    <t>Psychiatry||Effective: 31 Dec 2014||RCPSC Specialist
Child and Adolescent Psychiatry||Effective: 31 Dec 2015||RCPSC Specialist</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</si>
  <si>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31 Dec 2013|PostGrad Yr 4 - Psychiatry
University of Toronto, 01 Jan 2014  to 30 Jun 2014|PostGrad Yr 5 - Child and Adolescent Psychiatry
University of Toronto, 01 Jul 2014  to 31 Dec 2014|PostGrad Yr 5 - Paediatric Psychiatry
University of Toronto, 01 Jan 2015  to 30 Jun 2015|PostGrad Yr 6 - Paediatric Psychiatry
University of Toronto, 01 Jul 2015  to 31 Dec 2015|PostGrad Yr 6 - Paediatric Psychiatry</t>
  </si>
  <si>
    <t>First certificate of registration issued: Postgraduate Education Certificate||Effective:   01 Jul 2009
Transfer of class of registration to: Independent Practice Certificate||Effective:   12 Jun 2015</t>
  </si>
  <si>
    <t>87175</t>
  </si>
  <si>
    <t xml:space="preserve">Active Member as of 22 Sep 2008 </t>
  </si>
  <si>
    <t xml:space="preserve">Independent Practice as of 22 Sep 2008 </t>
  </si>
  <si>
    <t>University of Sind, 1982</t>
  </si>
  <si>
    <t>Rouge Valley Hospital,Shoniker Clinic,2877A Ellesmere Road,Scarborough ON  M1E 4C1</t>
  </si>
  <si>
    <t>(416) 281-7301 Ext. 0</t>
  </si>
  <si>
    <t>4162817465</t>
  </si>
  <si>
    <t>First certificate of registration issued: Restricted certificate||Effective:   27 Jun 2007
Terms and conditions imposed on certificate by Registration Committee||Effective:   27 Jun 2007
Expiry date attached to certificate of registration.||Expiry Date: 26 Jun 2010
Expired: Terms and conditions imposed on certificate by Registration Committee||Effective:   22 Sep 2008
Subsequent certificate of registration Issued: Independent Practice Certificate||Effective:   22 Sep 2008</t>
  </si>
  <si>
    <t>Nighat Parveen Medicine Professional Corporation</t>
  </si>
  <si>
    <t>Issued Date:  Jul 17 2013</t>
  </si>
  <si>
    <t>Dr. N. Parveen (CPSO# 87175)</t>
  </si>
  <si>
    <t>Shoniker Clinic,2877A Ellesmere Road,Scarborough ON  M1E 4C1</t>
  </si>
  <si>
    <t>84659</t>
  </si>
  <si>
    <t xml:space="preserve">Active Member as of 27 Jul 2011 </t>
  </si>
  <si>
    <t xml:space="preserve">Independent Practice as of 27 Jul 2011 </t>
  </si>
  <si>
    <t>Sunnybrook Health Sciences Centre,Department of Psychiatry,F Wing,2075 Bayview Avenue,Toronto ON  M4N 3M5</t>
  </si>
  <si>
    <t>(416) 480-6100 Ext. 4693</t>
  </si>
  <si>
    <t>First certificate of registration issued: Postgraduate Education Certificate||Effective:   01 Jul 2006
Expired: Terms and conditions of certificate of registration||Expiry:      30 Jun 2011
Subsequent certificate of registration Issued: Independent Practice Certificate||Effective:   27 Jul 2011</t>
  </si>
  <si>
    <t>N. Grujich Medicine Professional Corporation</t>
  </si>
  <si>
    <t>Inactive: Sep 14 2018</t>
  </si>
  <si>
    <t>Dr. N. Grujich (CPSO# 84659)</t>
  </si>
  <si>
    <t>Sunnybrook Health Sciences Centre,Department of Psychiatry,2075 Bayview Avenue,Room 30 F Wing,Toronto ON  M4N 3M5,(416) 480-6100</t>
  </si>
  <si>
    <t>100595</t>
  </si>
  <si>
    <t xml:space="preserve">Active Member as of 03 Jun 2013 </t>
  </si>
  <si>
    <t xml:space="preserve">Restricted as of 03 Jun 2013 </t>
  </si>
  <si>
    <t>Med Univ of Varna Dr. Paraskev Stoyanov, 1989</t>
  </si>
  <si>
    <t>VA Tennessee Valley Healthcare Syst,Alvin York Campus,3400 Lebanon Pike,Murfreesboro TN  37129,United States</t>
  </si>
  <si>
    <t>615-225-6708</t>
  </si>
  <si>
    <t>USA - Alaska
USA - Hawaii
USA - Kentucky
USA - Tennessee</t>
  </si>
  <si>
    <t>Psychiatry||Effective: 03 Jun 2013||CPSO Recognized Specialist</t>
  </si>
  <si>
    <t>First certificate of registration issued: Restricted certificate||Effective:   03 Jun 2013
Terms and conditions imposed on certificate by Registration Committee||Effective:   03 Jun 2013
Expiry date attached to certificate of registration.||Expiry Date: 02 Dec 2014
Terms and conditions amended by Registration Committee||Effective:   11 Sep 2014
Terms and conditions amended by Registration Committee||Effective:   29 May 2015
Terms and conditions amended by Registration Committee||Effective:   09 Jun 2016</t>
  </si>
  <si>
    <t>Horozov Medicine Professional Corporation</t>
  </si>
  <si>
    <t>Inactive: May 25 2017</t>
  </si>
  <si>
    <t>73339</t>
  </si>
  <si>
    <t xml:space="preserve">Active Member as of 29 Apr 1999 </t>
  </si>
  <si>
    <t xml:space="preserve">Independent Practice as of 29 Apr 1999 </t>
  </si>
  <si>
    <t>Baroda University, 1979</t>
  </si>
  <si>
    <t>26 - 1070 Stone Church Rd E,Hamilton ON  L8W 3K8</t>
  </si>
  <si>
    <t>(905) 645-0520</t>
  </si>
  <si>
    <t>(905) 645-0524</t>
  </si>
  <si>
    <t>200 Main St E,Hamilton ON  L8N 1H3,Canada,Phone:(905) 523-4567,Fax:(905) 523-4533,County:Regional Municipality of Hamilton-Wentworth,Electoral District:04</t>
  </si>
  <si>
    <t>First certificate of registration issued: Independent Practice Certificate||Effective:   29 Apr 1999</t>
  </si>
  <si>
    <t>Purohit Medicine Professional Corporation</t>
  </si>
  <si>
    <t>Dr. N. Purohit (CPSO# 73339)</t>
  </si>
  <si>
    <t>Unit 26,1070 Stonechurch Road East,Hamilton ON  L8W 3K8,(905) 645-0520
200 Main Street,200 Main Street,Hamilton ON  L8N 1H3,(905) 523-4567</t>
  </si>
  <si>
    <t>70571</t>
  </si>
  <si>
    <t>University of Alberta, 1996</t>
  </si>
  <si>
    <t>St Thomas Elgin General Hospital,189 Elm Street,St Thomas ON,St Thomas ON  N5R 3C6</t>
  </si>
  <si>
    <t>(519) 631 2020</t>
  </si>
  <si>
    <t>Suite 208,83 Dawson Road,Guelph ON,Guelph ON  N1H 1B1,Canada,Phone:(888) 256-7043,Fax:(888) 261-7116,County:County of Wellington,Electoral District:03
121 Danforth Avenue,Toronto ON,Toronto ON  M4K 1N2,Canada,Phone:647 350 6622,Fax:888 261 7116,County:City of Toronto,Electoral District:10</t>
  </si>
  <si>
    <t>Psychiatry||Effective: 04 Jun 2002||RCPSC Specialist</t>
  </si>
  <si>
    <t>First certificate of registration issued: Postgraduate Education Certificate||Effective:   01 Jul 1996
Expired: Terms and conditions of certificate of registration||Expiry:      30 Jun 2001
Subsequent certificate of registration issued: Restricted certificate||Effective:   25 Jul 2001
Expired: Terms and conditions imposed on certificate by Registration Committee||Effective:   11 Jul 2002
Subsequent certificate of registration Issued: Independent Practice Certificate||Effective:   11 Jul 2002</t>
  </si>
  <si>
    <t>N.L. Desjardins Medicine Professional Corporation</t>
  </si>
  <si>
    <t>Issued Date:  Sep 28 2011</t>
  </si>
  <si>
    <t>Dr. N. Desjardins (CPSO# 70571)</t>
  </si>
  <si>
    <t>St Thomas Elgin General Hospital,189 Elm Street,St Thomas ON  N5R 3C6,(519) 631-2031
208-83 Dawson Road,208-83 Dawson Road,Guelph ON  N1H 1B1,(888) 256-7043
121 Danforth Avenue,121 Danforth Avenue,Toronto ON  M4K 1N2,(647) 350-6622</t>
  </si>
  <si>
    <t>66248</t>
  </si>
  <si>
    <t>Punjab University India, 1985</t>
  </si>
  <si>
    <t>Burnaby Mental Health and Substance,Use Services and Burnaby Hospital,3935 Kincaid Street,Burnaby BC  V5G 2X6</t>
  </si>
  <si>
    <t>(604) 453-1900 Ext. 1922</t>
  </si>
  <si>
    <t>(604) 453-1929</t>
  </si>
  <si>
    <t>64914</t>
  </si>
  <si>
    <t xml:space="preserve">Active Member as of 28 Apr 1992 </t>
  </si>
  <si>
    <t xml:space="preserve">Independent Practice as of 28 Apr 1992 </t>
  </si>
  <si>
    <t>Ontario Shores Centre for,Mental Health Sciences,P O Box 613,700 Gordon Street,Whitby ON  L1N 5S9</t>
  </si>
  <si>
    <t>(905) 668-5881 Ext. 6018</t>
  </si>
  <si>
    <t>First certificate of registration issued: Independent Practice Certificate||Effective:   28 Apr 1992</t>
  </si>
  <si>
    <t>85429</t>
  </si>
  <si>
    <t xml:space="preserve">Active Member as of 01 Nov 2011 </t>
  </si>
  <si>
    <t xml:space="preserve">Independent Practice as of 01 Nov 2011 </t>
  </si>
  <si>
    <t>100 Stokes Street,4th Floor,Toronto ON  M6J 1H4</t>
  </si>
  <si>
    <t>University of Ottawa, 01 Aug 2006  to 23 Oct 2006|Assessment Verification Period - Psychiatry
University of Ottawa, 24 Oct 2006  to 31 Jul 2007|PostGrad Yr 1 - Psychiatry
University of Ottawa, 01 Aug 2007  to 30 Jun 2008|PostGrad Yr 2 - Psychiatry
University of Toronto, 01 Jul 2008  to 31 Jul 2008|PostGrad Yr 2 - Psychiatry
University of Toronto, 01 Aug 2008  to 31 Jul 2009|PostGrad Yr 3 - Psychiatry
University of Toronto, 01 Aug 2009  to 31 Jul 2010|PostGrad Yr 4 - Psychiatry
University of Toronto, 01 Aug 2010  to 30 Jun 2011|PostGrad Yr 5 - Psychiatry</t>
  </si>
  <si>
    <t>First certificate of registration issued: Pre Entry Assessment Program Certificate||Effective:   01 Aug 2006
Transfer of class of registration to: Postgraduate Education Certificate||Effective:   25 Oct 2006
Expired: Terms and conditions of certificate of registration||Expiry:      30 Jun 2011
Subsequent certificate of registration Issued: Independent Practice Certificate||Effective:   01 Nov 2011</t>
  </si>
  <si>
    <t>N. I. Ravindran Medicine Professional Corporation</t>
  </si>
  <si>
    <t>Issued Date:  Jun 19 2012</t>
  </si>
  <si>
    <t>Dr. N. Ravindran (CPSO# 85429)</t>
  </si>
  <si>
    <t>100 Stokes Street,4th Floor,Toronto ON  M6J 1H4,(416) 535-8501</t>
  </si>
  <si>
    <t>93947</t>
  </si>
  <si>
    <t>University of Colombo, 2005</t>
  </si>
  <si>
    <t>Kingston Health Sciences Centre,166, Brock Street,Kingston ON  K7L 5G2</t>
  </si>
  <si>
    <t>(613) 544 3310 Ext. 2538</t>
  </si>
  <si>
    <t>D Wijeratne &amp; N Waidyaratne-Wijeratne Medicine Professional Corporation</t>
  </si>
  <si>
    <t>Issued Date:  Apr 11 2016</t>
  </si>
  <si>
    <t>Dr. D. Wijeratne (CPSO# 93946),Dr. N. Waidyaratne-Wijeratne (CPSO# 93947)</t>
  </si>
  <si>
    <t>Kingston General Hospital,Department of Medicine,76 Stuart Street,Kingston ON  K7L 2V7,(613) 549-6666
Hotel Dieu Hospital,Hotel Dieu Hospital,166 Brock Street,Kingston ON  K7L 5G2,(613) 544-3310</t>
  </si>
  <si>
    <t>76378</t>
  </si>
  <si>
    <t>Staff Psychiatrist,Pembroke Regional Hospital,705 Mackay Street,Pembroke ON  K8A 1G8</t>
  </si>
  <si>
    <t>(613) 732-2811</t>
  </si>
  <si>
    <t>(613) 732-6350</t>
  </si>
  <si>
    <t>Pembroke Regional Hospital:Pembroke</t>
  </si>
  <si>
    <t>Dr. Nishka Vijay Medicine Professional Corporation</t>
  </si>
  <si>
    <t>Issued Date:  Jul 12 2007</t>
  </si>
  <si>
    <t>Dr. N. Vijay (CPSO# 76378)</t>
  </si>
  <si>
    <t>Pembroke Regional Hospital,324 - 705 Mackay Street,Tower C,Pembroke ON  K8A 1G8,(613) 732-2811</t>
  </si>
  <si>
    <t>110654</t>
  </si>
  <si>
    <t xml:space="preserve">Active Member as of 07 Jun 2018 </t>
  </si>
  <si>
    <t xml:space="preserve">Restricted as of 07 Jun 2018 </t>
  </si>
  <si>
    <t>International American University, 2010</t>
  </si>
  <si>
    <t>Centre for Addiction &amp; Mental,Health,Department of Psychiatry,60 White Squirrel Way,Toronto ON  M6J 1H4</t>
  </si>
  <si>
    <t>USA - Kentucky</t>
  </si>
  <si>
    <t>Psychiatry||Effective: 07 Jun 2018||CPSO Recognized Specialist</t>
  </si>
  <si>
    <t>University of Toronto, 01 Jul 2016  to 15 Sep 2016|PEAP - Clinical Fellow - Psychiatry
University of Toronto, 16 Sep 2016  to 30 Jun 2017|Clinical Fellow - Psychiatry
University of Toronto, 01 Jul 2017  to 31 Jan 2018|Clinical Fellow - Psychiatry
University of Toronto, 01 Feb 2018  to 07 Jun 2018|Clinical Fellow - Psychiatry</t>
  </si>
  <si>
    <t>First certificate of registration issued: Pre Entry Assessment Program Certificate||Effective:   28 Jul 2016
Transfer of class of registration to: Postgraduate Education Certificate||Effective:   16 Sep 2016
Expired: Terms and conditions of certificate of registration||Expiry:      07 Jun 2018
Subsequent certificate of registration issued: Restricted certificate||Effective:   07 Jun 2018
Expiry as per terms and conditions imposed on certificate||Expiry Date: 06 Dec 2019</t>
  </si>
  <si>
    <t>72734</t>
  </si>
  <si>
    <t xml:space="preserve">Active Member as of 23 Dec 1999 </t>
  </si>
  <si>
    <t xml:space="preserve">Independent Practice as of 23 Dec 1999 </t>
  </si>
  <si>
    <t>University of Zagreb, 1983</t>
  </si>
  <si>
    <t>CRH,300 Veazey Road,Butner NC  27509,United States</t>
  </si>
  <si>
    <t>919-764-2000 Ext. 2334</t>
  </si>
  <si>
    <t>USA - North Carolina
USA - Pennsylvania
USA - South Carolina</t>
  </si>
  <si>
    <t>The University of Western Ontario, 01 Jul 1998  to 30 Jun 1999|PostGrad Yr 5 - Psychiatry</t>
  </si>
  <si>
    <t>First certificate of registration issued: Postgraduate Education Certificate||Effective:   01 Jul 1998
Expired: Terms and conditions of certificate of registration||Expiry:      30 Jun 1999
Subsequent certificate of registration Issued: Independent Practice Certificate||Effective:   23 Dec 1999</t>
  </si>
  <si>
    <t>110668</t>
  </si>
  <si>
    <t xml:space="preserve">Active Member as of 29 Jul 2016 </t>
  </si>
  <si>
    <t xml:space="preserve">Restricted as of 29 Jul 2016 </t>
  </si>
  <si>
    <t>St Joseph's Health Care London,Southwest Centre for Forensic,Mental Health Care,410 Sunset Drive,St Thomas, ON,London ON  N5R 3C6</t>
  </si>
  <si>
    <t>(519) 631 8510 Ext. 49462</t>
  </si>
  <si>
    <t>London Health Sciences Centre,St Joseph's Health Care London,268 Grosvenor Street,London,London ON  N6A 4V2,Canada,Phone:(519) 851-7695,County:County of Middlesex,Electoral District:02</t>
  </si>
  <si>
    <t>London Health Sciences Centre,University Site:London
St Joseph's Health Care,St Thomas Mental Health Site:St Thomas</t>
  </si>
  <si>
    <t>First certificate of registration issued: Restricted certificate||Effective:   29 Jul 2016
Terms and conditions imposed on certificate by Registration Committee||Effective:   29 Jul 2016
Expiry date attached to certificate of registration.||Expiry Date: 30 Jun 2018
Expiry date attached to certificate of registration.||Expiry Date: 30 Jun 2019</t>
  </si>
  <si>
    <t>Dr. Nnamdi Ugwunze Medicine Professional Corporation</t>
  </si>
  <si>
    <t>Dr. N. Ugwunze (CPSO# 110668),Dr. O. Akintan (CPSO# 89916)</t>
  </si>
  <si>
    <t>St Josephs Health Care,268 Grosvenor Street,London ON  N6A 4V2,(519) 851-7695
Southwest Centre For Forensic,Southwest Centre For Forensic,410 Sunset Drive,St Thomas ON  N5R 3C6,(519) 631-8510</t>
  </si>
  <si>
    <t>80124</t>
  </si>
  <si>
    <t xml:space="preserve">Active Member as of 01 Apr 2006 </t>
  </si>
  <si>
    <t xml:space="preserve">Restricted as of 01 Apr 2006 </t>
  </si>
  <si>
    <t>Peleg Soreni, Noam (used until: 07 Dec 2005 )</t>
  </si>
  <si>
    <t>The Hebrew University, 1997</t>
  </si>
  <si>
    <t>Unit B141,100 West 5th Street,Hamilton ON  L8N 3K7</t>
  </si>
  <si>
    <t>Ron Joyce Center,325 Wellington Street North,Hamilton ON  L8L 0A4,Canada,Phone:(905) 521-2100 Ext. 77294,County:Regional Municipality of Hamilton-Wentworth,Electoral District:04
1440 Bathurst St,Toronto ON  M5R 3J3,Canada,Phone:(416) 654-5437,Fax:(647) 689-2371,County:City of Toronto,Electoral District:10</t>
  </si>
  <si>
    <t>Psychiatry||Effective: 01 Jul 2012||CPSO Recognized Specialist
Child and Adolescent Psychiatry||Effective: 08 Mar 2017||CPSO Recognized Specialist</t>
  </si>
  <si>
    <t>University of Toronto, 01 Sep 2003  to 06 Nov 2003|PEAP - Clinical Fellow - Psychiatry
University of Toronto, 07 Nov 2003  to 30 Jun 2004|Clinical Fellow - Psychiatry
University of Toronto, 01 Jul 2004  to 30 Jun 2005|Clinical Fellow - Psychiatry
University of Toronto, 01 Jul 2005  to 31 Mar 2006|Clinical Fellow - Psychiatry</t>
  </si>
  <si>
    <t>First certificate of registration issued: Pre Entry Assessment Program Certificate||Effective:   01 Sep 2003
Transfer of class of registration to: Postgraduate Education Certificate||Effective:   10 Nov 2003
Expired: Terms and conditions of certificate of registration||Expiry:      31 Mar 2006
Subsequent certificate of registration issued: Restricted certificate||Effective:   01 Apr 2006
Terms and conditions amended by Registration Committee||Effective:   07 Aug 2009
Expiry date removed from certificate of registration.||Effective:   30 Jun 2012
Terms and conditions amended by Registration Committee||Effective:   01 Jul 2012
Terms and conditions amended by Registration Committee||Effective:   08 Mar 2017</t>
  </si>
  <si>
    <t>Noam Soreni Medicine Professional Corporation</t>
  </si>
  <si>
    <t>Issued Date:  Oct 26 2012</t>
  </si>
  <si>
    <t>Dr. N. Soreni (CPSO# 80124)</t>
  </si>
  <si>
    <t>B141 - 100 West 5th Street,Hamilton ON  L8N 3K7,(905) 522-1155
7 - 325 Wellington Street North,7 - 325 Wellington Street North,Floor 3,Hamilton ON  L8L 8E7,(905) 521-2100
1200 Main Street West,1200 Main Street West,Floor 2,Hamilton ON  L8N 3Z5,(905) 521-2100
1440 Bathurst St,1440 Bathurst St,Toronto ON  M5R 3J3,(416) 654-5437</t>
  </si>
  <si>
    <t>76603</t>
  </si>
  <si>
    <t>Saint Thomas Elgin General Hospital,189 Elm Street,St Thomas ON  N5R 5C4</t>
  </si>
  <si>
    <t>(519) 631-2020</t>
  </si>
  <si>
    <t>Sault Area Hospital:Sault Ste Marie
St Thomas-Elgin General Hospital:St Thomas</t>
  </si>
  <si>
    <t>The University of Western Ontario, 01 Jul 2001  to 30 Jun 2002|PostGrad Yr 1 - Psychiatry
The University of Western Ontario, 01 Jul 2002  to 30 Jun 2003|PostGrad Yr 2 - Psychiatry
The University of Western Ontario, 01 Jul 2003  to 30 Jun 2004|PostGrad Yr 3 - Psychiatry
The University of Western Ontario, 01 Jul 2004  to 30 Jun 2005|PostGrad Yr 4 - Psychiatry
The University of Western Ontario, 01 Jul 2005  to 30 Jun 2006|PostGrad Yr 5 - Psychiatry</t>
  </si>
  <si>
    <t>Laporte Medicine Professional Corporation</t>
  </si>
  <si>
    <t>Issued Date:  Sep 17 2008</t>
  </si>
  <si>
    <t>Dr. N. Laporte (CPSO# 76603)</t>
  </si>
  <si>
    <t>St Thomas Elgin General Hospital,189 Elm Street,St Thomas ON  N5R 5C4,(519) 631-2020</t>
  </si>
  <si>
    <t>85368</t>
  </si>
  <si>
    <t xml:space="preserve">Active Member as of 10 Jul 2006 </t>
  </si>
  <si>
    <t>University of Stellenbosch, 2004</t>
  </si>
  <si>
    <t>Joseph Brant Memorial Hospital,1230 Northshore Boulevard,Burlington ON  L7S 1W7</t>
  </si>
  <si>
    <t>6-1401 Plains Road East,Burlington , Ontario,Burlington ON  L7R 3P9,Canada,Phone:(905) 333-4262,Fax:(905) 333-9262,County:Regional Municipality of Halton,Electoral District:04</t>
  </si>
  <si>
    <t>Queen's University, 10 Jul 2006  to 12 Sep 2006|Assessment Verification Period - Psychiatry
Queen's University, 13 Sep 2006  to 30 Jun 2007|PostGrad Yr 1 - Psychiatry
Queen's University, 01 Jul 2007  to 30 Jun 2008|PostGrad Yr 2 - Psychiatry
Queen's University, 01 Jul 2008  to 30 Jun 2009|PostGrad Yr 3 - Psychiatry
Queen's University, 01 Jul 2009  to 30 Jun 2010|PostGrad Yr 4 - Psychiatry
Queen's University, 01 Jul 2010  to 30 Jun 2011|PostGrad Yr 5 - Psychiatry</t>
  </si>
  <si>
    <t>First certificate of registration issued: Pre Entry Assessment Program Certificate||Effective:   10 Jul 2006
Transfer of class of registration to: Postgraduate Education Certificate||Effective:   13 Sep 2006
Transfer of class of registration to: Independent Practice Certificate||Effective:   30 Jun 2011</t>
  </si>
  <si>
    <t>Noel R. Amaladoss Medicine Professional Corporation</t>
  </si>
  <si>
    <t>Issued Date:  Oct 19 2011</t>
  </si>
  <si>
    <t>Dr. N. Amaladoss (CPSO# 85368)</t>
  </si>
  <si>
    <t>Joseph Brant Memorial Hospital,1230 Northshore Boulevard,Burlington ON  L7S 1W7,(905) 333-4262
Unit 6,Unit 6,1401 Plains Road East,Burlington ON  L7S 1Z8,(905) 333-4262</t>
  </si>
  <si>
    <t>53425</t>
  </si>
  <si>
    <t xml:space="preserve">Active Member as of 18 Jul 1983 </t>
  </si>
  <si>
    <t xml:space="preserve">Independent Practice as of 18 Jul 1983 </t>
  </si>
  <si>
    <t>(613) 235-4692</t>
  </si>
  <si>
    <t>First certificate of registration issued: Independent Practice Certificate||Effective:   18 Jul 1983</t>
  </si>
  <si>
    <t>52773</t>
  </si>
  <si>
    <t xml:space="preserve">Independent Practice as of 04 Jul 1984 </t>
  </si>
  <si>
    <t>180 Bloor Street West,Suite 501,Toronto ON  M5S 2V6</t>
  </si>
  <si>
    <t>(416) 925-9058</t>
  </si>
  <si>
    <t>First certificate of registration issued: Postgraduate Education Certificate||Effective:   13 Jun 1983
Transfer of class of registration to: Independent Practice Certificate||Effective:   04 Jul 1984</t>
  </si>
  <si>
    <t>97815</t>
  </si>
  <si>
    <t>Trillium Health Partners,2200 Eglinton Avenue West,Mississauga ON  L5M 2N1</t>
  </si>
  <si>
    <t>(905)813-2398</t>
  </si>
  <si>
    <t>(905)813-4284</t>
  </si>
  <si>
    <t>150 Sherway Drive, 4th Floor,Toronto ON  M9C 1A5,Canada,Phone:(416)521-4057,Fax:(416)521-4072,County:City of Toronto,Electoral District:10</t>
  </si>
  <si>
    <t>University of Toronto,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Psychiatry
University of Toronto, 01 Jul 2017  to 30 Jun 2018|Clinical Fellow - Psychiatry
University of Toronto, 01 Jul 2018  to 30 Jun 2019|Clinical Fellow - Psychiatry</t>
  </si>
  <si>
    <t>Dr. Nourhan S. Mohamed Medicine Professional Corporation</t>
  </si>
  <si>
    <t>Issued Date:  Jun 22 2018</t>
  </si>
  <si>
    <t>Dr. N. Mohamed (CPSO# 97815)</t>
  </si>
  <si>
    <t>Trillium Health Partners,2200 Eglinton Avenue West,Mississauga ON  L5M 2N1,(905) 813-2398</t>
  </si>
  <si>
    <t>28989</t>
  </si>
  <si>
    <t xml:space="preserve">Active Member as of 14 Mar 1977 </t>
  </si>
  <si>
    <t xml:space="preserve">Independent Practice as of 14 Mar 1977 </t>
  </si>
  <si>
    <t>Dacca Medical College, 1957</t>
  </si>
  <si>
    <t>First certificate of registration issued: Independent Practice Certificate||Effective:   14 Mar 1977</t>
  </si>
  <si>
    <t>114115</t>
  </si>
  <si>
    <t xml:space="preserve">Active Member as of 03 Nov 2017 </t>
  </si>
  <si>
    <t xml:space="preserve">Independent Practice as of 03 Nov 2017 </t>
  </si>
  <si>
    <t>University of Nigeria, 2005</t>
  </si>
  <si>
    <t>89 Norman St,Sarnia ON  N7T 6S3</t>
  </si>
  <si>
    <t>(519) 464-4400</t>
  </si>
  <si>
    <t>(519) 464-4501</t>
  </si>
  <si>
    <t>First certificate of registration issued: Independent Practice Certificate||Effective:   03 Nov 2017</t>
  </si>
  <si>
    <t>Obioma Ozumba Medicine Professional Corporation</t>
  </si>
  <si>
    <t>Issued Date:  Apr 20 2018</t>
  </si>
  <si>
    <t>Dr. O. Ozumba (CPSO# 114115)</t>
  </si>
  <si>
    <t>51554</t>
  </si>
  <si>
    <t>Univ of Ghana, 1973</t>
  </si>
  <si>
    <t>2713 Kennedy Road,Scarborough ON  M1T 3H8</t>
  </si>
  <si>
    <t>(416) 298-3496</t>
  </si>
  <si>
    <t>381 Church Street,Markham ON  L3P 7P3,Canada,Phone:(905) 472-7011,Fax:(905) 472-7371,County:Regional Municipality of York,Electoral District:05</t>
  </si>
  <si>
    <t>First certificate of registration issued: Postgraduate Education Certificate||Effective:   01 Jul 1980
Transfer of class of registration to: Independent Practice Certificate||Effective:   04 Jul 1984</t>
  </si>
  <si>
    <t>76591</t>
  </si>
  <si>
    <t xml:space="preserve">Active Member as of 23 Dec 2004 </t>
  </si>
  <si>
    <t xml:space="preserve">Restricted as of 23 Dec 2004 </t>
  </si>
  <si>
    <t>The Hebrew University, 1994</t>
  </si>
  <si>
    <t>CAMH,Department of Psychiatry,1001 Queen St West,Toronto ON  M6J 1H4</t>
  </si>
  <si>
    <t>Psychiatry||Effective: 23 Dec 2004||CPSO Recognized Specialist</t>
  </si>
  <si>
    <t>University of Toronto, 01 Jul 2001  to 30 Jun 2002|Clinical Fellow - Psychiatry
University of Toronto, 01 Jul 2002  to 30 Jun 2003|Clinical Fellow - Psychiatry
University of Toronto, 01 Jul 2003  to 30 Jun 2004|Clinical Fellow - Psychiatry</t>
  </si>
  <si>
    <t>First certificate of registration issued: Postgraduate Education Certificate||Effective:   01 Jul 2001
Expired: Terms and conditions of certificate of registration||Expiry:      26 Jun 2003
Subsequent certificate of registration issued: Restricted certificate||Effective:   26 Jun 2003
Expired: Terms and conditions imposed on certificate by Registration Committee||Effective:   30 Jun 2004
Subsequent certificate of registration issued: Restricted certificate||Effective:   23 Dec 2004
Terms and conditions amended by Registration Committee||Effective:   16 Sep 2005
Terms and conditions amended by Registration Committee||Effective:   12 Nov 2009
Terms and conditions amended by Registration Committee||Effective:   23 Jun 2011
Terms and conditions amended by Registration Committee||Effective:   24 Aug 2012
Expiry date removed from certificate of registration.||Effective:   24 Aug 2012</t>
  </si>
  <si>
    <t>Ofer Agid Medicine Professional Corporation</t>
  </si>
  <si>
    <t>Issued Date:  Nov 11 2011</t>
  </si>
  <si>
    <t>Dr. O. Agid (CPSO# 76591)</t>
  </si>
  <si>
    <t>1001 Queen Street West,Toronto ON  M6J 1H4,(416) 535-8501</t>
  </si>
  <si>
    <t>113475</t>
  </si>
  <si>
    <t xml:space="preserve">Active Member as of 07 Jul 2017 </t>
  </si>
  <si>
    <t xml:space="preserve">Independent Practice as of 07 Jul 2017 </t>
  </si>
  <si>
    <t>University of Benin, 2001</t>
  </si>
  <si>
    <t>109-3223, 5 Avenue NE,Calgary AB  T2A 6E9</t>
  </si>
  <si>
    <t>403 800 2234</t>
  </si>
  <si>
    <t>403 800 2245</t>
  </si>
  <si>
    <t>First certificate of registration issued: Independent Practice Certificate||Effective:   07 Jul 2017</t>
  </si>
  <si>
    <t>Dr. Tachere Medicine Professional Corporation</t>
  </si>
  <si>
    <t>Inactive: Oct 18 2018</t>
  </si>
  <si>
    <t>108557</t>
  </si>
  <si>
    <t xml:space="preserve">Active Member as of 23 Feb 2016 </t>
  </si>
  <si>
    <t xml:space="preserve">Independent Practice as of 23 Feb 2016 </t>
  </si>
  <si>
    <t>89 Norman Street,Sarnia ON  N7T 6S3</t>
  </si>
  <si>
    <t>First certificate of registration issued: Independent Practice Certificate||Effective:   23 Feb 2016</t>
  </si>
  <si>
    <t>Emmanuel Anyaegbuna Medicine Professional Corporation</t>
  </si>
  <si>
    <t>Issued Date:  Jun 21 2016</t>
  </si>
  <si>
    <t>Dr. O. Anyaegbuna (CPSO# 108557)</t>
  </si>
  <si>
    <t>89 Norman Street,Sarnia ON  N7T 6S3,(506) 663-5259</t>
  </si>
  <si>
    <t>97228</t>
  </si>
  <si>
    <t xml:space="preserve">Active Member as of 23 Jan 2012 </t>
  </si>
  <si>
    <t xml:space="preserve">Restricted as of 23 Jan 2012 </t>
  </si>
  <si>
    <t>National Medical University, 1997</t>
  </si>
  <si>
    <t>Unit 101,1520 Steeles Avenue West,Vaughan ON  L4K 3B9</t>
  </si>
  <si>
    <t>(905) 597-4458</t>
  </si>
  <si>
    <t>Psychiatry||Effective: 23 Jan 2012||CPSO Recognized Specialist</t>
  </si>
  <si>
    <t>First certificate of registration issued: Restricted certificate||Effective:   23 Jan 2012
Terms and conditions imposed on certificate by Registration Committee||Effective:   23 Jan 2012
Expiry date attached to certificate of registration.||Expiry Date: 22 Jul 2013
Terms and conditions amended by Registration Committee||Effective:   20 Jun 2013
Expiry date removed from certificate of registration.||Effective:   20 Jun 2013</t>
  </si>
  <si>
    <t>Matsenko Medicine Professional Corporation</t>
  </si>
  <si>
    <t>Issued Date:  Aug 09 2012</t>
  </si>
  <si>
    <t>Dr. O. Matsenko (CPSO# 97228)</t>
  </si>
  <si>
    <t>101 - 1520 Steeles Avenue West,Vaughan ON  L4K 3B9,(905) 597-4457</t>
  </si>
  <si>
    <t>102557</t>
  </si>
  <si>
    <t xml:space="preserve">Active Member as of 20 Dec 2016 </t>
  </si>
  <si>
    <t xml:space="preserve">Restricted as of 20 Dec 2016 </t>
  </si>
  <si>
    <t>Obafemi Awolowo University, 1997</t>
  </si>
  <si>
    <t>Royal Ottawa Hospital,1145 Carling Avenue,Ottawa,K1Z7K4,Ottawa ON  K1Z 7K4</t>
  </si>
  <si>
    <t>(613) 7226521</t>
  </si>
  <si>
    <t>Precision Medical Centre,104-613, Longfields Dr.,Barrhaven, Ottawa,Ottawa ON  K2J 6J2,Canada,Phone:6134407762,Fax:6134408762,County:Regional Municipality of Ottawa-Carleton,Electoral District:07</t>
  </si>
  <si>
    <t>First certificate of registration issued: Restricted certificate||Effective:   21 Jan 2014
Terms and conditions imposed on certificate by Registration Committee||Effective:   21 Jan 2014
Expiry date attached to certificate of registration.||Expiry Date: 20 Jan 2017
Terms and conditions amended by Registration Committee||Effective:   15 Sep 2015
Expired: Terms and conditions imposed on certificate by Registration Committee||Effective:   19 Dec 2016
Subsequent certificate of registration issued: Restricted certificate||Effective:   20 Dec 2016</t>
  </si>
  <si>
    <t>Dr. Olabisi Owoeye Medicine Professional Corporation</t>
  </si>
  <si>
    <t>Issued Date:  Jun 24 2014</t>
  </si>
  <si>
    <t>Dr. O. Owoeye (CPSO# 102557)</t>
  </si>
  <si>
    <t>1145 Carling Avenue,Ottawa ON  K1Z 7K4,(613) 722-6521
Cornwall Community Hospital,Cornwall Community Hospital,840 McConnell Avenue,Cornwall ON  K6H 5S5,(613) 938-4240
Precision Medical Centre,Precision Medical Centre,104 - 613 Longfields Drive,Ottawa ON  K2J 6J2,(613) 440-7762</t>
  </si>
  <si>
    <t>89916</t>
  </si>
  <si>
    <t xml:space="preserve">Active Member as of 29 Oct 2009 </t>
  </si>
  <si>
    <t xml:space="preserve">Independent Practice as of 29 Oct 2009 </t>
  </si>
  <si>
    <t>UNIVERSITY OF JOS, 1996</t>
  </si>
  <si>
    <t>Hamilton Health Sciences,Child and Youth Mental Health 3G88,McMaster Children's Hospital,P.O. Box 2000,Hamilton ON  L8N 3Z5</t>
  </si>
  <si>
    <t>(905) 521-7978</t>
  </si>
  <si>
    <t>Hamilton Health Sciences Centre McMaster &amp; Childrens Hosp,McMaster &amp; Children's Hospital:Hamilton
Hamilton Health Sciences Corporation,St. Peter's Hospital:Hamilton
Hamilton Health Sciences,Chedoke Hospital Site:Hamilton
Hamilton Health Sciences,General Site:Hamilton
Hamilton Health Sciences,Juravinski Hospital and Cancer Centre:Hamilton
St Joseph's Healthcare System,Hamilton:Hamilton
Timmins and District Hospital:Timmins</t>
  </si>
  <si>
    <t>First certificate of registration issued: Restricted certificate||Effective:   30 Sep 2008
Terms and conditions imposed on certificate by Registration Committee||Effective:   30 Sep 2008
Expiry date attached to certificate of registration.||Expiry Date: 29 Sep 2011
Expired: Terms and conditions imposed on certificate by Registration Committee||Effective:   29 Oct 2009
Subsequent certificate of registration Issued: Independent Practice Certificate||Effective:   29 Oct 2009</t>
  </si>
  <si>
    <t>Dr. Olabode Akintan Medicine Professional Corporation</t>
  </si>
  <si>
    <t>Issued Date:  Dec 01 2010</t>
  </si>
  <si>
    <t>Dr. O. Akintan (CPSO# 89916)</t>
  </si>
  <si>
    <t>Hamilton Health Sciences,McMaster Children's Hospital,Dept Psych &amp; Behavioural Neurosci,1200 Main Street West Room 3G 86-88,Hamilton ON  L8N 3Z5,(905) 521-2100
Hamilton Health Sciences,McMaster Children's Hospital,Dept Psych &amp; Behavioural Neurosci,1200 Main Street West Room 3G 86-88,Hamilton ON  L8N 3Z5,(905) 521-210</t>
  </si>
  <si>
    <t>97265</t>
  </si>
  <si>
    <t xml:space="preserve">Active Member as of 22 Apr 2016 </t>
  </si>
  <si>
    <t xml:space="preserve">Restricted as of 22 Apr 2016 </t>
  </si>
  <si>
    <t>University of Ibadan, 1987</t>
  </si>
  <si>
    <t>Suite 352,1720 Howard Avenue,Windsor ON  N8X 5A6</t>
  </si>
  <si>
    <t>(519)255-6629</t>
  </si>
  <si>
    <t>(519)253-9224</t>
  </si>
  <si>
    <t>Windsor Regional Hospital,Ouellette Campus,Department of Psychiatry,1030 Ouellette Avenue,Windsor ON  N9A 1E1,Canada,Phone:519973-4411 Ext. 33223,County:County of Essex,Electoral District:01</t>
  </si>
  <si>
    <t>Erie Shores HealthCare:Leamington
Windsor Regional Hospital,Metropolitan Site:Windsor
Windsor Regional Hospital,Ouellette Campus:Windsor</t>
  </si>
  <si>
    <t>Psychiatry||Effective: 22 Apr 2016||CPSO Recognized Specialist</t>
  </si>
  <si>
    <t>First certificate of registration issued: Restricted certificate||Effective:   03 Feb 2012
Terms and conditions imposed on certificate by Registration Committee||Effective:   03 Feb 2012
Expiry date attached to certificate of registration.||Expiry Date: 02 Feb 2015
Terms and conditions amended by Registration Committee||Effective:   13 Sep 2012
Terms and conditions amended by Registration Committee||Effective:   14 Jan 2015
Terms and conditions amended by Registration Committee||Effective:   12 Nov 2015
Expired: Terms and conditions imposed on certificate by Registration Committee||Effective:   22 Apr 2016
Subsequent certificate of registration issued: Restricted certificate||Effective:   22 Apr 2016
Terms and conditions amended by Registration Committee||Effective:   31 Oct 2016
Terms and conditions amended by Registration Committee||Effective:   12 May 2017
Terms and conditions amended by Registration Committee||Effective:   14 Sep 2017</t>
  </si>
  <si>
    <t>96756</t>
  </si>
  <si>
    <t xml:space="preserve">Active Member as of 30 Oct 2012 </t>
  </si>
  <si>
    <t xml:space="preserve">Independent Practice as of 30 Oct 2012 </t>
  </si>
  <si>
    <t>Obafemi Awolowo University, 1998</t>
  </si>
  <si>
    <t>Grand River Hospital,835 King Street,Kitchener ON  N2G 1G3</t>
  </si>
  <si>
    <t>(519) 749-4300 Ext. 4217</t>
  </si>
  <si>
    <t>(519) 749-4271</t>
  </si>
  <si>
    <t>850 King Street,Kitchener ON  N2G 1E8,Canada,Phone:(519) 749-4300 Ext. 4217,Fax:(519) 749-4271,County:Regional Municipality of Waterloo,Electoral District:03</t>
  </si>
  <si>
    <t>Psychiatry||Effective: 05 May 2010||RCPSC Specialist
Child and Adolescent Psychiatry||Effective: 23 Sep 2014||RCPSC Specialist</t>
  </si>
  <si>
    <t>First certificate of registration issued: Restricted certificate||Effective:   29 Aug 2011
Terms and conditions imposed on certificate by Registration Committee||Effective:   29 Aug 2011
Expired: Terms and conditions imposed on certificate by Registration Committee||Effective:   30 Oct 2012
Subsequent certificate of registration Issued: Independent Practice Certificate||Effective:   30 Oct 2012</t>
  </si>
  <si>
    <t>O. Mabifa Medicine Professional Corporation</t>
  </si>
  <si>
    <t>Issued Date:  Jan 16 2013</t>
  </si>
  <si>
    <t>Dr. O. Mabifa (CPSO# 96756)</t>
  </si>
  <si>
    <t>Grand River Hospital,835/850 King Street,Kitchener ON  N2G 1G3,(519) 635-7862</t>
  </si>
  <si>
    <t>76830</t>
  </si>
  <si>
    <t xml:space="preserve">Active Member as of 06 Jul 2010 </t>
  </si>
  <si>
    <t xml:space="preserve">Independent Practice as of 06 Jul 2010 </t>
  </si>
  <si>
    <t>Novosibirsk Medical Institute, 1993</t>
  </si>
  <si>
    <t>Child and Youth Mental Health Prog,St Catharines Site,Niagara Health System,1200 Fourth Avenue,St Catharines ON  L2R 6P9</t>
  </si>
  <si>
    <t>Psychiatry||Effective: 24 Apr 2007||RCPSC Specialist</t>
  </si>
  <si>
    <t>Queen's University, 01 Jul 2001  to 30 Jun 2002|PostGrad Yr 1 - Psychiatry
Queen's University, 01 Jul 2002  to 30 Jun 2003|PostGrad Yr 2 - Psychiatry
Queen's University, 01 Jul 2003  to 30 Jun 2004|PostGrad Yr 3 - Psychiatry
Queen's University, 01 Jul 2004  to 30 Jun 2005|PostGrad Yr 4 - Psychiatry
Queen's University, 01 Jul 2005  to 30 Jun 2006|PostGrad Yr 5 - Psychiatry</t>
  </si>
  <si>
    <t>First certificate of registration issued: Postgraduate Education Certificate||Effective:   09 Jul 2001
Expired: Terms and conditions of certificate of registration||Expiry:      30 Jun 2006
Subsequent certificate of registration Issued: Independent Practice Certificate||Effective:   06 Jul 2010</t>
  </si>
  <si>
    <t>Dr. O. Savenkov Medicine Professional Corporation</t>
  </si>
  <si>
    <t>Issued Date:  Dec 19 2011</t>
  </si>
  <si>
    <t>Dr. O. Savenkov (CPSO# 76830)</t>
  </si>
  <si>
    <t>1200 Fourth Avenue,St Catharines ON  L2R 6P9,(905) 378-4647</t>
  </si>
  <si>
    <t>90601</t>
  </si>
  <si>
    <t xml:space="preserve">Active Member as of 01 Sep 2014 </t>
  </si>
  <si>
    <t xml:space="preserve">Independent Practice as of 01 Sep 2014 </t>
  </si>
  <si>
    <t>C H E O,311 McArthur Avenue,Suite 200,Ottawa ON  K1L 8M3</t>
  </si>
  <si>
    <t>C H E O,401 Smyth Road,Ottawa ON  K1H 8L1,Canada,Phone:(613) 737-7600,County:Regional Municipality of Ottawa-Carleton,Electoral District:07</t>
  </si>
  <si>
    <t>First certificate of registration issued: Postgraduate Education Certificate||Effective:   01 Jul 2009
Expired: Terms and conditions of certificate of registration||Expiry:      30 Jun 2014
Subsequent certificate of registration Issued: Independent Practice Certificate||Effective:   01 Sep 2014</t>
  </si>
  <si>
    <t>Olivia MacLeod Medicine Professional Corporation</t>
  </si>
  <si>
    <t>Issued Date:  Aug 27 2014</t>
  </si>
  <si>
    <t>Dr. O. MacLeod (CPSO# 90601)</t>
  </si>
  <si>
    <t>311 McArthur Avenue,Suite 200,Ottawa ON  K1L 8M3,(613) 738-6990
CHEO,CHEO,401 Smyth Road,Ottawa ON  K1H 8L1,(613) 737-7600</t>
  </si>
  <si>
    <t>96940</t>
  </si>
  <si>
    <t>Obafemi Awolowo University, 2000</t>
  </si>
  <si>
    <t>St Joseph's Healthcare,Department of Psychiatry,100 West 5th Street,PO Box 585,Hamilton ON  L8N 3K5</t>
  </si>
  <si>
    <t>St Joseph's Healthcare,100 West 5th Street,Hamilton ON  L8N 3K7,Canada,County:Regional Municipality of Hamilton-Wentworth,Electoral District:04</t>
  </si>
  <si>
    <t>North Bay Regional Health Centre:North Bay
St Joseph's Centre for Mountain Health Services:Hamilton</t>
  </si>
  <si>
    <t>McMaster University, 17 Oct 2011  to 18 Nov 2011|PEAP - Clinical Fellow - Psychiatry
McMaster University, 19 Nov 2011  to 30 Jun 2012|Clinical Fellow - Psychiatry
McMaster University, 01 Jul 2012  to 30 Jun 2013|Clinical Fellow - Psychiatry</t>
  </si>
  <si>
    <t>First certificate of registration issued: Pre Entry Assessment Program Certificate||Effective:   17 Oct 2011
Transfer of class of registration to: Postgraduate Education Certificate||Effective:   22 Nov 2011
Expired: Terms and conditions of certificate of registration||Expiry:      30 Jun 2013
Subsequent certificate of registration issued: Restricted certificate||Effective:   15 Jul 2013
Terms and conditions amended by Registration Committee||Effective:   14 Nov 2013
Expiry date removed from certificate of registration.||Effective:   08 May 2014</t>
  </si>
  <si>
    <t>Dr. O. Kolawole Medicine Professional Corporation</t>
  </si>
  <si>
    <t>Issued Date:  May 14 2014</t>
  </si>
  <si>
    <t>Dr. O. Kolawole (CPSO# 96940)</t>
  </si>
  <si>
    <t>St. Joseph's Healthcare,Department of Psychiatry,100 West 5th Street,P.O. Box 585,Hamilton ON  L8N 3K5,(905) 522-1155</t>
  </si>
  <si>
    <t>104800</t>
  </si>
  <si>
    <t xml:space="preserve">Active Member as of 16 Dec 2014 </t>
  </si>
  <si>
    <t xml:space="preserve">Restricted as of 16 Dec 2014 </t>
  </si>
  <si>
    <t>Psychiatry||Effective: 03 May 2012||RCPSC Specialist
Geriatric Psychiatry||Effective: 26 Sep 2013||RCPSC Specialist</t>
  </si>
  <si>
    <t>First certificate of registration issued: Restricted certificate||Effective:   21 Aug 2014
Terms and conditions imposed on certificate by Registration Committee||Effective:   21 Aug 2014
Expiry date attached to certificate of registration.||Expiry Date: 20 Aug 2017
Expired: Terms and conditions imposed on certificate by Registration Committee||Effective:   16 Dec 2014
Subsequent certificate of registration issued: Restricted certificate||Effective:   16 Dec 2014</t>
  </si>
  <si>
    <t>Dr. O. Banjo Medicine Professional Corporation</t>
  </si>
  <si>
    <t>Issued Date:  Oct 20 2014</t>
  </si>
  <si>
    <t>Dr. O. Banjo (CPSO# 104800)</t>
  </si>
  <si>
    <t>Grand River Hospital,Department of Psychiatry,835 King Street West,Kitchener ON  N2G 1G3,(226) 750-5355</t>
  </si>
  <si>
    <t>42466</t>
  </si>
  <si>
    <t xml:space="preserve">Active Member as of 11 Jul 1977 </t>
  </si>
  <si>
    <t xml:space="preserve">Independent Practice as of 28 Jul 1983 </t>
  </si>
  <si>
    <t>University of Lagos, 1975</t>
  </si>
  <si>
    <t>Suite 304,121 Willowdale Avenue,North York ON  M2N 6A3</t>
  </si>
  <si>
    <t>(416) 225-9092</t>
  </si>
  <si>
    <t>(416) 225-7730</t>
  </si>
  <si>
    <t>Inner City Health Associates,59 Adelaide St. E. 2nd floor,Toronto ON  M5C 1K6,Canada,Phone:416-591-4414 Ext. 0,Fax:(416) 225-7730,County:City of Toronto,Electoral District:10</t>
  </si>
  <si>
    <t>First certificate of registration issued: Postgraduate Education Certificate||Effective:   11 Jul 1977
Transfer of class of registration to: Hospital Practice Certificate||Effective:   29 Mar 1982
Transfer of class of registration to: Independent Practice Certificate||Effective:   28 Jul 1983</t>
  </si>
  <si>
    <t>92519</t>
  </si>
  <si>
    <t xml:space="preserve">Active Member as of 23 Feb 2010 </t>
  </si>
  <si>
    <t xml:space="preserve">Independent Practice as of 23 Feb 2010 </t>
  </si>
  <si>
    <t>Oakville Trafalgar MemorialHospital,3001 Hospital Gate,Oakville ON  L6M 0L8</t>
  </si>
  <si>
    <t>9058452571 Ext. 4800</t>
  </si>
  <si>
    <t>9058456419</t>
  </si>
  <si>
    <t>Hotel Dieu Grace Healthcare,Tayfour Campus:Windsor
William Osler - Peel Memorial Centre,for Integrated Health and Wellness:Brampton
William Osler Health Centre-Brampton Civic Hospital:Brampton
Windsor Regional Hospital,Metropolitan Site:Windsor
Windsor Regional Hospital,Ouellette Campus:Windsor</t>
  </si>
  <si>
    <t>First certificate of registration issued: Independent Practice Certificate||Effective:   23 Feb 2010</t>
  </si>
  <si>
    <t>Dr. Olusegun Omoseni Medicine Professional Corporation</t>
  </si>
  <si>
    <t>Issued Date:  Nov 05 2010</t>
  </si>
  <si>
    <t>Dr. O. Omoseni (CPSO# 92519)</t>
  </si>
  <si>
    <t>3001 Hospital Gate,Oakville ON  L6M 0L8,(905) 845-2571
2100 Bovaird Drive East,2100 Bovaird Drive East,Brampton ON  L6R 3J7,(905) 494-2120</t>
  </si>
  <si>
    <t>77927</t>
  </si>
  <si>
    <t>Ontario Shores,Centre for Mental Health Sciences,700 Gordon Street,Whitby,Whitby ON  L1N 5S9</t>
  </si>
  <si>
    <t>1-800-341-6323</t>
  </si>
  <si>
    <t>University of Toronto, 01 Jul 2002  to 30 Jun 2003|PostGrad Yr 1 - Psychiatry
University of Toronto, 01 Jul 2003  to 30 Jun 2004|PostGrad Yr 2 - Psychiatry
University of Toronto, 01 Jul 2004  to 30 Jun 2005|PostGrad Yr 3 - Psychiatry
University of Toronto, 01 Jul 2005  to 30 Jun 2006|PostGrad Yr 4 - Psychiatry
University of Toronto, 01 Jul 2006  to 30 Jun 2007|PostGrad Yr 5 - Psychiatry
University of Toronto, 01 Jul 2007  to 30 Jun 2008|Clinical Fellow - Psychiatry
University of Toronto, 01 Jul 2008  to 30 Jun 2009|Clinical Fellow - Psychiatry
University of Toronto, 01 Jul 2009  to 30 Jun 2010|Clinical Fellow - Psychiatry</t>
  </si>
  <si>
    <t>Omar Ghaffar Medicine Professional Corporation</t>
  </si>
  <si>
    <t>Issued Date:  Apr 28 2011</t>
  </si>
  <si>
    <t>Dr. O. Ghaffar (CPSO# 77927)</t>
  </si>
  <si>
    <t>700 Gordon Street,Whitby ON  L1N 5S9,(800) 341-6323</t>
  </si>
  <si>
    <t>96281</t>
  </si>
  <si>
    <t xml:space="preserve">Active Member as of 11 Sep 2013 </t>
  </si>
  <si>
    <t xml:space="preserve">Independent Practice as of 11 Sep 2013 </t>
  </si>
  <si>
    <t>(905) 845-2571 Ext. 4800</t>
  </si>
  <si>
    <t>Ireland
New Brunswick</t>
  </si>
  <si>
    <t>Halton Healthcare Services Corporation,Georgetown Hospital:Georgetown
Milton Site Halton Healthcare Services:Milton
Oakville Trafalgar Memorial Hospital:Oakville
Trillium Health Partners,The Credit Valley Hospital:Mississauga</t>
  </si>
  <si>
    <t>First certificate of registration issued: Restricted certificate||Effective:   18 Jul 2011
Terms and conditions imposed on certificate by Registration Committee||Effective:   18 Jul 2011
Expiry date attached to certificate of registration.||Expiry Date: 17 Jul 2014
Terms and conditions amended by Registration Committee||Effective:   18 Apr 2013
Expired: Terms and conditions imposed on certificate by Registration Committee||Effective:   11 Sep 2013
Subsequent certificate of registration Issued: Independent Practice Certificate||Effective:   11 Sep 2013</t>
  </si>
  <si>
    <t>Omotola Adegboyega-Conde Medicine Professional Corporation</t>
  </si>
  <si>
    <t>Dr. O. Adegboyega-Conde (CPSO# 96281)</t>
  </si>
  <si>
    <t>30457</t>
  </si>
  <si>
    <t xml:space="preserve">Active Member as of 26 Oct 1978 </t>
  </si>
  <si>
    <t xml:space="preserve">Independent Practice as of 26 Oct 1978 </t>
  </si>
  <si>
    <t>University of Alberta, 1974</t>
  </si>
  <si>
    <t>PO Box 149,Yarker ON  K0K 3N0</t>
  </si>
  <si>
    <t>(416) 485-9461</t>
  </si>
  <si>
    <t>(613) 377-7031</t>
  </si>
  <si>
    <t>Suite 107,800 Princess St.,Kingston ON  K7L 5E4,Canada,Phone:(613)817-8324,Fax:(613)531-8541,County:County of Frontenac,Electoral District:06</t>
  </si>
  <si>
    <t>First certificate of registration issued: Independent Practice Certificate||Effective:   26 Oct 1978</t>
  </si>
  <si>
    <t>93582</t>
  </si>
  <si>
    <t>360 Dupont Street,Toronto Ontario,Toronto ON  M5R 1V9</t>
  </si>
  <si>
    <t>(647) 823-2428</t>
  </si>
  <si>
    <t>(647) 352-2429</t>
  </si>
  <si>
    <t>Mount Sinai Hospital,Joseph and Wolf Lebovic Health Comp,600 University Avenue,Toronto ON  M5G 1X5,Canada,Phone:416-596-4200,County:City of Toronto,Electoral District:10</t>
  </si>
  <si>
    <t>Mount Sinai Hospital:Toronto
University Health Network,Toronto Rehabilitation Institute:Toronto</t>
  </si>
  <si>
    <t>McMaster University, 01 Jul 2010  to 30 Jun 2011|PostGrad Yr 1 - Family Medicine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t>
  </si>
  <si>
    <t>Dr. Orit Zamir Medicine Professional Corporation</t>
  </si>
  <si>
    <t>Issued Date:  May 30 2018</t>
  </si>
  <si>
    <t>Dr. O. Zamir (CPSO# 93582)</t>
  </si>
  <si>
    <t>360 Dupont Street,Toronto ON  M5R 1V9,(647) 823-2428
Mount Sinai Hospital,Mount Sinai Hospital,Wasser Pain Management Centre,600 University Avenue,Toronto ON  M5G 1X5
Women's College Hospital,Women's College Hospital,Toronto Academic Pain Medicine Institute,76 Grenville Street,Toronto ON  M5G 1X5,(416) 323-6400
Toronto Rehabilitation Institute,Toronto Rehabilitation Institute,University Health Network Pain Clinic,550 University Avenue,Toronto ON  M5G 2A2,(416) 597-3422</t>
  </si>
  <si>
    <t>27197</t>
  </si>
  <si>
    <t xml:space="preserve">Active Member as of 03 Feb 1975 </t>
  </si>
  <si>
    <t xml:space="preserve">Independent Practice as of 03 Feb 1975 </t>
  </si>
  <si>
    <t>Unit 202,60 St Clair Avenue East,Toronto ON  M4T 1N5</t>
  </si>
  <si>
    <t>(416) 960-1415</t>
  </si>
  <si>
    <t>First certificate of registration issued: Independent Practice Certificate||Effective:   03 Feb 1975</t>
  </si>
  <si>
    <t>Samuel Izenberg Medicine Professional Corporation</t>
  </si>
  <si>
    <t>Issued Date:  Sep 10 2014</t>
  </si>
  <si>
    <t>Dr. O. Izenberg (CPSO# 27197)</t>
  </si>
  <si>
    <t>Unit 202,60 St. Clair Avenue East,Toronto ON  M4T 1N5,(416) 960-1415</t>
  </si>
  <si>
    <t>86383</t>
  </si>
  <si>
    <t>Centre for Addiction,&amp; Mental Health (CAMH),80 Workman Way,Toronto ON  M6J 1H4</t>
  </si>
  <si>
    <t>(416) 535-8501 Ext. 39363</t>
  </si>
  <si>
    <t>Psychiatry||Effective: 30 Jun 2012||RCPSC Specialist
Child and Adolescent Psychiatry||Effective: 26 Sep 2013||RCPSC Specialist</t>
  </si>
  <si>
    <t>Dr. Oshrit Wanono Medicine Professional Corporation</t>
  </si>
  <si>
    <t>Issued Date:  Aug 20 2014</t>
  </si>
  <si>
    <t>Dr. O. Wanono (CPSO# 86383)</t>
  </si>
  <si>
    <t>Centre for Addition and Mental Health,4319 - 80 Workman Way,4th Floor,Toronto ON  M6J 1H4,(416) 535-8501</t>
  </si>
  <si>
    <t>111862</t>
  </si>
  <si>
    <t xml:space="preserve">Active Member as of 12 May 2017 </t>
  </si>
  <si>
    <t xml:space="preserve">Restricted as of 12 May 2017 </t>
  </si>
  <si>
    <t>University of Ibadan, 1988</t>
  </si>
  <si>
    <t>Kingston Health Sciences Centre,Hotel Dieu Hospital,166 Brock Street,Kingston ON  K7L 5G2</t>
  </si>
  <si>
    <t>(613) 544-3400 Ext. 2550</t>
  </si>
  <si>
    <t>Psychiatry||Effective: 12 May 2017||CPSO Recognized Specialist</t>
  </si>
  <si>
    <t>First certificate of registration issued: Restricted certificate||Effective:   12 May 2017
Terms and conditions imposed on certificate by Registration Committee||Effective:   12 May 2017
Expiry date attached to certificate of registration.||Expiry Date: 30 Jun 2020</t>
  </si>
  <si>
    <t>107960</t>
  </si>
  <si>
    <t xml:space="preserve">Active Member as of 10 Sep 2015 </t>
  </si>
  <si>
    <t xml:space="preserve">Independent Practice as of 10 Sep 2015 </t>
  </si>
  <si>
    <t>University of Ilorin, 1999</t>
  </si>
  <si>
    <t>Alliance Health Clinic,890A Lillooet Street West,Moose Jaw SK  S6H 8B4</t>
  </si>
  <si>
    <t>306-691-0030</t>
  </si>
  <si>
    <t>First certificate of registration issued: Independent Practice Certificate||Effective:   10 Sep 2015</t>
  </si>
  <si>
    <t>55042</t>
  </si>
  <si>
    <t xml:space="preserve">Active Member as of 12 May 1999 </t>
  </si>
  <si>
    <t xml:space="preserve">Independent Practice as of 12 May 1999 </t>
  </si>
  <si>
    <t>Complex Mental Schizophrenia,C.A.M.H.,Unit 2, Suite 301,1001 Queen Street West,Toronto ON  M6J 1H4</t>
  </si>
  <si>
    <t>(416) 535-8501 Ext. 32799</t>
  </si>
  <si>
    <t>THE ANNE JOHNSTON HEALTH STATION,2398 Yonge Street,Toronto ON  M4P 2H4,Canada,Phone:(416) 486-8666,Fax:(416) 486-8660,County:City of Toronto,Electoral District:10</t>
  </si>
  <si>
    <t>The University of Western Ontario, 01 Jul 1985  to 28 Feb 1986|Clinical Fellow - Family Medicine</t>
  </si>
  <si>
    <t>First certificate of registration issued: Postgraduate Education Certificate||Effective:   21 Dec 1984
Expired: Terms and conditions of certificate of registration||Expiry:      28 Feb 1986
Subsequent certificate of registration Issued: Independent Practice Certificate||Effective:   12 May 1999</t>
  </si>
  <si>
    <t>Diaz-Hermosillo Medicine Professional Corporation</t>
  </si>
  <si>
    <t>Issued Date:  Jun 06 2008</t>
  </si>
  <si>
    <t>Dr. P. Diaz-Hermosillo (CPSO# 55042)</t>
  </si>
  <si>
    <t>Schizophrenia Program,Centre for Addiction and Mental Health,Suite 301,1001 Queen Street West - Unit 2,Toronto ON  M6J 1H4,(416) 535-8501</t>
  </si>
  <si>
    <t>51572</t>
  </si>
  <si>
    <t>English, German, Italian, Portuguese, Spanish</t>
  </si>
  <si>
    <t>University of Chile, 1967</t>
  </si>
  <si>
    <t>87 Main St E,Sundridge ON  P0A 1Z0</t>
  </si>
  <si>
    <t>(705) 384 5392</t>
  </si>
  <si>
    <t>705 384 5514</t>
  </si>
  <si>
    <t>First certificate of registration issued: Postgraduate Education Certificate||Effective:   01 Jul 1981
Transfer of class of registration to: Hospital Practice Certificate||Effective:   29 Jun 1984
Transfer of class of registration to: Independent Practice Certificate||Effective:   08 Aug 1984</t>
  </si>
  <si>
    <t>42363</t>
  </si>
  <si>
    <t xml:space="preserve">Independent Practice as of 05 Mar 1990 </t>
  </si>
  <si>
    <t>National University of Ireland, 1974</t>
  </si>
  <si>
    <t>Centre for Addiction and,Mental Health,1001 Queen Street West,Toronto ON  M6J 1H4</t>
  </si>
  <si>
    <t>(416) 535-8501 Ext. 32702</t>
  </si>
  <si>
    <t>First certificate of registration issued: Postgraduate Education Certificate||Effective:   01 Jul 1976
Transfer of class of registration to: Hospital Practice Certificate||Effective:   28 Jun 1979
Transfer of class of registration to: Independent Practice Certificate||Effective:   05 Mar 1990</t>
  </si>
  <si>
    <t>P. L. Darby Medicine Professional Corporation</t>
  </si>
  <si>
    <t>Issued Date:  Dec 07 2015</t>
  </si>
  <si>
    <t>Dr. P. Darby (CPSO# 42363)</t>
  </si>
  <si>
    <t>Centre for Addiction and Mental Health,1001 Queen Street West,Toronto ON  M6J 1H4,(416) 979-6876</t>
  </si>
  <si>
    <t>96924</t>
  </si>
  <si>
    <t xml:space="preserve">Restricted as of 16 Nov 2017 </t>
  </si>
  <si>
    <t>University of Mumbai, 1998</t>
  </si>
  <si>
    <t>Kingston General Hospital,Burr Wing,Fourth Floor,76 Stuart Street,Kingston ON  K7L 2V7</t>
  </si>
  <si>
    <t>(613) 548-7839</t>
  </si>
  <si>
    <t>(613) 548-6030</t>
  </si>
  <si>
    <t>First certificate of registration issued: Restricted certificate||Effective:   01 Nov 2011
Terms and conditions imposed on certificate by Registration Committee||Effective:   01 Nov 2011
Expiry date attached to certificate of registration.||Expiry Date: 30 Jun 2014
Terms and conditions amended by Registration Committee||Effective:   11 Apr 2014
Terms and conditions amended by Registration Committee||Effective:   07 Apr 2017
Expiry date attached to certificate of registration||Expiry Date: 31 Oct 2018
Transfer of class of certificate to: Restricted certificate||Effective:   16 Nov 2017
Terms and conditions imposed on certificate by Registration Committee||Effective:   16 Nov 2017
Expiry date attached to certificate of registration.||Expiry Date: 30 Jun 2022</t>
  </si>
  <si>
    <t>Pallavi Nadkarni Medicine Professional Corporation</t>
  </si>
  <si>
    <t>Issued Date:  May 14 2012</t>
  </si>
  <si>
    <t>Dr. P. Nadkarni (CPSO# 96924)</t>
  </si>
  <si>
    <t>Kingston General Hospital,Department of Psychiatry,76 Stuart Street,BURR 4,Kingston ON  K7L 2V7,(613) 548-7839
Hotel Dieu Hospital,Hotel Dieu Hospital,Johnston 5,166 Brock Street,Kingston ON  K7L 5G2,(613) 544-3400</t>
  </si>
  <si>
    <t>92168</t>
  </si>
  <si>
    <t xml:space="preserve">Active Member as of 29 May 2018 </t>
  </si>
  <si>
    <t xml:space="preserve">Restricted as of 29 May 2018 </t>
  </si>
  <si>
    <t>University of Dar Es Salaam, 2001</t>
  </si>
  <si>
    <t>University of Toronto,8th Floor,250 College St,Toronto ON  M5T 1R8</t>
  </si>
  <si>
    <t>Psychiatry||Effective: 29 May 2018||CPSO Recognized Specialist</t>
  </si>
  <si>
    <t>University of Toronto, 05 Oct 2009  to 17 Dec 2009|PEAP - Clinical Fellow - Psychiatry
University of Toronto, 18 Dec 2009  to 30 Jun 2010|Clinical Fellow - Psychiatry
University of Toronto, 01 Jul 2010  to 30 Jun 2011|Clinical Fellow - Psychiatry
University of Toronto, 01 Jul 2011  to 30 Jun 2012|Clinical Fellow - Psychiatry
University of Toronto, 01 Jul 2012  to 31 Aug 2012|Clinical Fellow - Psychiatry</t>
  </si>
  <si>
    <t>First certificate of registration issued: Pre Entry Assessment Program Certificate||Effective:   07 Oct 2009
Transfer of class of registration to: Postgraduate Education Certificate||Effective:   18 Dec 2009
Expired: Terms and conditions of certificate of registration||Expiry:      31 Aug 2012
Subsequent certificate of registration issued: Restricted certificate||Effective:   29 May 2018
Expiry as per terms and conditions imposed on certificate||Expiry Date: 28 May 2025</t>
  </si>
  <si>
    <t>58003</t>
  </si>
  <si>
    <t xml:space="preserve">Active Member as of 04 Jul 1988 </t>
  </si>
  <si>
    <t xml:space="preserve">Independent Practice as of 04 Jul 1988 </t>
  </si>
  <si>
    <t>CAMH: Queen Street Site,100 Stokes St,Gender Clinic, third floor,,100 Stokes Street, Toronto M6G 1H4,Toronto ON  M6J 2H4</t>
  </si>
  <si>
    <t>(416) 535-8501 Ext. 36687</t>
  </si>
  <si>
    <t>(416)595-6821</t>
  </si>
  <si>
    <t>#403-1407 Yonge Street,Toronto ON  M4T 1Y7,Canada,Phone:416-922-3636,Fax:416-922-3646,County:City of Toronto,Electoral District:10
CAMH-College Street Site,250 College Street #1106,Toronto ON  M5T 1R8,Canada,Phone:416-535-8501 Ext. 36687,Fax:416-979-6815,County:City of Toronto,Electoral District:10</t>
  </si>
  <si>
    <t>Family Medicine||Effective: 12 Jun 1990||CFPC Specialist
Psychiatry||Effective: 30 Jun 2001||RCPSC Specialist</t>
  </si>
  <si>
    <t>University of Toronto, 01 Jul 1995  to 30 Jun 1996|Resident 1 - Psychiatry
University of Toronto, 01 Jul 1996  to 30 Jun 1997|Resident 2 - Psychiatry
University of Toronto, 01 Jul 1997  to 31 Dec 1997|Resident 2 - Psychiatry
University of Toronto, 01 Jan 1998  to 30 Jun 1998|Resident 2 - Psychiatry</t>
  </si>
  <si>
    <t>First certificate of registration issued: Postgraduate Education Certificate||Effective:   18 May 1987
Expired: Terms and conditions of certificate of registration||Expiry:      30 Jun 1988
Subsequent certificate of registration Issued: Independent Practice Certificate||Effective:   04 Jul 1988</t>
  </si>
  <si>
    <t>Dr. Pamela Stewart Medicine Professional Corporation</t>
  </si>
  <si>
    <t>Issued Date:  Sep 07 2012</t>
  </si>
  <si>
    <t>Dr. P. Stewart (CPSO# 58003)</t>
  </si>
  <si>
    <t>403 - 1407 Yonge Street,Toronto ON  M4T 1Y7,(416) 922-3636
100 Stokes Street,100 Stokes Street,Toronto ON  M6J 1H4,(416) 535-8501</t>
  </si>
  <si>
    <t>97086</t>
  </si>
  <si>
    <t xml:space="preserve">Active Member as of 05 Dec 2011 </t>
  </si>
  <si>
    <t xml:space="preserve">Restricted as of 05 Dec 2011 </t>
  </si>
  <si>
    <t>National University of Ireland, 2004</t>
  </si>
  <si>
    <t>Western University, Dept Psychiatry,&amp; London Health Sciences Centre,800 Commissioners Road East,Rm B8-070,London ON  N6A 5W9</t>
  </si>
  <si>
    <t>(519) 685-8500 Ext. 74775</t>
  </si>
  <si>
    <t>519 685-8403</t>
  </si>
  <si>
    <t>London Health Sciences Centre Victoria Hospital:London
London Health Sciences Centre,Children's Hospital of Western Ontario:London
London Health Sciences Centre,University Site:London
St Joseph Health Care,London- Mental Health:London
St Joseph's Health Care,London - Parkwood Hospital:London</t>
  </si>
  <si>
    <t>Child and Adolescent Psychiatry||Effective: 26 Sep 2017||RCPSC Specialist</t>
  </si>
  <si>
    <t>First certificate of registration issued: Restricted certificate||Effective:   05 Dec 2011
Terms and conditions imposed on certificate by Registration Committee||Effective:   05 Dec 2011
Expiry date attached to certificate of registration.||Expiry Date: 30 Jun 2014
Terms and conditions amended by Registration Committee||Effective:   10 Mar 2017
Expiry date attached to certificate of registration.||Expiry Date: 04 Dec 2018</t>
  </si>
  <si>
    <t>60658</t>
  </si>
  <si>
    <t>(807) 624-3400 Ext. 3506</t>
  </si>
  <si>
    <t>(807) 624-3525</t>
  </si>
  <si>
    <t>McMaster University, 01 Jul 1989  to 30 Jun 1990|Other - Comprehensive Internship
McMaster University, 01 Jul 1990  to 30 Jun 1991|Resident 2 - Family Medicine
University of Toronto, 01 Jul 2003  to 30 Jun 2004|PostGrad Yr 2 - Psychiatry
University of Toronto, 01 Jul 2004  to 30 Jun 2005|PostGrad Yr 3 - Psychiatry
University of Toronto, 01 Jul 2005  to 30 Jun 2006|PostGrad Yr 4 - Psychiatry
University of Toronto, 01 Jul 2006  to 30 Jun 2007|PostGrad Yr 5 - Psychiatry</t>
  </si>
  <si>
    <t>First certificate of registration issued: Postgraduate Education Certificate||Effective:   01 Jul 1989
Transfer of class of registration to: Independent Practice Certificate||Effective:   28 Jun 1991</t>
  </si>
  <si>
    <t>57361</t>
  </si>
  <si>
    <t xml:space="preserve">Independent Practice as of 11 Aug 1988 </t>
  </si>
  <si>
    <t>Suite 711,1235 Bay St.,Toronto ON  M5R 3K4</t>
  </si>
  <si>
    <t>(416) 230-1039</t>
  </si>
  <si>
    <t>First certificate of registration issued: Postgraduate Education Certificate||Effective:   01 Jul 1986
Expired: Terms and conditions of certificate of registration||Expiry:      31 Dec 1986
Subsequent certificate of registration Issued: Postgraduate Education Certificate||Effective:   01 Jul 1988
Transfer of class of registration to: Independent Practice Certificate||Effective:   11 Aug 1988</t>
  </si>
  <si>
    <t>102587</t>
  </si>
  <si>
    <t xml:space="preserve">Active Member as of 22 Jul 2016 </t>
  </si>
  <si>
    <t xml:space="preserve">Independent Practice as of 22 Jul 2016 </t>
  </si>
  <si>
    <t>English, Hindi, Kannada, Tamil, Telugu, Urdu</t>
  </si>
  <si>
    <t>Mysore University, 1995</t>
  </si>
  <si>
    <t>Royal Victoria Hospital,201 Gallie Crt,Barrie ON  L4M 6M2</t>
  </si>
  <si>
    <t>Unit 4A,2200 Dundas St E,Mississauga ON  L4X 2V3,Canada,Phone:(905) 232-0720,County:Regional Municipality of Peel,Electoral District:05</t>
  </si>
  <si>
    <t>First certificate of registration issued: Restricted certificate||Effective:   01 Mar 2014
Terms and conditions imposed on certificate by Registration Committee||Effective:   01 Mar 2014
Expiry date attached to certificate of registration.||Expiry Date: 30 Jun 2017
Expired: Terms and conditions imposed on certificate by Registration Committee||Effective:   22 Jul 2016
Subsequent certificate of registration Issued: Independent Practice Certificate||Effective:   22 Jul 2016</t>
  </si>
  <si>
    <t>Pappu Reddy Medicine Professional Corporation</t>
  </si>
  <si>
    <t>Issued Date:  May 16 2014</t>
  </si>
  <si>
    <t>Dr. P. Reddy (CPSO# 102587)</t>
  </si>
  <si>
    <t>Royal Victoria Hospital,201 Georgian Drive,Barrie ON  L4M 6M2
2200 Dundas Street East,2200 Dundas Street East,427 Dundas Clinic,Mississauga ON  L4X 2V3</t>
  </si>
  <si>
    <t>97607</t>
  </si>
  <si>
    <t xml:space="preserve">Active Member as of 08 Sep 2017 </t>
  </si>
  <si>
    <t xml:space="preserve">Independent Practice as of 08 Sep 2017 </t>
  </si>
  <si>
    <t>Psychiatry||Effective: 31 Aug 2017||RCPSC Specialist</t>
  </si>
  <si>
    <t>McMaster University, 01 Jul 2012  to 30 Jun 2013|PostGrad Yr 1 - Psychiatry
McMaster University, 01 Jul 2013  to 30 Jun 2014|PostGrad Yr 2 - Psychiatry
McMaster University, 01 Jul 2014  to 22 Sep 2014|PostGrad Yr 2 - Psychiatry
McMaster University, 23 Sep 2014  to 30 Jun 2015|PostGrad Yr 3 - Psychiatry
McMaster University, 01 Jul 2015  to 22 Sep 2015|PostGrad Yr 3 - Psychiatry
McMaster University, 23 Sep 2015  to 30 Jun 2016|PostGrad Yr 4 - Psychiatry
McMaster University, 01 Jul 2016  to 22 Sep 2016|PostGrad Yr 4 - Psychiatry
McMaster University, 23 Sep 2016  to 30 Jun 2017|PostGrad Yr 5 - Psychiatry
McMaster University, 01 Jul 2017  to 31 Aug 2017|PostGrad Yr 5 - Psychiatry</t>
  </si>
  <si>
    <t>First certificate of registration issued: Postgraduate Education Certificate||Effective:   01 Jul 2012
Expired: Terms and conditions of certificate of registration||Expiry:      31 Aug 2017
Subsequent certificate of registration Issued: Independent Practice Certificate||Effective:   08 Sep 2017</t>
  </si>
  <si>
    <t>63242</t>
  </si>
  <si>
    <t xml:space="preserve">Active Member as of 05 Nov 1990 </t>
  </si>
  <si>
    <t>University of Calcutta, 1977</t>
  </si>
  <si>
    <t>Brampton Civic Hospital,William Osler Health Centre,Department Of Mental Health,2100 Bovaird Drive East,Brampton ON  L6R 3J7</t>
  </si>
  <si>
    <t>(905) 494-2120 Ext. 57712</t>
  </si>
  <si>
    <t>First certificate of registration issued: Independent Practice Certificate||Effective:   05 Nov 1990</t>
  </si>
  <si>
    <t>Acharyya Medicine Professional Corporation</t>
  </si>
  <si>
    <t>Issued Date:  Jul 15 2009</t>
  </si>
  <si>
    <t>Dr. P. Acharyya (CPSO# 63242)</t>
  </si>
  <si>
    <t>Brampton Civic Hospital,William Olser Health Centre,Department of Mental Health,2100 Bovaird Drive East,Brampton ON  L6R 3J7,(905) 494-2120</t>
  </si>
  <si>
    <t>87960</t>
  </si>
  <si>
    <t>All-India Institute of Medical Sciences, 1996</t>
  </si>
  <si>
    <t>Youthdale Treatment Centre,Department of Psychiatry,227 Victoria Street,Toronto ON  M5B 1T8</t>
  </si>
  <si>
    <t>(416) 363-3751 Ext. 2041</t>
  </si>
  <si>
    <t>(416) 368-3192</t>
  </si>
  <si>
    <t>Psychiatry||Effective: 30 Jun 2010||RCPSC Specialist
Child and Adolescent Psychiatry||Effective: 23 Sep 2014||RCPSC Specialist</t>
  </si>
  <si>
    <t>University of Toronto, 01 Jan 2008  to 25 Feb 2008|PEAP - Clinical Fellow - Psychiatry
University of Toronto, 26 Feb 2008  to 30 Jun 2008|Clinical Fellow - Psychiatry
University of Toronto, 01 Jul 2008  to 30 Jun 2009|Clinical Fellow - Psychiatry
University of Toronto, 01 Jul 2009  to 30 Jun 2010|PostGrad Yr 5 - Psychiatry</t>
  </si>
  <si>
    <t>First certificate of registration issued: Pre Entry Assessment Program Certificate||Effective:   01 Jan 2008
Transfer of class of registration to: Postgraduate Education Certificate||Effective:   26 Feb 2008
Expired: Terms and conditions of certificate of registration||Expiry:      30 Jun 2009
Subsequent certificate of registration Issued: Postgraduate Education Certificate||Effective:   01 Jul 2009
Transfer of class of registration to: Independent Practice Certificate||Effective:   30 Jun 2010</t>
  </si>
  <si>
    <t>Bhatia Agarwal Medicine Professional Corporation</t>
  </si>
  <si>
    <t>Dr. P. Agarwal (CPSO# 87960),Dr. A. Bhatia (CPSO# 87551)</t>
  </si>
  <si>
    <t>UHN Toronto Western Hospital,Department of Anaesthesia,MCL 2- 405,399 Bathurst Street,Toronto ON  M5T 2S8,(416) 603-5118
Youthdale Treatment Centre,Youthdale Treatment Centre,Department of Psychiatry,227 Victoria Street,Toronto ON  M5B 1T8,(416) 363-3751</t>
  </si>
  <si>
    <t>30910</t>
  </si>
  <si>
    <t xml:space="preserve">Active Member as of 04 Jul 1979 </t>
  </si>
  <si>
    <t xml:space="preserve">Independent Practice as of 04 Jul 1979 </t>
  </si>
  <si>
    <t>University of Dar Es Salaam, 1973</t>
  </si>
  <si>
    <t>85 Ellesmere Road Suite 213,Scarborough, ON,M1R 4B8,Toronto ON  M1R 4B8</t>
  </si>
  <si>
    <t>(416) 444-9355</t>
  </si>
  <si>
    <t>(416) 444-7768</t>
  </si>
  <si>
    <t>First certificate of registration issued: Independent Practice Certificate||Effective:   04 Jul 1979</t>
  </si>
  <si>
    <t>Parviz Jamal Medicine Professional Corporation</t>
  </si>
  <si>
    <t>Issued Date:  Jul 06 2016</t>
  </si>
  <si>
    <t>Dr. P. Jamal (CPSO# 30910)</t>
  </si>
  <si>
    <t>Healthy Lifestyle &amp; Wellness Clinic,213 - 85 Ellesmere Road,Scarborough ON  M1R 4B8,(416) 444-9355</t>
  </si>
  <si>
    <t>95257</t>
  </si>
  <si>
    <t>Hotel-Dieu Grace Healthcare,Department of Psychiatry,1453 Prince Road,Windsor ON  N9C 3Z4</t>
  </si>
  <si>
    <t>(519) 990-9423</t>
  </si>
  <si>
    <t>(519) 979-0000</t>
  </si>
  <si>
    <t>Hotel Dieu Grace Healthcare,Tayfour Campus:Windsor</t>
  </si>
  <si>
    <t>The University of Western Ontario, 01 Jul 2011  to 30 Jun 2012|PostGrad Yr 1 - Psychiatry
The University of Western Ontario, 01 Jul 2012  to 30 Jun 2013|PostGrad Yr 2 - Psychiatry
The University of Western Ontario, 01 Jul 2013  to 30 Jun 2014|PostGrad Yr 3 - Psychiatry
The University of Western Ontario, 01 Jul 2014  to 30 Jun 2015|PostGrad Yr 4 - Psychiatry
The University of Western Ontario, 01 Jul 2015  to 30 Jun 2016|PostGrad Yr 5 - Psychiatry</t>
  </si>
  <si>
    <t>First certificate of registration issued: Postgraduate Education Certificate||Effective:   01 Jul 2011
Expired: Terms and conditions of certificate of registration||Expiry:      30 Jun 2015
Subsequent certificate of registration issued: Restricted certificate||Effective:   01 Jul 2015
Expired: Terms and conditions imposed on certificate by Registration Committee||Effective:   30 Jun 2016
Subsequent certificate of registration Issued: Independent Practice Certificate||Effective:   30 Jun 2016</t>
  </si>
  <si>
    <t>Montaleone Medicine Professional Corporation</t>
  </si>
  <si>
    <t>Dr. P. Montaleone (CPSO# 95257)</t>
  </si>
  <si>
    <t>875 Ouellette Avenue,Windsor ON  N9A 4J6,(519) 254-7566
3520 Dougall Avenue,3520 Dougall Avenue,Windsor ON  N9E 1T2,(519) 257-5111
Hotel-Dieu Grace Healthcare,Hotel-Dieu Grace Healthcare,Department of Psychiatry,1453 Prince Road,Windsor ON  N9C 3Z4,(519) 257-5111</t>
  </si>
  <si>
    <t>56978</t>
  </si>
  <si>
    <t xml:space="preserve">Active Member as of 15 Aug 2007 </t>
  </si>
  <si>
    <t xml:space="preserve">Independent Practice as of 15 Aug 2007 </t>
  </si>
  <si>
    <t>Waypoint Mental Health Centre,500 Church Street,Penetanguishene ON,Penetanguishene ON  L9M 1G3</t>
  </si>
  <si>
    <t>7055493181 Ext. 2591</t>
  </si>
  <si>
    <t>7055490266</t>
  </si>
  <si>
    <t>McMaster University, 01 Jul 1986  to 30 Jun 1987|Other - Comprehensive Internship
McMaster University, 01 Jul 1987  to 30 Jun 1988|Resident 1 - Psychiatry
McMaster University, 01 Jul 1988  to 30 Jun 1989|Resident 2 - Psychiatry
McMaster University, 01 Jul 1989  to 30 Jun 1990|Resident 3 - Psychiatry
McMaster University, 01 Jul 1990  to 30 Jun 1991|Resident 4 - Psychiatry
McMaster University, 01 Sep 1999  to 31 Aug 2000|Clinical Fellow - Psychiatry
McMaster University, 01 Sep 2000  to 30 Jun 2001|Clinical Fellow - Psychiatry</t>
  </si>
  <si>
    <t>First certificate of registration issued: Postgraduate Education Certificate||Effective:   01 Jul 1986
Transfer of class of registration to: Independent Practice Certificate||Effective:   05 Oct 1987
Expired: Resigned from membership.||Expiry:      01 Jun 2006
Subsequent certificate of registration Issued: Independent Practice Certificate||Effective:   15 Aug 2007</t>
  </si>
  <si>
    <t>Patricia Lepage Medicine Professional Corporation</t>
  </si>
  <si>
    <t>70322</t>
  </si>
  <si>
    <t>600 Sherbourne St., #408,Toronto ON  M4X 1W4</t>
  </si>
  <si>
    <t>647-349-8311</t>
  </si>
  <si>
    <t>450-924-2423</t>
  </si>
  <si>
    <t>Toronto General Hospital,200 Elizabeth St.,7 Eaton South, Room 409,Toronto ON  M5G 2C4,Canada,Phone:416-340-4229,Fax:416-340-3430,County:City of Toronto,Electoral District:10
Centre for Addiction and Mental,Health,Room 533,250 College Street,Toronto ON  M5T 1R8,Canada,Phone:(416) 535-8501,Fax:(416) 979-6932,County:City of Toronto,Electoral District:10</t>
  </si>
  <si>
    <t>University of Toronto, 01 Jul 1996  to 30 Jun 1997|PostGrad Yr 1 - Psychiatry
University of Toronto, 01 Jul 1997  to 30 Jun 1998|PostGrad Yr 2 - Psychiatry
University of Toronto, 01 Jul 1998  to 30 Jun 1999|PostGrad Yr 2 - Psychiatry
University of Toronto, 01 Jul 1999  to 30 Jun 2000|PostGrad Yr 3 - Clinician Investigator
University of Toronto, 01 Jul 2000  to 31 Dec 2000|PostGrad Yr 3 - Clinician Investigator
University of Toronto, 01 Jan 2001  to 30 Jun 2001|PostGrad Yr 3 - Psychiatry
University of Toronto, 01 Jul 2001  to 30 Jun 2002|PostGrad Yr 4 - Psychiatry
University of Toronto, 01 Jul 2002  to 31 Mar 2003|PostGrad Yr 4 - Psychiatry
University of Toronto, 01 Apr 2003  to 30 Jun 2003|PostGrad Yr 5 - Psychiatry
University of Toronto, 01 Jul 2003  to 30 Jun 2004|PostGrad Yr 5 - Psychiatry</t>
  </si>
  <si>
    <t>First certificate of registration issued: Postgraduate Education Certificate||Effective:   01 Jul 1996
Transfer of class of registration to: Independent Practice Certificate||Effective:   30 Jun 2004</t>
  </si>
  <si>
    <t>Colton and Kurdyak Medicine Professional Corporation</t>
  </si>
  <si>
    <t>Issued Date:  Jul 24 2015</t>
  </si>
  <si>
    <t>Dr. P. Colton (CPSO# 70322),Dr. P. Kurdyak (CPSO# 71392)</t>
  </si>
  <si>
    <t>408 - 600 Sherbourne Street,Toronto ON  M4X 1W4,(647) 349-8311
Centre for Addiction and Mental Health,Centre for Addiction and Mental Health,33 Russell Street,Room T305,Toronto ON  M5S 2S1,(416) 535-8501</t>
  </si>
  <si>
    <t>80875</t>
  </si>
  <si>
    <t xml:space="preserve">Active Member as of 04 Jan 2010 </t>
  </si>
  <si>
    <t xml:space="preserve">Independent Practice as of 04 Jan 2010 </t>
  </si>
  <si>
    <t>Zone B 8th Floor Room B8-162,800 Commissioners Rd E,London ON  N6A 5W9</t>
  </si>
  <si>
    <t>London Health Sciences Centre Victoria Hospital:London
London Health Sciences Centre,Children's Hospital of Western Ontario:London
London Health Sciences Centre,University Site:London
St Joseph Health Care,London- Mental Health:London</t>
  </si>
  <si>
    <t>Psychiatry||Effective: 31 Dec 2009||RCPSC Specialist</t>
  </si>
  <si>
    <t>The University of Western Ontario, 01 Jul 2004  to 30 Jun 2005|PostGrad Yr 1 - Psychiatry
The University of Western Ontario, 01 Jul 2005  to 30 Jun 2006|PostGrad Yr 2 - Psychiatry
The University of Western Ontario, 01 Jul 2006  to 30 Jun 2007|PostGrad Yr 3 - Psychiatry
The University of Western Ontario, 01 Jul 2007  to 31 Dec 2007|PostGrad Yr 3 - Psychiatry
The University of Western Ontario, 01 Jan 2008  to 31 Dec 2008|PostGrad Yr 4 - Psychiatry
The University of Western Ontario, 01 Jan 2009  to 31 Dec 2009|PostGrad Yr 5 - Psychiatry</t>
  </si>
  <si>
    <t>First certificate of registration issued: Postgraduate Education Certificate||Effective:   01 Jul 2004
Expired: Terms and conditions of certificate of registration||Expiry:      31 Dec 2009
Subsequent certificate of registration Issued: Independent Practice Certificate||Effective:   04 Jan 2010</t>
  </si>
  <si>
    <t>74693</t>
  </si>
  <si>
    <t xml:space="preserve">Active Member as of 09 Jan 2006 </t>
  </si>
  <si>
    <t xml:space="preserve">Independent Practice as of 09 Jan 2006 </t>
  </si>
  <si>
    <t>West Niagara Mental health,167 Main St E,Grimsby ON  L3M 1P2</t>
  </si>
  <si>
    <t>905 309-3336</t>
  </si>
  <si>
    <t>905 309-4446</t>
  </si>
  <si>
    <t>West Niagara Mental Health,167A Main Street East,Grimsby ON  L3M 1P2,Canada,Phone:(905) 309-3336,County:Regional Municipality of Niagara,Electoral District:04</t>
  </si>
  <si>
    <t>St Joseph's Healthcare System,Hamilton:Hamilton
West Lincoln Memorial Hospital:Grimsby</t>
  </si>
  <si>
    <t>Psychiatry||Effective: 30 Nov 2005||RCPSC Specialist</t>
  </si>
  <si>
    <t>McMaster University, 01 Jul 2000  to 30 Jun 2001|PostGrad Yr 1 - Psychiatry
McMaster University, 01 Jul 2001  to 31 Dec 2001|PostGrad Yr 1 - Psychiatry
McMaster University, 01 Jan 2002  to 30 Jun 2002|PostGrad Yr 2 - Psychiatry
McMaster University, 01 Jul 2002  to 31 Dec 2002|PostGrad Yr 2 - Psychiatry
McMaster University, 01 Jan 2003  to 31 Dec 2003|PostGrad Yr 3 - Psychiatry
McMaster University, 01 Jan 2004  to 31 Dec 2004|PostGrad Yr 4 - Psychiatry
McMaster University, 01 Jan 2005  to 30 Jun 2005|PostGrad Yr 5 - Psychiatry
McMaster University, 01 Jul 2005  to 30 Nov 2005|PostGrad Yr 5 - Psychiatry</t>
  </si>
  <si>
    <t>First certificate of registration issued: Postgraduate Education Certificate||Effective:   01 Jul 2000
Expired: Terms and conditions of certificate of registration||Expiry:      30 Nov 2005
Subsequent certificate of registration Issued: Independent Practice Certificate||Effective:   09 Jan 2006</t>
  </si>
  <si>
    <t>Dr. Patricia Rutherford Medicine Professional Corporation</t>
  </si>
  <si>
    <t>Dr. P. Rutherford (CPSO# 74693)</t>
  </si>
  <si>
    <t>West Lincoln Memorial Hospital,167A Main Street East,Grimsby ON  L3M 1P2,(905) 309-3336
St. Joseph's Healthcare,St. Joseph's Healthcare,Department of Psychiatry,50 Charlton Street East,Hamilton ON  L8N 4A6,(905) 522-1155</t>
  </si>
  <si>
    <t>109390</t>
  </si>
  <si>
    <t xml:space="preserve">Active Member as of 06 Jun 2016 </t>
  </si>
  <si>
    <t xml:space="preserve">Independent Practice as of 06 Jun 2016 </t>
  </si>
  <si>
    <t>First certificate of registration issued: Independent Practice Certificate||Effective:   06 Jun 2016</t>
  </si>
  <si>
    <t>Dr. Patricia C. M. Nolan Medicine Professional Corporation</t>
  </si>
  <si>
    <t>Dr. P. Nolan (CPSO# 109390)</t>
  </si>
  <si>
    <t>60663</t>
  </si>
  <si>
    <t xml:space="preserve">Independent Practice as of 05 Feb 1992 </t>
  </si>
  <si>
    <t>CAMH,West Wing,1001 Queen Street West,Toronto ON  M6J 1H4</t>
  </si>
  <si>
    <t>(416) 535-8501 Ext. 32610</t>
  </si>
  <si>
    <t>Centre for Addiction &amp; Mental Health,Queen Street Site:Toronto
Centre of Addiction &amp; Mental Health,- College Street Site:Toronto
St Michael's Hospital:Toronto</t>
  </si>
  <si>
    <t>University of Toronto, 12 Jun 1989  to 11 Jun 1990|Other - Rotating Internship
McMaster University, 01 Jul 1990  to 30 Jun 1991|Resident 1 - Diagnostic Radiology
McMaster University, 01 Jan 1992  to 30 Jun 1992|Resident 1 - Diagnostic Radiology
University of Toronto, 01 Jul 1992  to 30 Jun 1993|Resident 1 - Psychiatry
University of Toronto, 01 Jul 1993  to 30 Jun 1994|Resident 2 - Psychiatry
University of Toronto, 01 Jul 1994  to 30 Jun 1995|Resident 3 - Psychiatry
University of Toronto, 01 Jul 1995  to 30 Jun 1996|Resident 4 - Psychiatry</t>
  </si>
  <si>
    <t>First certificate of registration issued: Postgraduate Education Certificate||Effective:   12 Jun 1989
Expired: Terms and conditions of certificate of registration||Expiry:      30 Jun 1991
Subsequent certificate of registration Issued: Independent Practice Certificate||Effective:   05 Feb 1992</t>
  </si>
  <si>
    <t>Patricia D. Cavanagh Medicine Professional Corporation</t>
  </si>
  <si>
    <t>Issued Date:  Mar 01 2010</t>
  </si>
  <si>
    <t>Dr. P. Cavanagh (CPSO# 60663)</t>
  </si>
  <si>
    <t>CAMH,West Wing,1001 Queen Street West,Toronto ON  M6J 1H4,(416) 535-8501</t>
  </si>
  <si>
    <t>53584</t>
  </si>
  <si>
    <t xml:space="preserve">Active Member as of 10 Sep 1986 </t>
  </si>
  <si>
    <t xml:space="preserve">Independent Practice as of 10 Sep 1986 </t>
  </si>
  <si>
    <t>Department Of Psychiatry,St Joseph's Hospital,Fontbonne Building Suite F401,301 James Street South,Hamilton ON  L8P 3B6</t>
  </si>
  <si>
    <t>(905) 522-1155 Ext. 33674</t>
  </si>
  <si>
    <t>(905) 308-7202</t>
  </si>
  <si>
    <t>Hamilton General Hospital,Medical Psychiatry,237 Barton Street 4th Floor,Hamilton,Hamilton ON  L8L 2X2,Canada,Phone:(905) 521-2100,Fax:(905) 308-7202,County:Regional Municipality of Hamilton-Wentworth,Electoral District:04
McMaster University Medical Centre,4V1 Clinic - Neuropsychiatry,1200 Main Street West,Hamilton ON  L8N 3Z5,Canada,Phone:(905) 521-2100,Fax:905-308-7202,County:Regional Municipality of Hamilton-Wentworth,Electoral District:04</t>
  </si>
  <si>
    <t>First certificate of registration issued: Postgraduate Education Certificate||Effective:   16 Jun 1980
Expired: Terms and conditions of certificate of registration||Expiry:      16 Jun 1981
Subsequent certificate of registration Issued: Independent Practice Certificate||Effective:   06 Oct 1983
Expired: Resigned from membership.||Expiry:      30 Aug 1984
Subsequent certificate of registration Issued: Independent Practice Certificate||Effective:   10 Sep 1986</t>
  </si>
  <si>
    <t>Rosebush Mazurek Medicine Professional Corporation</t>
  </si>
  <si>
    <t>Issued Date:  Feb 09 2010</t>
  </si>
  <si>
    <t>Dr. M. Mazurek (CPSO# 33718),Dr. P. Rosebush (CPSO# 53584)</t>
  </si>
  <si>
    <t>Department of Psychiatry,Suite F401,301 James Street South,Hamilton ON  L8P 3B6,(905) 522-1155
McMaster University Medical Centre,McMaster University Medical Centre,Room 4U5,1200 Main Street West,Hamilton ON  L8N 3Z5,(905) 521-2100
166 Balsam Avenue,166 Balsam Avenue,Toronto ON  M4E 3C1,(416) 566-3863</t>
  </si>
  <si>
    <t>71358</t>
  </si>
  <si>
    <t xml:space="preserve">Active Member as of 27 Jun 2003 </t>
  </si>
  <si>
    <t xml:space="preserve">Independent Practice as of 27 Jun 2003 </t>
  </si>
  <si>
    <t>Health Canada,Postal Locator 1919A,Jeanne Mance Building,Tunney's Pasture,Ottawa ON  K1A 0L3</t>
  </si>
  <si>
    <t>613-858-6011</t>
  </si>
  <si>
    <t>University of Toronto, 01 Jul 1997  to 30 Jun 1998|PostGrad Yr 1 - Psychiatry
University of Toronto, 01 Jul 1998  to 30 Jun 1999|PostGrad Yr 2 - Psychiatry
University of Toronto, 01 Jul 1999  to 30 Jun 2000|PostGrad Yr 3 - Psychiatry
University of Toronto, 01 Jul 2000  to 30 Jun 2001|PostGrad Yr 4 - Psychiatry
University of Toronto, 01 Jul 2001  to 31 Jul 2001|PostGrad Yr 4 - Psychiatry
University of Toronto, 01 Aug 2001  to 30 Jun 2002|PostGrad Yr 5 - Psychiatry
University of Toronto, 01 Jul 2002  to 31 Dec 2002|PostGrad Yr 5 - Psychiatry</t>
  </si>
  <si>
    <t>First certificate of registration issued: Postgraduate Education Certificate||Effective:   01 Jul 1997
Expired: Terms and conditions of certificate of registration||Expiry:      31 Dec 2002
Subsequent certificate of registration Issued: Independent Practice Certificate||Effective:   27 Jun 2003</t>
  </si>
  <si>
    <t>51140</t>
  </si>
  <si>
    <t xml:space="preserve">Active Member as of 05 Feb 1985 </t>
  </si>
  <si>
    <t xml:space="preserve">Independent Practice as of 05 Jul 1996 </t>
  </si>
  <si>
    <t>St Joseph's Healthcare,Charlton Avenue Site,50 Charlton Avenue East,Hamilton ON  L8N 4A6</t>
  </si>
  <si>
    <t>(905) 522-1155 Ext. 33243</t>
  </si>
  <si>
    <t>(905) 521-6171</t>
  </si>
  <si>
    <t>St Joseph Health Care,Mountain Site,West 5th,,Hamilton ON  L8P 3R2,Canada,Phone:(905) 522-1155 Ext. 36040,Fax:(905) 521-6059,County:Regional Municipality of Hamilton-Wentworth,Electoral District:04</t>
  </si>
  <si>
    <t>McMaster University, 01 Jul 1980  to 30 Jun 1981|Resident 1 - Psychiatry
McMaster University, 01 Jul 1981  to 30 Jun 1982|Resident 2 - Psychiatry
McMaster University, 01 Jul 1982  to 30 Jun 1983|Resident 3 - Psychiatry
McMaster University, 01 Jul 1983  to 30 Nov 1983|Resident 4 - Psychiatry
McMaster University, 12 Sep 1984  to 31 Dec 1984|Clinical Fellow - Psychiatry</t>
  </si>
  <si>
    <t>First certificate of registration issued: Postgraduate Education Certificate||Effective:   01 Jul 1979
Expired: Terms and conditions of certificate of registration||Expiry:      30 Nov 1983
Subsequent certificate of registration Issued: Postgraduate Education Certificate||Effective:   28 Sep 1984
Expired: Terms and conditions of certificate of registration||Expiry:      31 Dec 1984
Subsequent certificate of registration Issued: Hospital Practice Certificate||Effective:   05 Feb 1985
Transfer of class of registration to: Independent Practice Certificate||Effective:   05 Jul 1996</t>
  </si>
  <si>
    <t>21028</t>
  </si>
  <si>
    <t xml:space="preserve">Active Member as of 29 Aug 1967 </t>
  </si>
  <si>
    <t xml:space="preserve">Independent Practice as of 29 Aug 1967 </t>
  </si>
  <si>
    <t>North Bay Regional Health Centre,50 College Dr.,P.O. Box 2500,North Bay ON  P1B 5A4</t>
  </si>
  <si>
    <t>(705) 474-8600 Ext. 3637</t>
  </si>
  <si>
    <t>(705) 495-7836</t>
  </si>
  <si>
    <t>Canadian Mental Health Association,Sundridge ON  P0A 1Z0,Canada,Phone:(705) 384-5392,Fax:(705) 384-5514,County:Territorial District of Parry Sound,Electoral District:08</t>
  </si>
  <si>
    <t>First certificate of registration issued: Postgraduate Education Certificate||Effective:   01 Jul 1966
Transfer of class of registration to: Independent Practice Certificate||Effective:   29 Aug 1967</t>
  </si>
  <si>
    <t>88618</t>
  </si>
  <si>
    <t>ONT Shores Centre for Mental Health,Department of Psychiatry,700 Gordon St,Whitby ON  L1N 5S9</t>
  </si>
  <si>
    <t>Charis Clinic for Mental Wellness,Suite 502,245 Fairview Mall Dr,Toronto ON  M2J 4T1,Canada,Phone:(647) 350-7675 Ext. 1,Fax:(905) 209-0800,County:City of Toronto,Electoral District:10</t>
  </si>
  <si>
    <t>First certificate of registration issued: Postgraduate Education Certificate||Effective:   01 Jul 2008
Expired: Terms and conditions of certificate of registration||Expiry:      30 Jun 2011
Subsequent certificate of registration issued: Restricted certificate||Effective:   01 Jul 2011
Transfer of class of registration to: Independent Practice Certificate||Effective:   30 Jun 2013</t>
  </si>
  <si>
    <t>Dr. P. Lo Medicine Professional Corporation</t>
  </si>
  <si>
    <t>Issued Date:  Jun 10 2013</t>
  </si>
  <si>
    <t>Dr. P. Lo (CPSO# 88618)</t>
  </si>
  <si>
    <t>ONT Shores Centre for Mental Health,Department of Psychiatry,700 Gordon Street,Whitby ON  L1N 5S9,(905) 430-4055
Suite 502,Suite 502,245 Fairview Mall Drive,Toronto ON  M2J 4T1</t>
  </si>
  <si>
    <t>50253</t>
  </si>
  <si>
    <t xml:space="preserve">Independent Practice as of 29 Jul 1983 </t>
  </si>
  <si>
    <t>Department Of Psychiatry,Alexandra Marine And,General Hospital,120 Napier Street,Goderich ON  N7A 1W5</t>
  </si>
  <si>
    <t>(519) 524-8323</t>
  </si>
  <si>
    <t>5195248513</t>
  </si>
  <si>
    <t>50 South Street,Goderich ON  N7A 3L5,Canada,Phone:(519) 524-8323,Fax:(519) 524-2745,County:County of Huron,Electoral District:02</t>
  </si>
  <si>
    <t>Alexandra Marine and General Hospital:Goderich
Clinton Public Hospital:Clinton
Seaforth Community Hospital:Seaforth
South Huron Hospital:Exeter
Wingham and District Hospital:Wingham</t>
  </si>
  <si>
    <t>First certificate of registration issued: Postgraduate Education Certificate||Effective:   15 Jun 1982
Transfer of class of registration to: Independent Practice Certificate||Effective:   29 Jul 1983</t>
  </si>
  <si>
    <t>Patrick Conlon Medicine Professional Corporation</t>
  </si>
  <si>
    <t>Issued Date:  Jan 16 2008</t>
  </si>
  <si>
    <t>Dr. P. Conlon (CPSO# 50253),Dr. V. Macleod (CPSO# 61678)</t>
  </si>
  <si>
    <t>Department of Psychiatry,Alexander Marine &amp; General Hospital,120 Napier Street,Goderich ON  N7A 1W5,(519) 524-8323</t>
  </si>
  <si>
    <t>58443</t>
  </si>
  <si>
    <t xml:space="preserve">Active Member as of 21 Jun 1988 </t>
  </si>
  <si>
    <t xml:space="preserve">Independent Practice as of 21 Jun 1988 </t>
  </si>
  <si>
    <t>10903 New Hampshire Avenue,Silver Spring MD  20993,United States</t>
  </si>
  <si>
    <t>(301)594-5400</t>
  </si>
  <si>
    <t>University of Ottawa, 01 Jul 1995  to 31 Dec 1995|Resident 4 - Psychiatry
University of Ottawa, 01 Mar 1996  to 30 Jun 1996|Clinical Fellow - Psychiatry
University of Ottawa, 01 Jul 1996  to 28 Feb 1997|Clinical Fellow - Psychiatry
University of Ottawa, 01 Mar 1997  to 30 Jun 1997|Clinical Fellow - Psychiatry</t>
  </si>
  <si>
    <t>First certificate of registration issued: Postgraduate Education Certificate||Effective:   15 Jun 1987
Expired: Terms and conditions of certificate of registration||Expiry:      14 Jun 1988
Subsequent certificate of registration Issued: Independent Practice Certificate||Effective:   21 Jun 1988</t>
  </si>
  <si>
    <t>71392</t>
  </si>
  <si>
    <t>Centre for Addiction &amp; Mental,Health,33 Russell Street,Toronto ON  M5S 2S1</t>
  </si>
  <si>
    <t>(416) 535-8501 Ext. 34968</t>
  </si>
  <si>
    <t>(416) 979-6810</t>
  </si>
  <si>
    <t>University of Toronto, 01 Jul 1997  to 30 Jun 1998|PostGrad Yr 1 - Psychiatry
University of Toronto, 01 Jul 1998  to 30 Jun 1999|PostGrad Yr 2 - Psychiatry
University of Toronto, 01 Jul 1999  to 30 Jun 2000|PostGrad Yr 3 - Psychiatry
University of Toronto, 01 Jul 2000  to 30 Jun 2001|PostGrad Yr 3 - Psychiatry
University of Toronto, 01 Jul 2001  to 30 Jun 2002|PostGrad Yr 4 - Psychiatry
University of Toronto, 01 Jul 2002  to 30 Jun 2003|PostGrad Yr 5 - Psychiatry
University of Toronto, 01 Jul 2003  to 30 Jun 2004|Clinical Fellow - Psychiatry
University of Toronto, 01 Jul 2004  to 30 Jun 2005|Clinical Fellow - Psychiatry</t>
  </si>
  <si>
    <t>First certificate of registration issued: Postgraduate Education Certificate||Effective:   01 Jul 1997
Transfer of class of registration to: Independent Practice Certificate||Effective:   30 Jun 2003</t>
  </si>
  <si>
    <t>72571</t>
  </si>
  <si>
    <t xml:space="preserve">Independent Practice as of 24 Jun 2000 </t>
  </si>
  <si>
    <t>1804 Hwy 2 East,Brockville ON  K6V 5W7</t>
  </si>
  <si>
    <t>1145 Carling Ave,Ottawa ON  K1Z 7K4,Canada,Phone:(613) 722-6521,County:Regional Municipality of Ottawa-Carleton,Electoral District:07</t>
  </si>
  <si>
    <t>University of Ottawa, 01 Jul 1998  to 30 Jun 1999|PostGrad Yr 1 - Family Medicine
University of Ottawa, 01 Jul 1999  to 30 Jun 2000|PostGrad Yr 2 - Family Medicine
University of Ottawa, 01 Jul 2005  to 30 Jun 2006|PostGrad Yr 2 - Psychiatry
University of Ottawa, 01 Jul 2006  to 30 Jun 2007|PostGrad Yr 3 - Psychiatry
University of Ottawa, 01 Jul 2007  to 30 Jun 2008|PostGrad Yr 4 - Psychiatry
University of Ottawa, 01 Jul 2008  to 30 Jun 2009|PostGrad Yr 5 - Psychiatry</t>
  </si>
  <si>
    <t>First certificate of registration issued: Postgraduate Education Certificate||Effective:   01 Jul 1998
Transfer of class of registration to: Independent Practice Certificate||Effective:   24 Jun 2000</t>
  </si>
  <si>
    <t>Dr. Paul Sedge Medicine Professional Corporation</t>
  </si>
  <si>
    <t>Issued Date:  Jul 16 2014</t>
  </si>
  <si>
    <t>Dr. P. Sedge (CPSO# 72571)</t>
  </si>
  <si>
    <t>1804 Highway 2 East,Brockville ON  K6V 5W7,(613) 341-2870</t>
  </si>
  <si>
    <t>19266</t>
  </si>
  <si>
    <t xml:space="preserve">Active Member as of 29 Jul 1964 </t>
  </si>
  <si>
    <t xml:space="preserve">Independent Practice as of 29 Jul 1964 </t>
  </si>
  <si>
    <t>Suite 126,400 Walmer Road,Toronto ON  M5P 2X7</t>
  </si>
  <si>
    <t>(416) 920-9816</t>
  </si>
  <si>
    <t>(416) 531-5785</t>
  </si>
  <si>
    <t>Psychiatry||Effective: 13 Dec 1968||RCPSC Specialist</t>
  </si>
  <si>
    <t>First certificate of registration issued: Independent Practice Certificate||Effective:   29 Jul 1964</t>
  </si>
  <si>
    <t>53545</t>
  </si>
  <si>
    <t xml:space="preserve">Active Member as of 13 Sep 1983 </t>
  </si>
  <si>
    <t xml:space="preserve">Independent Practice as of 13 Sep 1983 </t>
  </si>
  <si>
    <t>Victoria Professional Centre,Suite 301,111 Waterloo Street,London ON  N6B 2M4</t>
  </si>
  <si>
    <t>(519) 266-6944</t>
  </si>
  <si>
    <t>(519) 488-0667</t>
  </si>
  <si>
    <t>First certificate of registration issued: Independent Practice Certificate||Effective:   13 Sep 1983</t>
  </si>
  <si>
    <t>64298</t>
  </si>
  <si>
    <t xml:space="preserve">Active Member as of 04 Jul 1991 </t>
  </si>
  <si>
    <t>Suite 105,955 Green Valley Crescent,Ottawa ON  K2C 3V4</t>
  </si>
  <si>
    <t>(613) 722-3222</t>
  </si>
  <si>
    <t>713 Montreal Road,Ottawa ON  K1K 0T2,Canada,Phone:(613) 945-1111,County:Regional Municipality of Ottawa-Carleton,Electoral District:07</t>
  </si>
  <si>
    <t>First certificate of registration issued: Independent Practice Certificate||Effective:   04 Jul 1991</t>
  </si>
  <si>
    <t>Paul Roy Medicine Professional Corporation</t>
  </si>
  <si>
    <t>Issued Date:  Nov 22 2010</t>
  </si>
  <si>
    <t>Dr. P. Roy (CPSO# 64298)</t>
  </si>
  <si>
    <t>713 Montreal Road,Ottawa ON  K1A 0K2,(613) 945-1060
Suite 105,Suite 105,955 Green Valley Crescent,Ottawa ON  K2C 3V4,(613) 722-3222</t>
  </si>
  <si>
    <t>22710</t>
  </si>
  <si>
    <t xml:space="preserve">Active Member as of 15 Jun 1970 </t>
  </si>
  <si>
    <t xml:space="preserve">Independent Practice as of 15 Jun 1970 </t>
  </si>
  <si>
    <t>The University of Manitoba, 1969</t>
  </si>
  <si>
    <t>Centre for Addiction and Mental,Health,250 College St,Toronto ON  M5T 1R8</t>
  </si>
  <si>
    <t>(416) 535-8501 Ext. 33663</t>
  </si>
  <si>
    <t>First certificate of registration issued: Postgraduate Education Certificate||Effective:   14 Jun 1969
Transfer of class of registration to: Independent Practice Certificate||Effective:   15 Jun 1970</t>
  </si>
  <si>
    <t>70065</t>
  </si>
  <si>
    <t xml:space="preserve">Active Member as of 03 Jul 2002 </t>
  </si>
  <si>
    <t xml:space="preserve">Independent Practice as of 03 Jul 2002 </t>
  </si>
  <si>
    <t>Department of Psychiatry,Mount Sinai Hospital,600 University Avenue  Suite 965,Toronto ON  M5G 1X5</t>
  </si>
  <si>
    <t>(416) 586-4800 Ext. 8540</t>
  </si>
  <si>
    <t>First certificate of registration issued: Postgraduate Education Certificate||Effective:   01 Jul 1996
Expired: Terms and conditions of certificate of registration||Expiry:      30 Jun 2001
Subsequent certificate of registration issued: Restricted certificate||Effective:   30 Jul 2001
Expired: Terms and conditions imposed on certificate by Registration Committee||Effective:   03 Jul 2002
Subsequent certificate of registration Issued: Independent Practice Certificate||Effective:   03 Jul 2002</t>
  </si>
  <si>
    <t>54052</t>
  </si>
  <si>
    <t>355 Eglinton Avenue East,Toronto ON  M4P 1M5</t>
  </si>
  <si>
    <t>(416) 277-8361</t>
  </si>
  <si>
    <t>University of Toronto, 11 Jun 1984  to 17 Jun 1985|Other - Comprehensive Internship
University of Toronto, 01 Jul 1985  to 30 Jun 1986|Resident 2 - Family Medicine
University of Toronto, 01 Jul 1986  to 30 Jun 1987|Resident 1 - Psychiatry
University of Toronto, 01 Jul 1987  to 30 Jun 1988|Resident 2 - Psychiatry
University of Toronto, 01 Jul 1989  to 30 Jun 1990|Clinical Fellow - Psychiatry</t>
  </si>
  <si>
    <t>First certificate of registration issued: Postgraduate Education Certificate||Effective:   11 Jun 1984
Transfer of class of registration to: Independent Practice Certificate||Effective:   05 Jul 1985</t>
  </si>
  <si>
    <t>Casola Medicine Professional Corporation</t>
  </si>
  <si>
    <t>Issued Date:  Dec 21 2007</t>
  </si>
  <si>
    <t>Dr. P. Casola (CPSO# 54052)</t>
  </si>
  <si>
    <t>510 - 586 Eglinton Avenue East,Toronto ON  M4P 1P2,(416) 277-8361</t>
  </si>
  <si>
    <t>59849</t>
  </si>
  <si>
    <t xml:space="preserve">Independent Practice as of 11 Jul 1989 </t>
  </si>
  <si>
    <t>Waypoint Centre For Mental Health,500 Church St,Penetanguishene ON  L9M 1G3</t>
  </si>
  <si>
    <t>McMaster University, 01 Jul 2000  to 30 Jun 2001|PostGrad Yr 2 - Psychiatry
McMaster University, 01 Jul 2001  to 30 Jun 2002|PostGrad Yr 3 - Psychiatry
McMaster University, 01 Jul 2002  to 30 Jun 2003|PostGrad Yr 4 - Psychiatry
McMaster University, 01 Jul 2003  to 30 Jun 2004|PostGrad Yr 5 - Psychiatry</t>
  </si>
  <si>
    <t>First certificate of registration issued: Postgraduate Education Certificate||Effective:   01 Jul 1988
Transfer of class of registration to: Independent Practice Certificate||Effective:   11 Jul 1989</t>
  </si>
  <si>
    <t>Paul Mulzer Medicine Professional Corporation</t>
  </si>
  <si>
    <t>Issued Date:  Dec 20 2012</t>
  </si>
  <si>
    <t>Dr. P. Mulzer (CPSO# 59849)</t>
  </si>
  <si>
    <t>Waypoint Centre for Mental Health Care,500 Church Street,Penetanguishene ON  L9M 1G3,(705) 526-0567</t>
  </si>
  <si>
    <t>95214</t>
  </si>
  <si>
    <t xml:space="preserve">Independent Practice as of 26 Jul 2016 </t>
  </si>
  <si>
    <t>Anishnawbe Health Toronto,22 Vaughan Road,Toronto, Ontario,M6G 2N1,Toronto ON  M5B 1W8</t>
  </si>
  <si>
    <t>416-657-0379 Ext. 242</t>
  </si>
  <si>
    <t>416-657-3436</t>
  </si>
  <si>
    <t>Artists' Health Centre,Toronto Western Hospital,399 Bathurst Street, Toronto, ON,M5T 2S8,Toronto ON  M5T 2S8,Canada,Phone:4166035263,County:City of Toronto,Electoral District:10</t>
  </si>
  <si>
    <t>First certificate of registration issued: Postgraduate Education Certificate||Effective:   01 Jul 2011
Expired: Terms and conditions of certificate of registration||Expiry:      30 Jun 2016
Subsequent certificate of registration Issued: Independent Practice Certificate||Effective:   26 Jul 2016</t>
  </si>
  <si>
    <t>Dr. Paul Uy Medicine Professional Corporation</t>
  </si>
  <si>
    <t>Issued Date:  Sep 14 2016</t>
  </si>
  <si>
    <t>Dr. P. Uy (CPSO# 95214)</t>
  </si>
  <si>
    <t>399 Bathurst Street,3rd Floor,Toronto ON  M5T 2S8,(416) 603-5263
179 Gerrard Street East,179 Gerrard Street East,Toronto ON  M5T 2S8,(416) 603-5263</t>
  </si>
  <si>
    <t>33809</t>
  </si>
  <si>
    <t xml:space="preserve">Active Member as of 14 Jan 1969 </t>
  </si>
  <si>
    <t xml:space="preserve">Independent Practice as of 19 Nov 1982 </t>
  </si>
  <si>
    <t>Charles Univ Prague Fac General Medicine, 1959</t>
  </si>
  <si>
    <t>University of Ottawa Health Service,Suite 302,1 Nicholas Street,Ottawa ON  K1N 7B7</t>
  </si>
  <si>
    <t>(613) 526-3092</t>
  </si>
  <si>
    <t>Centre for Addiction and,Mental Health,100 Stokes Street,Toronto ON  M5T 1R8,Canada,Phone:(416) 979-6868,Fax:(416) 979-6821,County:City of Toronto,Electoral District:10</t>
  </si>
  <si>
    <t>Psychiatry||Effective: 16 Nov 1971||RCPSC Specialist</t>
  </si>
  <si>
    <t>First certificate of registration issued: Specified Certificate||Effective:   14 Jan 1969
Transfer of class of registration to: Hospital Practice Certificate||Effective:   02 Jul 1974
Transfer of class of registration to: Academic Practice Certificate||Effective:   23 Mar 1979
Transfer of class of registration to: Independent Practice Certificate||Effective:   19 Nov 1982</t>
  </si>
  <si>
    <t>57990</t>
  </si>
  <si>
    <t xml:space="preserve">Independent Practice as of 28 Aug 1989 </t>
  </si>
  <si>
    <t>(905) 845-2571 Ext. 4900</t>
  </si>
  <si>
    <t>(905) 815-5076</t>
  </si>
  <si>
    <t>470 Bronte Street South,Milton ON  L9T2J4,Canada,Phone:9058781720,County:Regional Municipality of Halton,Electoral District:04</t>
  </si>
  <si>
    <t>McMaster University, 01 Jul 1987  to 30 Jun 1988|Other - Comprehensive Internship
McMaster University, 01 Jul 1988  to 30 Jun 1989|Resident 1 - Psychiatry
McMaster University, 01 Jul 1989  to 30 Jun 1990|Resident 2 - Psychiatry
McMaster University, 01 Jul 1990  to 30 Jun 1991|Resident 4 - Psychiatry</t>
  </si>
  <si>
    <t>First certificate of registration issued: Postgraduate Education Certificate||Effective:   01 Jul 1987
Transfer of class of registration to: Independent Practice Certificate||Effective:   28 Aug 1989</t>
  </si>
  <si>
    <t>56858</t>
  </si>
  <si>
    <t xml:space="preserve">Independent Practice as of 24 Aug 1987 </t>
  </si>
  <si>
    <t>Suite 212,2221 Keele Street,Toronto ON  M6M 3Z5</t>
  </si>
  <si>
    <t>(416) 247-6175</t>
  </si>
  <si>
    <t>(416) 247-9936</t>
  </si>
  <si>
    <t>Humber River Hospital,1235 Wilson Avenue,Toronto, Ontario,Toronto ON  M3M 0B2,Canada,Phone:416-242-1000,County:City of Toronto,Electoral District:10</t>
  </si>
  <si>
    <t>University of Toronto, 16 Jun 1986  to 15 Jun 1987|Other - Family Medicine
University of Toronto, 01 Jul 1987  to 30 Jun 1988|Resident 1 - Family Medicine
University of Toronto, 01 Jul 1988  to 30 Jun 1989|Resident 1 - Psychiatry
University of Toronto, 01 Jul 1989  to 30 Jun 1990|Resident 2 - Psychiatry
University of Toronto, 01 Jul 1990  to 30 Jun 1991|Resident 4 - Psychiatry</t>
  </si>
  <si>
    <t>First certificate of registration issued: Postgraduate Education Certificate||Effective:   16 Jun 1986
Transfer of class of registration to: Independent Practice Certificate||Effective:   24 Aug 1987</t>
  </si>
  <si>
    <t>Dr. Paul Posner Medicine Professional Corporation</t>
  </si>
  <si>
    <t>Dr. P. Posner (CPSO# 56858)</t>
  </si>
  <si>
    <t>Suite 212,2221 Keele Street,Toronto ON  M6M 3Z5,(416) 247-6175
Humber River Regional Hospital,Humber River Regional Hospital,1235 Wilson Avenue,Toronto ON  M3M 0B2,(416) 242-1000</t>
  </si>
  <si>
    <t>16603</t>
  </si>
  <si>
    <t xml:space="preserve">Active Member as of 26 Feb 1958 </t>
  </si>
  <si>
    <t xml:space="preserve">Independent Practice as of 26 Feb 1958 </t>
  </si>
  <si>
    <t>The University of Western Ontario, 1957</t>
  </si>
  <si>
    <t>Psychiatry||Effective: 12 Nov 1962||RCPSC Specialist</t>
  </si>
  <si>
    <t>First certificate of registration issued: Independent Practice Certificate||Effective:   26 Feb 1958</t>
  </si>
  <si>
    <t>28408</t>
  </si>
  <si>
    <t xml:space="preserve">Active Member as of 08 Mar 1983 </t>
  </si>
  <si>
    <t xml:space="preserve">Independent Practice as of 08 Mar 1983 </t>
  </si>
  <si>
    <t>164 Eglinton Avenue East,Suite 510,Toronto ON  M4P 1G4</t>
  </si>
  <si>
    <t>(416) 926-0799</t>
  </si>
  <si>
    <t>(416) 538-8513</t>
  </si>
  <si>
    <t>Mount Sinai Hospital,600 University Avenue,Toronto ON  M5G 1X5,Canada,Fax:(416) 586-8654,County:City of Toronto,Electoral District:10</t>
  </si>
  <si>
    <t>First certificate of registration issued: Independent Practice Certificate||Effective:   05 Jun 1976
Expired: Resigned from membership.||Expiry:      30 Mar 1978
Subsequent certificate of registration Issued: Independent Practice Certificate||Effective:   08 Mar 1983</t>
  </si>
  <si>
    <t>Dr. Paul M Goldhamer &amp; Dr. Michelle Farine Medicine Professional Corporation</t>
  </si>
  <si>
    <t>Issued Date:  Jul 08 2005</t>
  </si>
  <si>
    <t>Dr. M. Farine (CPSO# 53304),Dr. P. Goldhamer (CPSO# 28408)</t>
  </si>
  <si>
    <t>Suite 305,2238 Dundas Street West,Toronto ON  M6R 3A9,(416) 538-8512
Mount Sinai Hospital,Mount Sinai Hospital,9th Floor Room 964,600 University Avenue,Toronto ON  M5G 1X5
Suite 510,Suite 510,164 Eglinton Avenue East,Toronto ON  M4P 1G4,(416) 926-0799</t>
  </si>
  <si>
    <t>65613</t>
  </si>
  <si>
    <t xml:space="preserve">Active Member as of 17 Jun 1992 </t>
  </si>
  <si>
    <t xml:space="preserve">Independent Practice as of 17 Jun 1992 </t>
  </si>
  <si>
    <t>15 Victoria Ave.,2nd floor,Belleville ON  K8N 1Z5</t>
  </si>
  <si>
    <t>(613) 779-7329</t>
  </si>
  <si>
    <t>(613) 779-7156</t>
  </si>
  <si>
    <t>41 McClellan St,Tweed ON  K0K 3J0,Canada,Phone:613-478-1211,Fax:613-478-6692,County:County of Hastings,Electoral District:06
33 Flint Avenue,Bancroft ON  K0L 1C0,Canada,Phone:613-332-3826,Fax:613-332-0005,County:County of Hastings,Electoral District:06</t>
  </si>
  <si>
    <t>Queen's University, 01 Jul 1995  to 30 Jun 1996|Resident 4 - Psychiatry</t>
  </si>
  <si>
    <t>First certificate of registration issued: Independent Practice Certificate||Effective:   17 Jun 1992</t>
  </si>
  <si>
    <t>Paul Zimmerman Medicine Professional Corporation</t>
  </si>
  <si>
    <t>Issued Date:  Aug 21 2008</t>
  </si>
  <si>
    <t>Dr. P. Zimmerman (CPSO# 65613)</t>
  </si>
  <si>
    <t>15 Victoria Avenue,Second Floor,Belleville ON  K8V 1Z5,(613) 779-7329</t>
  </si>
  <si>
    <t>27975</t>
  </si>
  <si>
    <t xml:space="preserve">Active Member as of 10 Dec 1975 </t>
  </si>
  <si>
    <t xml:space="preserve">Independent Practice as of 10 Dec 1975 </t>
  </si>
  <si>
    <t>University of Alberta, 1973</t>
  </si>
  <si>
    <t>1193 Governors Road,Dundas ON  L9H5E3</t>
  </si>
  <si>
    <t>905 512 4002</t>
  </si>
  <si>
    <t>Hamilton Family Health Team,123 James Street North,Hamilton ON  L8R 2K8,Canada,Phone:905 667 4847,County:Regional Municipality of Hamilton-Wentworth,Electoral District:04
Office B215,100 West 5th Street,Hamilton ON  L8N 3K7,Canada,Phone:905-512-4002,County:Regional Municipality of Hamilton-Wentworth,Electoral District:04</t>
  </si>
  <si>
    <t>Psychiatry||Effective: 14 Nov 1978||RCPSC Specialist</t>
  </si>
  <si>
    <t>First certificate of registration issued: Postgraduate Education Certificate||Effective:   01 Jul 1974
Transfer of class of registration to: Independent Practice Certificate||Effective:   10 Dec 1975</t>
  </si>
  <si>
    <t>Paul S. Links Medicine Professional Corporation</t>
  </si>
  <si>
    <t>Issued Date:  May 26 2007</t>
  </si>
  <si>
    <t>Dr. P. Links (CPSO# 27975)</t>
  </si>
  <si>
    <t>1193 Governor's Road,Dundas ON  L9H 5E3,(905) 628-5197</t>
  </si>
  <si>
    <t>54359</t>
  </si>
  <si>
    <t>Paul Morris Medicine Professional Corporation</t>
  </si>
  <si>
    <t>Dr. P. Morris (CPSO# 54359)</t>
  </si>
  <si>
    <t>102 - 304 The East Mall,Toronto ON  M9B 6E2,(416) 231-7968</t>
  </si>
  <si>
    <t>95125</t>
  </si>
  <si>
    <t>Centre for Addiction &amp; Mental Health,Queen Street Site:Toronto
William Osler Health Centre-Brampton Civic Hospital:Brampton</t>
  </si>
  <si>
    <t>29746</t>
  </si>
  <si>
    <t xml:space="preserve">Active Member as of 22 Dec 1977 </t>
  </si>
  <si>
    <t xml:space="preserve">Restricted as of 22 Feb 2016 </t>
  </si>
  <si>
    <t>CAMH, College Street Site,250 College Street,Toronto ON  M5T 1R8</t>
  </si>
  <si>
    <t>(416) 535-8501 Ext. 34316</t>
  </si>
  <si>
    <t>(416) 979-4680</t>
  </si>
  <si>
    <t>First certificate of registration issued: Independent Practice Certificate||Effective:   22 Dec 1977
Transfer of class of certificate to: Restricted certificate||Effective:   22 Feb 2016
Terms and conditions imposed on certificate by member||Effective:   22 Feb 2016</t>
  </si>
  <si>
    <t>68943</t>
  </si>
  <si>
    <t xml:space="preserve">Active Member as of 12 Jul 2000 </t>
  </si>
  <si>
    <t xml:space="preserve">Independent Practice as of 12 Jul 2000 </t>
  </si>
  <si>
    <t>Mt Sinai Hospital,600 University Avenue,Toronto ON  M5G 1X5</t>
  </si>
  <si>
    <t>4165864800 Ext. 7500</t>
  </si>
  <si>
    <t>4165868654</t>
  </si>
  <si>
    <t>First certificate of registration issued: Postgraduate Education Certificate||Effective:   01 Jul 1995
Expired: Terms and conditions of certificate of registration||Expiry:      30 Jun 2000
Subsequent certificate of registration Issued: Independent Practice Certificate||Effective:   12 Jul 2000</t>
  </si>
  <si>
    <t>67675</t>
  </si>
  <si>
    <t xml:space="preserve">Active Member as of 08 Aug 2000 </t>
  </si>
  <si>
    <t xml:space="preserve">Independent Practice as of 08 Aug 2000 </t>
  </si>
  <si>
    <t>Royal Ottawa Mental Health Centre,,COMMUNITY MENTAL HEALTH PROGRAM,1145 Carling Ave,Ottawa ON  K1Z 7K4</t>
  </si>
  <si>
    <t>(613) 722-6521 Ext. 7370</t>
  </si>
  <si>
    <t>(613) 739-8400</t>
  </si>
  <si>
    <t>C M H A,3rd Floor,1355 Bank Street,Ottawa ON  K1H 8K7,Canada,Phone:(613) 737-7791 Ext. 209,County:Regional Municipality of Ottawa-Carleton,Electoral District:07</t>
  </si>
  <si>
    <t>Psychiatry||Effective: 08 Jun 2000||RCPSC Specialist</t>
  </si>
  <si>
    <t>University of Ottawa, 01 Jul 1994  to 30 Jun 1995|PostGrad Yr 1 - Psychiatry
University of Ottawa, 01 Jul 1995  to 30 Jun 1996|Resident 1 - Psychiatry
University of Ottawa, 01 Jul 1996  to 30 Jun 1997|PostGrad Yr 3 - Psychiatry
University of Ottawa, 01 Jul 1997  to 30 Jun 1998|PostGrad Yr 4 - Psychiatry
University of Ottawa, 01 Jul 1998  to 12 Oct 1998|PostGrad Yr 4 - Psychiatry
University of Ottawa, 13 Oct 1998  to 30 Jun 1999|PostGrad Yr 5 - Psychiatry
University of Ottawa, 01 Jul 1999  to 29 Feb 2000|PostGrad Yr 5 - Psychiatry
Queen's University, 07 Mar 2000  to 30 Jun 2000|Clinical Fellow - Psychiatry</t>
  </si>
  <si>
    <t>First certificate of registration issued: Postgraduate Education Certificate||Effective:   01 Mar 1994
Expired: Terms and conditions of certificate of registration||Expiry:      29 Feb 2000
Subsequent certificate of registration issued: Restricted certificate||Effective:   13 Mar 2000
Expired: Terms and conditions imposed on certificate||Effective:   08 Aug 2000
Subsequent certificate of registration Issued: Independent Practice Certificate||Effective:   08 Aug 2000</t>
  </si>
  <si>
    <t>Walsh-Bergin Medicine Professional Corporation</t>
  </si>
  <si>
    <t>Dr. P. Walsh-Bergin (CPSO# 67675)</t>
  </si>
  <si>
    <t>Royal Ottawa Mental Health Centre,201 - 2121 Carling Avenue,Ottawa ON  K2A 1H2,(613) 722-6521
300 - 1355 Bank Street,300 - 1355 Bank Street,Ottawa ON  K1H 8K7,(613) 737-7791</t>
  </si>
  <si>
    <t>33550</t>
  </si>
  <si>
    <t xml:space="preserve">Independent Practice as of 16 Jul 1982 </t>
  </si>
  <si>
    <t>One Young Street,Hamilton ON  L8N 1T8</t>
  </si>
  <si>
    <t>(905) 523-4146</t>
  </si>
  <si>
    <t>First certificate of registration issued: Postgraduate Education Certificate||Effective:   01 Jul 1980
Transfer of class of registration to: Independent Practice Certificate||Effective:   16 Jul 1982</t>
  </si>
  <si>
    <t>Dr. P. S. Pytka Medicine Professional Corporation</t>
  </si>
  <si>
    <t>Inactive: Jun 27 2018</t>
  </si>
  <si>
    <t>29688</t>
  </si>
  <si>
    <t xml:space="preserve">Active Member as of 31 Oct 1977 </t>
  </si>
  <si>
    <t xml:space="preserve">Independent Practice as of 31 Oct 1977 </t>
  </si>
  <si>
    <t>Czech, English, Hungarian, Slovak</t>
  </si>
  <si>
    <t>TS Neurodevelopmental Clinic,Toronto Western Hospital,3 West Wing, Room 402,399 Bathurst Street,Toronto ON  M5T 2S8</t>
  </si>
  <si>
    <t>(416) 603-5794</t>
  </si>
  <si>
    <t>(416) 603-5182</t>
  </si>
  <si>
    <t>Youthdale Treatment Centre,229 Yonge Street,Toronto ON  M5B 1N9,Canada,Phone:(416) 368-4896 Ext. 2200,Fax:(416) 368-5025,County:City of Toronto,Electoral District:10</t>
  </si>
  <si>
    <t>First certificate of registration issued: Postgraduate Education Certificate||Effective:   18 Jun 1976
Expired: Terms and conditions of certificate of registration||Expiry:      17 Jun 1977
Subsequent certificate of registration Issued: Independent Practice Certificate||Effective:   31 Oct 1977</t>
  </si>
  <si>
    <t>P. Sandor Medicine Professional Corporation</t>
  </si>
  <si>
    <t>Dr. P. Sandor (CPSO# 29688)</t>
  </si>
  <si>
    <t>TS Neurodevelopmental Clinic,Toronto Western Hospital,3 West Wing, Room 400,399 Bathurst Street,Toronto ON  M5T 2S8,(416) 603-5794
229 Yonge Street,229 Yonge Street,Toronto ON  M5B 1N9,(416) 363-3751</t>
  </si>
  <si>
    <t>87674</t>
  </si>
  <si>
    <t>University of The West Indies,Trinidad, 2002</t>
  </si>
  <si>
    <t>C A M H,Geriatric Psychiatry Division,80 Workman Way,Toronto ON  M6J 1H4</t>
  </si>
  <si>
    <t>(416) 535-8501 Ext. 39404</t>
  </si>
  <si>
    <t>416-583-1293</t>
  </si>
  <si>
    <t>3276 St Clair Ave E,Providence Healthcare,Toronto ON  M1L 1W1,Canada,Phone:(416) 285-3665,Fax:4162853663,County:City of Toronto,Electoral District:10</t>
  </si>
  <si>
    <t>Centre for Addiction &amp; Mental Health,Queen Street Site:Toronto
Providence Health Care,Toronto:Toronto</t>
  </si>
  <si>
    <t>Psychiatry||Effective: 30 Jun 2013||RCPSC Specialist
Geriatric Psychiatry||Effective: 21 Sep 2015||RCPSC Specialist</t>
  </si>
  <si>
    <t>University of Toronto, 10 Sep 2007  to 24 Sep 2007|PEAP - Resident - Psychiatry
University of Toronto, 25 Sep 2007  to 29 Feb 2008|PostGrad Yr 4 - Psychiatry
University of Toronto, 01 Jul 2008  to 22 Sep 2008|Assessment Verification Period - Psychiatry
University of Toronto, 23 Sep 2008  to 30 Jun 2009|PostGrad Yr 1 - Psychiatry
University of Toronto, 01 Jul 2009  to 30 Jun 2010|PostGrad Yr 2 - Psychiatry
University of Toronto, 01 Jul 2010  to 30 Jun 2011|PostGrad Yr 2 - Psychiatry
University of Toronto, 01 Jul 2011  to 30 Jun 2012|PostGrad Yr 3 - Psychiatry
University of Toronto, 01 Jul 2012  to 30 Jun 2013|PostGrad Yr 5 - Psychiatry</t>
  </si>
  <si>
    <t>First certificate of registration issued: Pre Entry Assessment Program Certificate||Effective:   10 Sep 2007
Transfer of class of registration to: Postgraduate Education Certificate||Effective:   25 Sep 2007
Expired: Terms and conditions of certificate of registration||Expiry:      29 Feb 2008
Subsequent certificate of registration Issued: Pre Entry Assessment Program Certificate||Effective:   01 Jul 2008
Transfer of class of registration to: Postgraduate Education Certificate||Effective:   23 Sep 2008
Transfer of class of registration to: Independent Practice Certificate||Effective:   30 Jun 2013</t>
  </si>
  <si>
    <t>42505</t>
  </si>
  <si>
    <t xml:space="preserve">Active Member as of 05 Jul 1977 </t>
  </si>
  <si>
    <t xml:space="preserve">Independent Practice as of 16 Mar 1993 </t>
  </si>
  <si>
    <t>2900 Yonge Street,Suite 101,Toronto ON  M4N 3N8</t>
  </si>
  <si>
    <t>(416) 3153559</t>
  </si>
  <si>
    <t>micheal garron hospital,Department of Psychiatry,825 Coxwell Avenue,Toronto ON  M4C 3E7,Canada,County:City of Toronto,Electoral District:10</t>
  </si>
  <si>
    <t>First certificate of registration issued: Postgraduate Education Certificate||Effective:   05 Jul 1977
Transfer of class of registration to: Hospital Practice Certificate||Effective:   20 Dec 1982
Transfer of class of registration to: Independent Practice Certificate||Effective:   16 Mar 1993</t>
  </si>
  <si>
    <t>32706</t>
  </si>
  <si>
    <t xml:space="preserve">Independent Practice as of 14 Jul 1981 </t>
  </si>
  <si>
    <t>University Hospital,339 Windermere Road,Room B3-103,P O Box 5339,London ON  N6A 5A5</t>
  </si>
  <si>
    <t>(519) 663-3032</t>
  </si>
  <si>
    <t>(519) 663-3935</t>
  </si>
  <si>
    <t>First certificate of registration issued: Postgraduate Education Certificate||Effective:   01 Jul 1980
Transfer of class of registration to: Independent Practice Certificate||Effective:   14 Jul 1981</t>
  </si>
  <si>
    <t>Peter Williamson Medicine Professional Corporation</t>
  </si>
  <si>
    <t>Issued Date:  Dec 08 2016</t>
  </si>
  <si>
    <t>Dr. P. Williamson (CPSO# 32706)</t>
  </si>
  <si>
    <t>University Hospital,339 Windermere Road,Room B3-103,PO Box 5339,London ON  N6A 5A5</t>
  </si>
  <si>
    <t>99521</t>
  </si>
  <si>
    <t xml:space="preserve">Active Member as of 17 Oct 2013 </t>
  </si>
  <si>
    <t xml:space="preserve">Independent Practice as of 17 Oct 2013 </t>
  </si>
  <si>
    <t>Health Sciences North,41 RAMSEY LAKE ROAD,Sudbury ON  P3E 5J1</t>
  </si>
  <si>
    <t>(705) 523-7100</t>
  </si>
  <si>
    <t>HEALTH SCIENCES NORTH,127 CEDAR STREET,Sudbury ON  P3E 1B1,Canada,Phone:7055234988,County:Terr.District/Regional Municipality of Sudbury,Electoral District:08
CHILD AND FAMILY CENTRE,62 FROOD ROAD,Sudbury ON  P3C 4Z3,Canada,Phone:7055221008,County:Terr.District/Regional Municipality of Sudbury,Electoral District:08
MENTAL HEALTH AND ADDICTION CENTRE,680 KIRKWOOD DRIVE,Sudbury ON  P3E 1X3,Canada,Phone:(705) 6755900 Ext. 8392,Fax:(705) 671-3031,County:Terr.District/Regional Municipality of Sudbury,Electoral District:08</t>
  </si>
  <si>
    <t>First certificate of registration issued: Restricted certificate||Effective:   12 Oct 2012
Terms and conditions imposed on certificate by Registration Committee||Effective:   12 Oct 2012
Expiry date attached to certificate of registration.||Expiry Date: 11 Oct 2015
Expired: Terms and conditions imposed on certificate by Registration Committee||Effective:   17 Oct 2013
Subsequent certificate of registration Issued: Independent Practice Certificate||Effective:   17 Oct 2013</t>
  </si>
  <si>
    <t>Dr. Peter Ajueze Medicine Professional Corporation</t>
  </si>
  <si>
    <t>Issued Date:  Nov 12 2012</t>
  </si>
  <si>
    <t>Dr. P. Ajueze (CPSO# 99521)</t>
  </si>
  <si>
    <t>62 Frood Road,Suite 100,Sudbury ON  P3C 4Z3,(705) 525-1008
41 Ramsey Lake Road,41 Ramsey Lake Road,Sudbury ON  P3E 5J1,(705) 523-7100
Health Sciences North,Health Sciences North,Sudbury Mental Health Addiction Centre,680 Promenade Kirkwood Drive,Sudbury ON  P3E 1X3,(705) 675-5900
127 Cedar Street,127 Cedar Street,2nd Floor,Sudbury ON  P3E 1B1,(705) 523-4988</t>
  </si>
  <si>
    <t>33320</t>
  </si>
  <si>
    <t xml:space="preserve">Active Member as of 07 Jun 1982 </t>
  </si>
  <si>
    <t xml:space="preserve">Independent Practice as of 07 Jun 1982 </t>
  </si>
  <si>
    <t>100 W 5th Ave,Hamilton ON  L8N 3K7</t>
  </si>
  <si>
    <t>(905) 522-1155 Ext. 36252</t>
  </si>
  <si>
    <t>905-381-5601</t>
  </si>
  <si>
    <t>First certificate of registration issued: Independent Practice Certificate||Effective:   07 Jun 1982</t>
  </si>
  <si>
    <t>55541</t>
  </si>
  <si>
    <t xml:space="preserve">Independent Practice as of 17 Jul 1986 </t>
  </si>
  <si>
    <t>The University of Western Ontario, 1985</t>
  </si>
  <si>
    <t>Department of Psychiatry,Humber River Hospital,1235 Wilson Ave.,Toronto ON  M3M 0B2</t>
  </si>
  <si>
    <t>(416) 242-1000 Ext. 43034</t>
  </si>
  <si>
    <t>The University of Western Ontario, 15 Jun 1985  to 14 Jun 1986|Other - Comprehensive Internship
The University of Western Ontario, 15 Jun 1986  to 30 Jun 1986|Other - Comprehensive Internship
The University of Western Ontario, 01 Jul 1986  to 30 Jun 1987|Resident 1 - Psychiatry
The University of Western Ontario, 01 Jul 1987  to 30 Jun 1988|Resident 3 - Psychiatry
The University of Western Ontario, 01 Jul 1988  to 30 Jun 1989|Resident 4 - Psychiatry</t>
  </si>
  <si>
    <t>First certificate of registration issued: Postgraduate Education Certificate||Effective:   15 Jun 1985
Transfer of class of registration to: Independent Practice Certificate||Effective:   17 Jul 1986</t>
  </si>
  <si>
    <t>76203</t>
  </si>
  <si>
    <t>Sunnybrook Health Sciences Centre,2075 Bayview Avenue,Room FG-53,Toronto ON  M4N 3M5</t>
  </si>
  <si>
    <t>416-480-4085</t>
  </si>
  <si>
    <t>416-480-5318</t>
  </si>
  <si>
    <t>Sunnybrook Health Sciences Centre:Toronto
University Health Network,Princess Margaret Hospital-Ontario Cancer Institute:Toronto
University Health Network,Toronto General Hospital Site:Toronto
University Health Network,Toronto Western Hospital Site:Toronto</t>
  </si>
  <si>
    <t>75221</t>
  </si>
  <si>
    <t xml:space="preserve">Active Member as of 20 Jul 2005 </t>
  </si>
  <si>
    <t xml:space="preserve">Independent Practice as of 20 Jul 2005 </t>
  </si>
  <si>
    <t>Sister Margaret Smith Centre,St Josephs Care Group,301 Lillie Street North,Thunder Bay ON  P7C 0A6</t>
  </si>
  <si>
    <t>The Hospital for Sick Children,555 University Avenue,Toronto ON  M5G 1X8,Canada,Phone:(416) 813-6200,Fax:(416) 813-2189,County:City of Toronto,Electoral District:10
Thunder Bay Regional Health,Sciences Centre,980 Oliver Road,Thunder Bay ON  P7B 6V4,Canada,Phone:(807) 684-6000,County:District of Thunder Bay,Electoral District:09
Dilico Anishinabek Family Care,200 Anemki Place,Fort William First Nation,Thunder Bay ON  P7J 1L6,Canada,Phone:(807) 623-8511,County:District of Thunder Bay,Electoral District:09
Meno Ya Win,1 meno ya Win Way,Sioux Lookout,Sioux Lookout ON  P8T1B4,Canada,Phone:18077373030,County:District of Kenora,Electoral District:09
Childrens Centre Thunder Bay,283 Lisgar Street,Thunder Bay ON  P7B 6G6,Canada,Phone:(807) 343-5000,Fax:(807) 345-0444,County:District of Thunder Bay,Electoral District:09</t>
  </si>
  <si>
    <t>Northwest Territories
Nunavut</t>
  </si>
  <si>
    <t>Hospital For Sick Children:Toronto
Sioux Lookout,Meno-Ya-Win Health Centre:Sioux Lookout
St Joseph's Care Group,Thunder Bay:Thunder Bay
Thunder Bay Regional Health Sciences Centre:Thunder Bay</t>
  </si>
  <si>
    <t>First certificate of registration issued: Postgraduate Education Certificate||Effective:   01 Jul 2000
Expired: Terms and conditions of certificate of registration||Expiry:      30 Jun 2005
Subsequent certificate of registration Issued: Independent Practice Certificate||Effective:   20 Jul 2005</t>
  </si>
  <si>
    <t>Dr. Peter Braunberger Medicine Professional Corporation</t>
  </si>
  <si>
    <t>Issued Date:  Jul 05 2011</t>
  </si>
  <si>
    <t>Dr. P. Braunberger (CPSO# 75221)</t>
  </si>
  <si>
    <t>Telelink Mental Health - Sick Kids Hospital,555 University Avenue,Toronto ON  M5G 1X8,(416) 813-6200
980 Oliver Road,980 Oliver Road,Thunder Bay ON  P7B 6V4,(807) 684-6000
Meno Ya Win Health Centre,Meno Ya Win Health Centre,1 Meno Ya Win Way,Sioux Lookout ON  P8T 1B4,(807) 737-3030
Sister Margaret Smith Centre,Sister Margaret Smith Centre,301 Lillie Street North,Thunder Bay ON  P7C 0A6,(807) 684-5100</t>
  </si>
  <si>
    <t>28499</t>
  </si>
  <si>
    <t xml:space="preserve">Active Member as of 15 Jul 1976 </t>
  </si>
  <si>
    <t xml:space="preserve">Independent Practice as of 15 Jul 1976 </t>
  </si>
  <si>
    <t>University of Otago, 1971</t>
  </si>
  <si>
    <t>Joseph Brant Hospital,1182 North Shore Blvd. E,Community Mental Health,Burlington ON  L7S 1C5</t>
  </si>
  <si>
    <t>905-631-0513</t>
  </si>
  <si>
    <t>Unit 76,280 Guelph Street,Georgetown ON  L7G 4B1,Canada,Phone:905-693-4240 Ext. 4994,Fax:905-693-0596,County:Regional Municipality of Halton,Electoral District:04
19 Willow Street N,Acton ON  L7J 1Z6,Canada,Phone:519-853-9741,Fax:519-853-8827,County:Regional Municipality of Halton,Electoral District:04</t>
  </si>
  <si>
    <t>Joseph Brant Hospital:Burlington
Oakville Trafalgar Memorial Hospital:Oakville</t>
  </si>
  <si>
    <t>First certificate of registration issued: Postgraduate Education Certificate||Effective:   01 Jul 1973
Transfer of class of registration to: Independent Practice Certificate||Effective:   15 Jul 1976</t>
  </si>
  <si>
    <t>Dr. Peter G. Turner Medicine Professional Corporation</t>
  </si>
  <si>
    <t>Dr. P. Turner (CPSO# 28499)</t>
  </si>
  <si>
    <t>Joseph Brant Hospital,1182 North Shore Boulevard East,Burlington ON  L7S 1C1,(905) 631-1939
OTM Hospital,OTM Hospital,3001 Hospital Gate,Oakville ON  L6M 0L8</t>
  </si>
  <si>
    <t>29193</t>
  </si>
  <si>
    <t xml:space="preserve">Active Member as of 21 Jul 1983 </t>
  </si>
  <si>
    <t xml:space="preserve">Independent Practice as of 21 Jul 1983 </t>
  </si>
  <si>
    <t>36 Madison Avenue,Toronto ON  M5R 2S1</t>
  </si>
  <si>
    <t>(416) 969-9780</t>
  </si>
  <si>
    <t>Mount Sinai Hospital,Department of Psychiatry,600 University Avenue,Toronto ON  M5G 1X5,Canada,Phone:(416) 586-4800,County:City of Toronto,Electoral District:10</t>
  </si>
  <si>
    <t>Internal Medicine||Effective: 09 Jun 1981||RCPSC Specialist
Psychiatry||Effective: 06 Jun 1983||RCPSC Specialist</t>
  </si>
  <si>
    <t>First certificate of registration issued: Postgraduate Education Certificate||Effective:   14 Jun 1976
Transfer of class of registration to: Independent Practice Certificate||Effective:   21 Jun 1977
Expired: Resigned from membership.||Expiry:      10 Dec 1980
Subsequent certificate of registration Issued: Postgraduate Education Certificate||Effective:   21 Jul 1983</t>
  </si>
  <si>
    <t>52404</t>
  </si>
  <si>
    <t>C A M H,250 College Street,Room 630,Toronto ON  M5T 1R8</t>
  </si>
  <si>
    <t>(416) 979-6847</t>
  </si>
  <si>
    <t>(416) 979-6965</t>
  </si>
  <si>
    <t>Criminal Behaviour Analysis Unit,Behavioural Sciences and Analysis S,Ontario Provincial Police,777 Memorial Avenue,Orillia ON  L3V 7V3,Canada,Phone:(705) 329-6351,Fax:(705) 329-6259,County:County of Simcoe,Electoral District:05</t>
  </si>
  <si>
    <t>University of Toronto, 13 Jun 1983  to 11 Jun 1984|Other - Rotating Internship
University of Toronto, 01 Jul 1984  to 30 Jun 1985|Resident 1 - Anatomical Pathology
University of Toronto, 01 Jul 1986  to 30 Jun 1987|Resident 2 - Psychiatry
University of Toronto, 01 Jul 1987  to 30 Jun 1988|Resident 3 - Psychiatry
University of Toronto, 01 Jul 1988  to 30 Jun 1989|Resident 4 - Psychiatry</t>
  </si>
  <si>
    <t>First certificate of registration issued: Postgraduate Education Certificate||Effective:   13 Jun 1983
Transfer of class of registration to: Independent Practice Certificate||Effective:   28 Jun 1984</t>
  </si>
  <si>
    <t>Dr. Peter I. Collins Medicine Professional Corporation</t>
  </si>
  <si>
    <t>Dr. P. Collins (CPSO# 52404)</t>
  </si>
  <si>
    <t>630 - 250 College Street,Toronto ON  M5T 1R8,(416) 979-6847
Criminal Behaviour Analysis Unit,Criminal Behaviour Analysis Unit,Investigation &amp; Support Bureau,Ontario Provincial Police,777 Memorial Avenue,Orillia ON  L3V 7V3,(705) 329-6351</t>
  </si>
  <si>
    <t>64514</t>
  </si>
  <si>
    <t xml:space="preserve">Active Member as of 03 Jan 1995 </t>
  </si>
  <si>
    <t xml:space="preserve">Independent Practice as of 03 Jan 1995 </t>
  </si>
  <si>
    <t>English, Gaelic</t>
  </si>
  <si>
    <t>Royal College of Surgeons in Ireland, 1981</t>
  </si>
  <si>
    <t>Department of Psychiatry,Wasser Pain Managment Centre,Mount Sinai Hospital,600 University Avenue,Toronto ON  M5G 1X5</t>
  </si>
  <si>
    <t>416 586 8700 Ext. 8419</t>
  </si>
  <si>
    <t>416 586 5067</t>
  </si>
  <si>
    <t>Wasser Pain Management Centre,Mount Sinai Hospital,11th Floor,600 University Avenue,Toronto ON  M5G 1X5,Canada,Phone:(416) 586-4800 Ext. 8418,Fax:(416) 586-8654,County:City of Toronto,Electoral District:10</t>
  </si>
  <si>
    <t>First certificate of registration issued: Postgraduate Education Certificate||Effective:   21 Aug 1991
Expired: Terms and conditions of certificate of registration||Expiry:      31 Dec 1994
Subsequent certificate of registration Issued: Independent Practice Certificate||Effective:   03 Jan 1995</t>
  </si>
  <si>
    <t>Dr. Peter Ignatius Mary Moran Medicine Professional Corporation</t>
  </si>
  <si>
    <t>Issued Date:  Dec 07 2005</t>
  </si>
  <si>
    <t>Dr. P. Moran (CPSO# 64514)</t>
  </si>
  <si>
    <t>Mount Sinai Hospital,1162 - 600 University Avenue,Toronto ON  M5G 1X5,(416) 586-4800</t>
  </si>
  <si>
    <t>51888</t>
  </si>
  <si>
    <t xml:space="preserve">Independent Practice as of 13 Jul 1983 </t>
  </si>
  <si>
    <t>Czech, English, Italian, Slovak</t>
  </si>
  <si>
    <t>University of Padova, 1979</t>
  </si>
  <si>
    <t>29 Centre Street West,Richmond Hill ON  L4C 3P3</t>
  </si>
  <si>
    <t>(905) 883-9054</t>
  </si>
  <si>
    <t>(905) 883-9057</t>
  </si>
  <si>
    <t>First certificate of registration issued: Postgraduate Education Certificate||Effective:   16 Jun 1980
Transfer of class of registration to: Independent Practice Certificate||Effective:   13 Jul 1983</t>
  </si>
  <si>
    <t>P.I. Zelina Medicine Professional Corporation</t>
  </si>
  <si>
    <t>Issued Date:  Apr 23 2008</t>
  </si>
  <si>
    <t>Dr. P. Zelina (CPSO# 51888)</t>
  </si>
  <si>
    <t>29 Centre Street West,Richmond Hill ON  L4C 3P3,(905) 883-9054</t>
  </si>
  <si>
    <t>23445</t>
  </si>
  <si>
    <t xml:space="preserve">Active Member as of 16 Mar 1971 </t>
  </si>
  <si>
    <t xml:space="preserve">Independent Practice as of 16 Mar 1971 </t>
  </si>
  <si>
    <t>Queen Lynch Medical Centre,Suite 102,157 Queen Street East,Brampton ON  L6W 3X4</t>
  </si>
  <si>
    <t>4164642919</t>
  </si>
  <si>
    <t>First certificate of registration issued: Postgraduate Education Certificate||Effective:   01 Jul 1968
Transfer of class of registration to: Independent Practice Certificate||Effective:   16 Mar 1971</t>
  </si>
  <si>
    <t>51673</t>
  </si>
  <si>
    <t xml:space="preserve">Independent Practice as of 08 Apr 1986 </t>
  </si>
  <si>
    <t>Royal College of Surgeons in Ireland, 1982</t>
  </si>
  <si>
    <t>Building 10 - CRC Room 2 - 5330 S E,10 Center Drive,M S C 1277,Bethesda MD  20892,United States</t>
  </si>
  <si>
    <t>(301) 496-6120</t>
  </si>
  <si>
    <t>USA - Maryland
USA - Virginia</t>
  </si>
  <si>
    <t>First certificate of registration issued: Postgraduate Education Certificate||Effective:   14 Jun 1982
Transfer of class of registration to: Independent Practice Certificate||Effective:   08 Apr 1986</t>
  </si>
  <si>
    <t>68409</t>
  </si>
  <si>
    <t xml:space="preserve">Independent Practice as of 25 Jun 1996 </t>
  </si>
  <si>
    <t>The University of British Columbia, 1994</t>
  </si>
  <si>
    <t>(807) 684-6453</t>
  </si>
  <si>
    <t>(807) 684-5868</t>
  </si>
  <si>
    <t>McMaster University, 01 Jul 1994  to 30 Jun 1995|PostGrad Yr 1 - Family Medicine
McMaster University, 01 Jul 1995  to 30 Jun 1996|Resident 2 - Family Medicine
University of Ottawa, 01 Jan 1999  to 31 Dec 1999|PostGrad Yr 2 - Psychiatry
University of Ottawa, 01 Jan 2000  to 31 Dec 2000|PostGrad Yr 3 - Psychiatry
University of Ottawa, 01 Jan 2001  to 31 Dec 2001|PostGrad Yr 4 - Psychiatry
University of Ottawa, 01 Jan 2002  to 30 Jun 2002|PostGrad Yr 5 - Psychiatry
University of Ottawa, 01 Jul 2002  to 31 Dec 2002|PostGrad Yr 5 - Psychiatry</t>
  </si>
  <si>
    <t>First certificate of registration issued: Postgraduate Education Certificate||Effective:   04 Jul 1994
Transfer of class of registration to: Independent Practice Certificate||Effective:   25 Jun 1996</t>
  </si>
  <si>
    <t>Peter Schubert Medicine Professional Corporation</t>
  </si>
  <si>
    <t>Issued Date:  Apr 21 2009</t>
  </si>
  <si>
    <t>Dr. P. Schubert (CPSO# 68409)</t>
  </si>
  <si>
    <t>Thunder Bay Regional Hospital,980 Oliver Road,Thunder Bay ON  P7B 6V4,(807) 684-6453</t>
  </si>
  <si>
    <t>31440</t>
  </si>
  <si>
    <t xml:space="preserve">Active Member as of 01 May 1980 </t>
  </si>
  <si>
    <t xml:space="preserve">Independent Practice as of 01 May 1980 </t>
  </si>
  <si>
    <t>UNUM,1 Fountain Square,Chattanooga TN  37402,United States</t>
  </si>
  <si>
    <t>(423) 294-8016</t>
  </si>
  <si>
    <t>(416) 813-6461</t>
  </si>
  <si>
    <t>USA - Tennessee</t>
  </si>
  <si>
    <t>First certificate of registration issued: Postgraduate Education Certificate||Effective:   16 Jun 1975
Transfer of class of registration to: Hospital Practice Certificate||Effective:   20 Sep 1979
Expired: Terms and conditions of certificate of registration||Expiry:      11 Apr 1980
Subsequent certificate of registration Issued: Independent Practice Certificate||Effective:   01 May 1980</t>
  </si>
  <si>
    <t>26442</t>
  </si>
  <si>
    <t>190 Cundles Road East,Suite 309,Barrie ON  L4M 4S5</t>
  </si>
  <si>
    <t>(705) 737-4641</t>
  </si>
  <si>
    <t>(705) 737-9605</t>
  </si>
  <si>
    <t>First certificate of registration issued: Independent Practice Certificate||Effective:   14 May 1974
Expired: Failure to Renew Membership||Expiry:      02 Aug 2002
Subsequent certificate of registration Issued: Independent Practice Certificate||Effective:   09 Aug 2002</t>
  </si>
  <si>
    <t>29243</t>
  </si>
  <si>
    <t xml:space="preserve">Active Member as of 23 Aug 2005 </t>
  </si>
  <si>
    <t xml:space="preserve">Independent Practice as of 23 Aug 2005 </t>
  </si>
  <si>
    <t>20 Sunbridge Cres,Kitchener ON  N2K 1T3</t>
  </si>
  <si>
    <t>(519) 570-4572</t>
  </si>
  <si>
    <t>First certificate of registration issued: Postgraduate Education Certificate||Effective:   01 Jul 1975
Transfer of class of registration to: Independent Practice Certificate||Effective:   24 Jun 1977
Expired: Failure to Renew Membership||Expiry:      03 Aug 2005
Subsequent certificate of registration Issued: Independent Practice Certificate||Effective:   23 Aug 2005</t>
  </si>
  <si>
    <t>Dr. P. J. Lang Medicine Professional Corporation</t>
  </si>
  <si>
    <t>Inactive: Feb 23 2016</t>
  </si>
  <si>
    <t>33174</t>
  </si>
  <si>
    <t xml:space="preserve">Active Member - CPSO Staff as of 07 Jul 2015 </t>
  </si>
  <si>
    <t xml:space="preserve">Independent Practice as of 30 Apr 1982 </t>
  </si>
  <si>
    <t>CPSO,80 College St,Toronto ON  M5G 2E2</t>
  </si>
  <si>
    <t>(416) 967-2600 Ext. 453</t>
  </si>
  <si>
    <t>(416) 967-2616</t>
  </si>
  <si>
    <t>First certificate of registration issued: Postgraduate Education Certificate||Effective:   01 Jan 1981
Transfer of class of registration to: Independent Practice Certificate||Effective:   30 Apr 1982</t>
  </si>
  <si>
    <t>Dr. Peter Prendergast Medicine Professional Corporation</t>
  </si>
  <si>
    <t>Issued Date:  Aug 10 2011</t>
  </si>
  <si>
    <t>Dr. P. Prendergast (CPSO# 33174)</t>
  </si>
  <si>
    <t>CPSO,80 College Street,Toronto ON  M5G 2E2,(416) 967-2600</t>
  </si>
  <si>
    <t>53378</t>
  </si>
  <si>
    <t xml:space="preserve">Active Member as of 26 Sep 1984 </t>
  </si>
  <si>
    <t>(416) 586-4800 Ext. 4595</t>
  </si>
  <si>
    <t>First certificate of registration issued: Postgraduate Education Certificate||Effective:   08 Jul 1983
Expired: Terms and conditions of certificate of registration||Expiry:      30 Jun 1984
Subsequent certificate of registration Issued: Postgraduate Education Certificate||Effective:   26 Sep 1984
Transfer of class of registration to: Independent Practice Certificate||Effective:   25 Jun 1986</t>
  </si>
  <si>
    <t>24109</t>
  </si>
  <si>
    <t>208 St Clair Avenue West,Suite 4,Toronto ON  M4V 1R2</t>
  </si>
  <si>
    <t>(416) 922-7279</t>
  </si>
  <si>
    <t>First certificate of registration issued: Independent Practice Certificate||Effective:   20 Aug 1971</t>
  </si>
  <si>
    <t>Dr. Peter L. Herschman Medicine Professional Corporation</t>
  </si>
  <si>
    <t>Dr. P. Herschman (CPSO# 24109)</t>
  </si>
  <si>
    <t>4 - 208 St. Clair Avenue West,Toronto ON  M4V 1R2,(416) 922-7279</t>
  </si>
  <si>
    <t>52096</t>
  </si>
  <si>
    <t>Centre For Addiction and Mental,Health,Office 3274,100 Stokes Street Toronto,Toronto ON  M6J 1H4</t>
  </si>
  <si>
    <t>First certificate of registration issued: Postgraduate Education Certificate||Effective:   14 Jun 1982
Transfer of class of registration to: Independent Practice Certificate||Effective:   29 Aug 1983</t>
  </si>
  <si>
    <t>Dr. Peter Voore Medicine Professional Corporation</t>
  </si>
  <si>
    <t>Issued Date:  Sep 10 2012</t>
  </si>
  <si>
    <t>Dr. P. Voore (CPSO# 52096)</t>
  </si>
  <si>
    <t>CAMH,Suite 3274,100 Stokes Street,Toronto ON  M6J 1H4,(416) 535-8501</t>
  </si>
  <si>
    <t>50987</t>
  </si>
  <si>
    <t>The University of Manitoba, 1981</t>
  </si>
  <si>
    <t>Hamilton Family Health Team,Suite 300,123 James Street North,Hamilton ON  L8R 2K8</t>
  </si>
  <si>
    <t>(905) 667-4847</t>
  </si>
  <si>
    <t>First certificate of registration issued: Postgraduate Education Certificate||Effective:   01 Jul 1981
Transfer of class of registration to: Independent Practice Certificate||Effective:   08 Jul 1985</t>
  </si>
  <si>
    <t>87028</t>
  </si>
  <si>
    <t xml:space="preserve">Active Member as of 17 Jan 2014 </t>
  </si>
  <si>
    <t xml:space="preserve">Independent Practice as of 17 Jan 2014 </t>
  </si>
  <si>
    <t>160 David Street South,Fergus ON  N1M 2L3</t>
  </si>
  <si>
    <t>(519) 787-1800</t>
  </si>
  <si>
    <t>(519) 787-2015</t>
  </si>
  <si>
    <t>150 Delhi Street,Guelph ON  N1E 6K9,Canada,Phone:519-824-1010 Ext. 2141,Fax:519-767-3533,County:County of Wellington,Electoral District:03</t>
  </si>
  <si>
    <t>Psychiatry||Effective: 08 Dec 2012||RCPSC Specialist</t>
  </si>
  <si>
    <t>Queen's University, 01 Jul 2007  to 22 Sep 2007|Assessment Verification Period - Psychiatry
Queen's University, 23 Sep 2007  to 30 Jun 2008|PostGrad Yr 1 - Psychiatry
Queen's University, 01 Jul 2008  to 30 Jun 2009|PostGrad Yr 2 - Psychiatry
Queen's University, 01 Jul 2009  to 30 Jun 2010|PostGrad Yr 3 - Psychiatry
Queen's University, 01 Jul 2010  to 08 Dec 2010|PostGrad Yr 3 - Psychiatry
Queen's University, 09 Dec 2010  to 08 Dec 2011|PostGrad Yr 4 - Psychiatry
Queen's University, 09 Dec 2011  to 08 Dec 2012|PostGrad Yr 5 - Psychiatry</t>
  </si>
  <si>
    <t>First certificate of registration issued: Pre Entry Assessment Program Certificate||Effective:   01 Jul 2007
Transfer of class of registration to: Postgraduate Education Certificate||Effective:   23 Sep 2007
Expired: Terms and conditions of certificate of registration||Expiry:      08 Dec 2012
Subsequent certificate of registration issued: Restricted certificate||Effective:   26 Mar 2013
Expired: Terms and conditions imposed on certificate by Registration Committee||Effective:   17 Jan 2014
Subsequent certificate of registration Issued: Independent Practice Certificate||Effective:   17 Jan 2014</t>
  </si>
  <si>
    <t>28758</t>
  </si>
  <si>
    <t xml:space="preserve">Active Member as of 09 Sep 1976 </t>
  </si>
  <si>
    <t xml:space="preserve">Independent Practice as of 09 Sep 1976 </t>
  </si>
  <si>
    <t>Oxford University, 1972</t>
  </si>
  <si>
    <t>164 Monarch Park Avenue,Toronto ON  M4J 4R6</t>
  </si>
  <si>
    <t>(416) 960-8996</t>
  </si>
  <si>
    <t>(416) 960-9673</t>
  </si>
  <si>
    <t>First certificate of registration issued: Temporary Employment Practice Certificate||Effective:   26 Mar 1976
Transfer of class of registration to: Independent Practice Certificate||Effective:   09 Sep 1976</t>
  </si>
  <si>
    <t>Peter Sutton Medicine Professional Corporation</t>
  </si>
  <si>
    <t>Issued Date:  May 30 2017</t>
  </si>
  <si>
    <t>Dr. P. Sutton (CPSO# 28758)</t>
  </si>
  <si>
    <t>164 Monarch Avenue,Toronto ON  M4J 4R6,(416) 960-8996</t>
  </si>
  <si>
    <t>29865</t>
  </si>
  <si>
    <t xml:space="preserve">Active Member as of 04 Aug 1981 </t>
  </si>
  <si>
    <t xml:space="preserve">Independent Practice as of 04 Aug 1981 </t>
  </si>
  <si>
    <t>CAMH,Intergenerational Wellness Building,Child and Adolescent Psychiatry Div,80 Workman Way, 5th Floor, Rm 5226,Toronto ON  M6J 1H4</t>
  </si>
  <si>
    <t>(416) 535-8501 Ext. 34856</t>
  </si>
  <si>
    <t>416-979-6820</t>
  </si>
  <si>
    <t>Dr. P. Szatmari Medicine Professional Corporation</t>
  </si>
  <si>
    <t>Issued Date:  Dec 04 2006</t>
  </si>
  <si>
    <t>Dr. P. Szatmari (CPSO# 29865)</t>
  </si>
  <si>
    <t>CAMH,80 Workman Way,5th Floor, Suite 5226,Toronto ON  M6J 1H4,(416) 535-8501
CAMH,80 Workman Way,5th Floor, Suite 5226,Toronto ON  M6J 1H4,(416) 535-850</t>
  </si>
  <si>
    <t>Woodbury-Smith Medicine Professional Corporation</t>
  </si>
  <si>
    <t>Inactive: Aug 29 2017</t>
  </si>
  <si>
    <t>58486</t>
  </si>
  <si>
    <t>First certificate of registration issued: Postgraduate Education Certificate||Effective:   15 Jun 1987
Expired: Terms and conditions of certificate of registration||Expiry:      13 Jun 1988
Subsequent certificate of registration Issued: Postgraduate Education Certificate||Effective:   01 Jul 1991
Expired: Terms and conditions of certificate of registration||Expiry:      31 Dec 1991
Subsequent certificate of registration Issued: Independent Practice Certificate||Effective:   30 Jun 1992</t>
  </si>
  <si>
    <t>Peter Boyles Medicine Professional Corporation</t>
  </si>
  <si>
    <t>Issued Date:  Oct 24 2014</t>
  </si>
  <si>
    <t>Dr. P. Boyles (CPSO# 58486)</t>
  </si>
  <si>
    <t>Ottawa Hospital,Civic Campus,1053 Carling Avenue,Ottawa ON  K1Y 4E9,(613) 761-4581</t>
  </si>
  <si>
    <t>74139</t>
  </si>
  <si>
    <t xml:space="preserve">Active Member as of 14 Jul 1999 </t>
  </si>
  <si>
    <t xml:space="preserve">Independent Practice as of 14 Jul 1999 </t>
  </si>
  <si>
    <t>Alexandra Marine and General Hospit,120 Napier Street,Goderich ON  N7A 1W5</t>
  </si>
  <si>
    <t>519 524 8689 Ext. 5361</t>
  </si>
  <si>
    <t>(519) 524 8513</t>
  </si>
  <si>
    <t>Alexandra Marine and General Hospital:Goderich
Stratford General Hospital:Stratford</t>
  </si>
  <si>
    <t>Obstetrics and Gynecology||Effective: 30 Jun 1999||RCPSC Specialist
Psychiatry||Effective: 30 Jun 2007||RCPSC Specialist</t>
  </si>
  <si>
    <t>University of Toronto, 15 Jul 2003  to 30 Jun 2004|PostGrad Yr 2 - Psychiatry
University of Toronto, 01 Jul 2004  to 30 Jun 2005|PostGrad Yr 3 - Psychiatry
University of Toronto, 01 Jul 2005  to 30 Jun 2006|PostGrad Yr 4 - Psychiatry
University of Toronto, 01 Jul 2006  to 30 Jul 2006|PostGrad Yr 5 - Psychiatry</t>
  </si>
  <si>
    <t>First certificate of registration issued: Independent Practice Certificate||Effective:   14 Jul 1999</t>
  </si>
  <si>
    <t>Philip D. Neilsen Medicine Professional Corporation</t>
  </si>
  <si>
    <t>Issued Date:  Jun 28 2007</t>
  </si>
  <si>
    <t>Dr. P. Neilsen (CPSO# 74139)</t>
  </si>
  <si>
    <t>120 Napier Street,Goderich ON  N7A 1W5,(519) 524-8689</t>
  </si>
  <si>
    <t>60139</t>
  </si>
  <si>
    <t xml:space="preserve">Active Member as of 08 Jul 1988 </t>
  </si>
  <si>
    <t xml:space="preserve">Independent Practice as of 09 Jan 1989 </t>
  </si>
  <si>
    <t>The University of Manitoba, 1987</t>
  </si>
  <si>
    <t>(905) 668-5881 Ext. 6053</t>
  </si>
  <si>
    <t>340 Gerrard Street East,Toronto ON  M5A 2H4,Canada,Phone:(416) 578-8130,County:City of Toronto,Electoral District:10</t>
  </si>
  <si>
    <t>Northwest Territories
Nunavut
Yukon</t>
  </si>
  <si>
    <t>Psychiatry||Effective: 28 May 1992||RCPSC Specialist
Forensic Psychiatry||Effective: 26 Sep 2013||RCPSC Specialist</t>
  </si>
  <si>
    <t>First certificate of registration issued: Postgraduate Education Certificate||Effective:   08 Jul 1988
Transfer of class of registration to: Independent Practice Certificate||Effective:   09 Jan 1989</t>
  </si>
  <si>
    <t>Philip Klassen Medicine Professional Corporation</t>
  </si>
  <si>
    <t>Issued Date:  Feb 03 2015</t>
  </si>
  <si>
    <t>Dr. P. Klassen (CPSO# 60139)</t>
  </si>
  <si>
    <t>1194 Queen Street West,Toronto ON  M6J 1J4
340 Gerrard Street East,340 Gerrard Street East,Toronto ON  M5A 2H9,(416) 578-8130</t>
  </si>
  <si>
    <t>86749</t>
  </si>
  <si>
    <t>200 Elizabeth St,Toronto ON  M5G 2C4,Canada,County:City of Toronto,Electoral District:10</t>
  </si>
  <si>
    <t>Centre for Addiction &amp; Mental Health,Queen Street Site:Toronto
University Health Network,Toronto General Hospital Site:Toronto</t>
  </si>
  <si>
    <t>University of Toronto, 01 Jul 2007  to 30 Jun 2008|PostGrad Yr 1 - Psychiatry
University of Toronto, 01 Jul 2008  to 30 Jun 2009|PostGrad Yr 2 - Psychiatry
University of Toronto, 01 Jul 2009  to 30 Jun 2010|PostGrad Yr 3 - Psychiatry
University of Toronto, 01 Jul 2010  to 30 Jun 2011|PostGrad Yr 4 - Psychiatry
University of Toronto, 01 Jul 2011  to 30 Jun 2012|PostGrad Yr 5 - Psychiatry
University of Toronto, 01 Jul 2012  to 30 Jun 2013|Clinical Fellow - Psychiatry
University of Toronto, 01 Jul 2013  to 30 Jun 2014|Clinical Fellow - Psychiatry
University of Toronto, 01 Jul 2014  to 30 Jun 2015|Clinical Fellow - Psychiatry
University of Toronto, 01 Jul 2015  to 31 Dec 2015|Clinical Fellow - Psychiatry</t>
  </si>
  <si>
    <t>First certificate of registration issued: Postgraduate Education Certificate||Effective:   01 Jul 2007
Expired: Terms and conditions of certificate of registration||Expiry:      18 Aug 2010
Subsequent certificate of registration issued: Restricted certificate||Effective:   18 Aug 2010
Expired: Terms and conditions imposed on certificate by Registration Committee||Effective:   30 Jun 2012
Subsequent certificate of registration Issued: Independent Practice Certificate||Effective:   30 Jun 2012</t>
  </si>
  <si>
    <t>Philip M. Gerretsen Medicine Professional Corporation</t>
  </si>
  <si>
    <t>Issued Date:  Apr 14 2014</t>
  </si>
  <si>
    <t>Dr. P. Gerretsen (CPSO# 86749)</t>
  </si>
  <si>
    <t>200 Elizabeth Street,Toronto ON  M5G 2C4
80 Workman Way,80 Workman Way,Toronto ON  M6J 1H4,(416) 535-8501</t>
  </si>
  <si>
    <t>17944</t>
  </si>
  <si>
    <t xml:space="preserve">Active Member as of 12 Oct 1982 </t>
  </si>
  <si>
    <t xml:space="preserve">Independent Practice as of 12 Oct 1982 </t>
  </si>
  <si>
    <t>McGill University, 1960</t>
  </si>
  <si>
    <t>Suite 605,251 Bank Street,Ottawa ON  K2P 1X3</t>
  </si>
  <si>
    <t>(613) 569-5222</t>
  </si>
  <si>
    <t>(888) 219-4779</t>
  </si>
  <si>
    <t>Arnprior and District Memorial Hospital:Arnprior
Children's Hospital of Eastern Ontario:Ottawa
Royal Ottawa Health Care Group:Ottawa</t>
  </si>
  <si>
    <t>Psychiatry||Effective: 28 Mar 1977||RCPSC Specialist</t>
  </si>
  <si>
    <t>First certificate of registration issued: Independent Practice Certificate||Effective:   28 Jun 1961
Expired: Failure to Renew Membership||Expiry:      04 Mar 1963
Subsequent certificate of registration Issued: Independent Practice Certificate||Effective:   12 Oct 1982</t>
  </si>
  <si>
    <t>102525</t>
  </si>
  <si>
    <t xml:space="preserve">Active Member as of 13 Jan 2014 </t>
  </si>
  <si>
    <t xml:space="preserve">Independent Practice as of 13 Jan 2014 </t>
  </si>
  <si>
    <t>University of London, 1982</t>
  </si>
  <si>
    <t>Cumberland Mental Health Center,33 Havelock Street,Amherst NS  B4H 4W1</t>
  </si>
  <si>
    <t>(902) 667-3879</t>
  </si>
  <si>
    <t>(902) 667-5959</t>
  </si>
  <si>
    <t>First certificate of registration issued: Independent Practice Certificate||Effective:   13 Jan 2014</t>
  </si>
  <si>
    <t>80426</t>
  </si>
  <si>
    <t xml:space="preserve">Active Member as of 21 Dec 2004 </t>
  </si>
  <si>
    <t xml:space="preserve">Academic Practice as of 21 Dec 2004 </t>
  </si>
  <si>
    <t>University of Brussels, 1977</t>
  </si>
  <si>
    <t>Department of Psychiatry,Children's Hospital of,Eastern Ontario,401 Smyth Road,Ottawa ON  K1H 8L1</t>
  </si>
  <si>
    <t>(613) 738-6990 Ext. 241</t>
  </si>
  <si>
    <t>France</t>
  </si>
  <si>
    <t>Psychiatry||Effective: 16 Mar 2004||RCPSC Specialist
Child and Adolescent Psychiatry||Effective: 28 Jan 2014||RCPSC Specialist</t>
  </si>
  <si>
    <t>First certificate of registration issued: Restricted certificate||Effective:   14 Jan 2004
Terms and conditions imposed on certificate by Registration Committee||Effective:   14 Jan 2004
Expired: Terms and conditions imposed on certificate by Registration Committee||Effective:   21 Dec 2004
Subsequent certificate of registration Issued: Academic Practice Certificate||Effective:   21 Dec 2004</t>
  </si>
  <si>
    <t>Philippe Robaey Medicine Professional Corporation</t>
  </si>
  <si>
    <t>Issued Date:  Sep 20 2007</t>
  </si>
  <si>
    <t>Dr. P. Robaey (CPSO# 80426)</t>
  </si>
  <si>
    <t>Department of Psychiatry,Childrens Hospital of Eastern Ontario,401 Smyth Road,Ottawa ON  K1H 8L1,(613) 737-7600
Suite 200,Suite 200,311 McArthur Avenue,Ottawa ON  K1L 8M3</t>
  </si>
  <si>
    <t>87339</t>
  </si>
  <si>
    <t xml:space="preserve">Active Member as of 03 Jul 2007 </t>
  </si>
  <si>
    <t xml:space="preserve">Independent Practice as of 06 Jun 2013 </t>
  </si>
  <si>
    <t>University of Montreal, 2007</t>
  </si>
  <si>
    <t>Community Psychiatry Clinic,St. Joseph's Healthcare Hamilton,West 5th Campus,100 West 5th Street,Hamilton ON  L8N 3K7</t>
  </si>
  <si>
    <t>(905) 522-1155 Ext. 39781</t>
  </si>
  <si>
    <t>McMaster University, 01 Jul 2007  to 30 Jun 2008|PostGrad Yr 1 - Psychiatry
McMaster University, 01 Jul 2008  to 30 Jun 2009|PostGrad Yr 2 - Psychiatry
McMaster University, 01 Jul 2009  to 30 Jun 2010|PostGrad Yr 3 - Psychiatry
McMaster University, 01 Jul 2010  to 30 Jun 2011|PostGrad Yr 4 - Psychiatry
McMaster University, 01 Jul 2011  to 30 Jun 2012|PostGrad Yr 5 - Psychiatry
McMaster University, 01 Jul 2012  to 30 Jun 2013|PostGrad Yr 6 - Psychiatry
McMaster University, 01 Jul 2013  to 30 Jun 2014|Clinical Fellow - Psychiatry</t>
  </si>
  <si>
    <t>First certificate of registration issued: Postgraduate Education Certificate||Effective:   03 Jul 2007
Transfer of class of registration to: Independent Practice Certificate||Effective:   06 Jun 2013</t>
  </si>
  <si>
    <t>56575</t>
  </si>
  <si>
    <t xml:space="preserve">Active Member as of 28 Jan 1986 </t>
  </si>
  <si>
    <t xml:space="preserve">Independent Practice as of 24 Oct 1986 </t>
  </si>
  <si>
    <t>University of Leicester, 1980</t>
  </si>
  <si>
    <t>Victoria Hospital LHSC.,Room B8-118,800 Commissions Rd. East,PO Box 5010,London ON  N6A 5W9</t>
  </si>
  <si>
    <t>(519) 685 8500 Ext. 55412</t>
  </si>
  <si>
    <t>(519) 667 6539</t>
  </si>
  <si>
    <t>Clinic 528,528 Dundas St.,London ON  N6B 1W6,Canada,Phone:(519) 645-1533,Fax:(519) 645-1536,County:County of Middlesex,Electoral District:02</t>
  </si>
  <si>
    <t>Psychiatry||Effective: 14 Nov 1989||RCPSC Specialist
Forensic Psychiatry||Effective: 23 Sep 2014||RCPSC Specialist</t>
  </si>
  <si>
    <t>The University of Western Ontario, 01 Jan 1989  to 30 Jun 1989|Resident 4 - Psychiatry</t>
  </si>
  <si>
    <t>First certificate of registration issued: Academic Practice Certificate||Effective:   28 Jan 1986
Transfer of class of registration to: Independent Practice Certificate||Effective:   24 Oct 1986</t>
  </si>
  <si>
    <t>P. D. Norris Medicine Professional Corporation</t>
  </si>
  <si>
    <t>Dr. P. Norris (CPSO# 56575)</t>
  </si>
  <si>
    <t>Clinic 528,528 Dundas Street,London ON  N6B 1W6,(518) 965-1533
Victoria Hospital,Victoria Hospital,B8-118 - 800 Commissioners Road East,London ON  N6A 5W9,(519) 685-8500</t>
  </si>
  <si>
    <t>70547</t>
  </si>
  <si>
    <t xml:space="preserve">Active Member as of 21 Aug 2007 </t>
  </si>
  <si>
    <t xml:space="preserve">Independent Practice as of 21 Aug 2007 </t>
  </si>
  <si>
    <t>(416) 242-1000 Ext. 43024</t>
  </si>
  <si>
    <t>First certificate of registration issued: Postgraduate Education Certificate||Effective:   01 Jul 1996
Transfer of class of registration to: Independent Practice Certificate||Effective:   30 Jun 2001
Expired: Failure to Renew Membership||Expiry:      11 Aug 2007
Subsequent certificate of registration Issued: Independent Practice Certificate||Effective:   21 Aug 2007</t>
  </si>
  <si>
    <t>Dr. Phillip Maerov Medicine Professional Corporation</t>
  </si>
  <si>
    <t>Issued Date:  Jun 29 2009</t>
  </si>
  <si>
    <t>Dr. P. Maerov (CPSO# 70547)</t>
  </si>
  <si>
    <t>66962</t>
  </si>
  <si>
    <t xml:space="preserve">Active Member as of 13 Dec 1999 </t>
  </si>
  <si>
    <t xml:space="preserve">Independent Practice as of 13 Dec 1999 </t>
  </si>
  <si>
    <t>English, Vietnamese</t>
  </si>
  <si>
    <t>Suite 925,123 Edward Street,Toronto ON  M5G 1E2</t>
  </si>
  <si>
    <t>(416) 597-1616</t>
  </si>
  <si>
    <t>(416) 597-2073</t>
  </si>
  <si>
    <t>1256 Danforth Road,Scarborough ON  M1J 1E5,Canada,Phone:(416) 261-3500,Fax:(416) 266-9400,County:City of Toronto,Electoral District:10</t>
  </si>
  <si>
    <t>First certificate of registration issued: Postgraduate Education Certificate||Effective:   01 Jul 1993
Expired: Terms and conditions of certificate of registration||Expiry:      30 Jun 1998
Subsequent certificate of registration Issued: Restricted Certificate||Effective:   01 Jul 1998
Expired: Terms and conditions of certificate of registration||Expiry:      13 Dec 1999
Subsequent certificate of registration Issued: Independent Practice Certificate||Effective:   13 Dec 1999</t>
  </si>
  <si>
    <t>Phuong P. Tran Medicine Professional Corporation</t>
  </si>
  <si>
    <t>Issued Date:  Sep 14 2005</t>
  </si>
  <si>
    <t>Dr. P. Tran (CPSO# 66962)</t>
  </si>
  <si>
    <t>925 - 123 Edward Street,Toronto ON  M5G 1E2,(416) 597-1616
1256 Danforth Road,1256 Danforth Road,Scarborough ON  M1J 1E5,(416) 261-3500</t>
  </si>
  <si>
    <t>65142</t>
  </si>
  <si>
    <t>The Hospital for Sick Children,555 University Avenue,Toronto ON  M5G 1X8</t>
  </si>
  <si>
    <t>(416) 813-7357</t>
  </si>
  <si>
    <t>(416) 813-7785</t>
  </si>
  <si>
    <t>Psychiatry||Effective: 30 Jun 1997||RCPSC Specialist
Child and Adolescent Psychiatry||Effective: 23 Sep 2014||RCPSC Specialist</t>
  </si>
  <si>
    <t>University of Toronto, 01 Jul 1995  to 30 Jun 1996|Resident 3 - Psychiatry
University of Toronto, 01 Jul 1996  to 30 Jun 1997|Resident 4 - Psychiatry
University of Toronto, 01 Jul 1998  to 30 Jun 1999|Clinical Fellow - Psychiatry
University of Toronto, 01 Jul 1999  to 30 Jun 2000|Clinical Fellow - Psychiatry
University of Toronto, 01 Jul 2000  to 30 Jun 2001|Clinical Fellow - Psychiatry</t>
  </si>
  <si>
    <t>First certificate of registration issued: Postgraduate Education Certificate||Effective:   01 Jul 1992
Transfer of class of registration to: Independent Practice Certificate||Effective:   09 Jul 1993</t>
  </si>
  <si>
    <t>27393</t>
  </si>
  <si>
    <t xml:space="preserve">Active Member as of 20 Jun 1975 </t>
  </si>
  <si>
    <t xml:space="preserve">Independent Practice as of 20 Jun 1975 </t>
  </si>
  <si>
    <t>CHUS - Hotel Dieu,580 Bowen Sud,Sherbrooke QC  J1G 2E8</t>
  </si>
  <si>
    <t>(819) 346-1110 Ext. 26546</t>
  </si>
  <si>
    <t>(819) 822-6790</t>
  </si>
  <si>
    <t>First certificate of registration issued: Postgraduate Education Certificate||Effective:   01 Jul 1971
Transfer of class of registration to: Independent Practice Certificate||Effective:   20 Jun 1975</t>
  </si>
  <si>
    <t>30470</t>
  </si>
  <si>
    <t xml:space="preserve">Independent Practice as of 08 Nov 1978 </t>
  </si>
  <si>
    <t>University of Haiti, 1969</t>
  </si>
  <si>
    <t>311 McArthur Avenue,Suite 303,Vanier ON  K1L 8M3</t>
  </si>
  <si>
    <t>First certificate of registration issued: Postgraduate Education Certificate||Effective:   01 Jul 1976
Transfer of class of registration to: Independent Practice Certificate||Effective:   08 Nov 1978</t>
  </si>
  <si>
    <t>Dr. Pierre Monpremier Medicine Professional Corporation</t>
  </si>
  <si>
    <t>Issued Date:  Feb 16 2012</t>
  </si>
  <si>
    <t>Dr. P. Monpremier (CPSO# 30470)</t>
  </si>
  <si>
    <t>311 McArthur Avenue,Suite 303,Ottawa ON  K1L 8M3,(613) 746-4845</t>
  </si>
  <si>
    <t>79839</t>
  </si>
  <si>
    <t xml:space="preserve">Active Member as of 30 Jun 2003 </t>
  </si>
  <si>
    <t>University of Sherbrooke, 1998</t>
  </si>
  <si>
    <t>Centre Régional de santé mentale,et toxicomanie,580 spence avenue,Hawkesbury ON  K6A 0B4</t>
  </si>
  <si>
    <t>844-304-1414 Ext. 53703</t>
  </si>
  <si>
    <t>Hawkesbury General Hospital,1111 Ghislain Street,Hawkesbury ON  K6A 3G5,Canada,Phone:(613) 632-1111,County:County of Prescott and Russell,Electoral District:07</t>
  </si>
  <si>
    <t>First certificate of registration issued: Independent Practice Certificate||Effective:   30 Jun 2003</t>
  </si>
  <si>
    <t>91312</t>
  </si>
  <si>
    <t>Saba University School of Medicine, 2009</t>
  </si>
  <si>
    <t>(705) 549-3181 Ext. 2238</t>
  </si>
  <si>
    <t>705) 549-5084</t>
  </si>
  <si>
    <t>788 Yonge St Suite #1,Midland ON  L4R 2E6,Canada,Phone:(705) 481-1925,Fax:(705) 481-1925,County:County of Simcoe,Electoral District:05</t>
  </si>
  <si>
    <t>University of Toronto, 01 Jul 2009  to 22 Sep 2009|Assessment Verification Period - Psychiatry
University of Toronto, 23 Sep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Psychiatry</t>
  </si>
  <si>
    <t>Plabon Ismail Medicine Professional Corporation</t>
  </si>
  <si>
    <t>Dr. P. Ismail (CPSO# 91312)</t>
  </si>
  <si>
    <t>North Simcoe Therapy Network,788 Yonge Street,Suite 1,Midland ON  L4R 2E6,(705) 481-1925
Waypoint Centre for Mental Health,Waypoint Centre for Mental Health,500 Church Street,Penetanguishene ON  L9M 1G3,(705) 549-3181</t>
  </si>
  <si>
    <t>70980</t>
  </si>
  <si>
    <t xml:space="preserve">Active Member as of 04 Feb 1997 </t>
  </si>
  <si>
    <t xml:space="preserve">Independent Practice as of 04 Feb 1997 </t>
  </si>
  <si>
    <t>Punjab University India, 1982</t>
  </si>
  <si>
    <t>Suite 202,40 Shellington Place,Brantford ON  N3S 0C5</t>
  </si>
  <si>
    <t>(519) 751-4317</t>
  </si>
  <si>
    <t>(519) 751-4321</t>
  </si>
  <si>
    <t>Brantford General Hospital,200 Terrace Hill Street,Brantford ON  N3R 5G9,Canada,Phone:(519) 751-5544 Ext. 2424,Fax:(519) 751-5572,County:County of Brant,Electoral District:04</t>
  </si>
  <si>
    <t>First certificate of registration issued: Independent Practice Certificate||Effective:   04 Feb 1997</t>
  </si>
  <si>
    <t>Dr. Poonam Sharma Medicine Professional Corporation</t>
  </si>
  <si>
    <t>Issued Date:  Mar 03 2015</t>
  </si>
  <si>
    <t>Dr. P. Sharma (CPSO# 70980)</t>
  </si>
  <si>
    <t>200 Terrace Hill Street,Brantford ON  N3R 1G9,(519) 751-5544
202 - 40 Shellington Place,202 - 40 Shellington Place,Brantford ON  N3S 0C5,(519) 751-4317</t>
  </si>
  <si>
    <t>78690</t>
  </si>
  <si>
    <t xml:space="preserve">Active Member as of 07 Mar 2008 </t>
  </si>
  <si>
    <t xml:space="preserve">Independent Practice as of 07 Mar 2008 </t>
  </si>
  <si>
    <t>Kurnool Medical College, 1980</t>
  </si>
  <si>
    <t>Psychiatry||Effective: 28 Apr 2005||RCPSC Specialist
Geriatric Psychiatry||Effective: 23 Sep 2014||RCPSC Specialist</t>
  </si>
  <si>
    <t>First certificate of registration issued: Restricted certificate||Effective:   25 Nov 2002
Terms and conditions imposed on certificate by Registration Committee||Effective:   25 Nov 2002
Expiry date attached to certificate of registration.||Expiry Date: 07 Nov 2005
Terms and conditions amended by Registration Committee||Effective:   09 Feb 2005
Terms and conditions amended by Registration Committee||Effective:   02 Apr 2005
Terms and conditions amended by Registration Committee||Effective:   08 Mar 2007
Expired: Terms and conditions imposed on certificate by Registration Committee||Effective:   07 Mar 2008
Subsequent certificate of registration Issued: Independent Practice Certificate||Effective:   07 Mar 2008</t>
  </si>
  <si>
    <t>Puranam Krishna Medicine Professional Corporation</t>
  </si>
  <si>
    <t>Issued Date:  Nov 07 2005</t>
  </si>
  <si>
    <t>Dr. P. Krishna (CPSO# 78690),Dr. P. Popuri (CPSO# 78917)</t>
  </si>
  <si>
    <t>Sudbury Regional Hospital,680 Kirkwood Drive,Sudbury ON  P3E 1X3,(705) 675-5900
Sudbury Regional Hospital,Sudbury Regional Hospital,41 Ramsey Lake Road,Sudbury ON  P3E 5J1,(705) 523-7100</t>
  </si>
  <si>
    <t>90898</t>
  </si>
  <si>
    <t xml:space="preserve">Active Member as of 21 Oct 2014 </t>
  </si>
  <si>
    <t xml:space="preserve">Independent Practice as of 21 Oct 2014 </t>
  </si>
  <si>
    <t>C A M H,11th Floor,250 College Street,Toronto ON  M5T 1R8</t>
  </si>
  <si>
    <t>First certificate of registration issued: Postgraduate Education Certificate||Effective:   01 Jul 2009
Expired: Terms and conditions of certificate of registration||Expiry:      30 Jun 2014
Subsequent certificate of registration Issued: Independent Practice Certificate||Effective:   21 Oct 2014</t>
  </si>
  <si>
    <t>Pracha Vatsya Medicine Professional Corporation</t>
  </si>
  <si>
    <t>Issued Date:  Dec 01 2014</t>
  </si>
  <si>
    <t>Dr. P. Vatsya (CPSO# 90898)</t>
  </si>
  <si>
    <t>CAMH,11th Floor,250 College Street,Toronto ON  M5T 1R8,(416) 535-8501</t>
  </si>
  <si>
    <t>117089</t>
  </si>
  <si>
    <t>Armed Forces Medical College, 1986</t>
  </si>
  <si>
    <t>Queen's University,Department of Psychiatry,Providence Care Hospital,752 King St W,Kingston ON  K7L 4X3</t>
  </si>
  <si>
    <t>First certificate of registration issued: Restricted certificate||Effective:   15 Oct 2018
Terms and conditions imposed on certificate by Registration Committee||Effective:   15 Oct 2018
Expiry date attached to certificate of registration.||Expiry Date: 30 Jun 2021</t>
  </si>
  <si>
    <t>98766</t>
  </si>
  <si>
    <t>English, Hindi, Sindhi</t>
  </si>
  <si>
    <t>Spartan Health Sciences University, 2010</t>
  </si>
  <si>
    <t>905-494-2120</t>
  </si>
  <si>
    <t>Headwaters Health Care Centre,100 Rolling Hills Drive,Orangeville ON  L9W4X9,Canada,Phone:519-941-2410,County:County of Dufferin,Electoral District:03
Canadian Mental Health Association,Peel Dufferin Branch,Suite L2,1 Elizabeth St,Orangeville ON  L9W7N7,Canada,Phone:519-941-0465,Fax:519-941-0580,County:County of Dufferin,Electoral District:03
Ross Memorial Hospital,10 Angeline St N,Lindsay ON  K9V 5B7,Canada,Phone:(705) 324-6111,County:County of Victoria,Electoral District:06
Peel Memorial Centre,20 Lynch Street,Brampton ON  L6W2Z8,Canada,Phone:905-494-2120,County:Regional Municipality of Peel,Electoral District:05</t>
  </si>
  <si>
    <t>Headwaters Health Care Centre,Orangeville-Dufferin Site:Orangeville
Ross Memorial Hospital:Lindsay
William Osler - Peel Memorial Centre,for Integrated Health and Wellness:Brampton
William Osler Health Centre-Brampton Civic Hospital:Brampton</t>
  </si>
  <si>
    <t>University of Ottawa, 01 Jul 2012  to 24 Sep 2012|Assessment Verification Period - Psychiatry
University of Ottawa, 25 Sep 2012  to 30 Jun 2013|PostGrad Yr 1 - Psychiatry
University of Ottawa, 01 Jul 2013  to 30 Jun 2014|PostGrad Yr 2 - Psychiatry
University of Ottawa, 01 Jul 2014  to 30 Jun 2015|PostGrad Yr 3 - Psychiatry
University of Ottawa, 01 Jul 2015  to 30 Jun 2016|PostGrad Yr 4 - Psychiatry
University of Toronto, 01 Jul 2016  to 30 Jun 2017|PostGrad Yr 5 - Geriatric Psychiatry
University of Toronto, 01 Jul 2017  to 30 Jun 2018|PostGrad Yr 6 - Geriatric Psychiatry</t>
  </si>
  <si>
    <t>First certificate of registration issued: Pre Entry Assessment Program Certificate||Effective:   01 Jul 2012
Transfer of class of registration to: Postgraduate Education Certificate||Effective:   25 Sep 2012
Expired: Terms and conditions of certificate of registration||Expiry:      01 Feb 2017
Subsequent certificate of registration issued: Restricted certificate||Effective:   01 Feb 2017
Terms and conditions amended by Registration Committee||Effective:   07 Apr 2017
Subsequent certificate of registration Issued: Independent Practice Certificate||Effective:   30 Jun 2017
Expired: Terms and conditions imposed on certificate||Effective:   30 Jun 2017</t>
  </si>
  <si>
    <t>P. K. Babani Medicine Professional Corporation</t>
  </si>
  <si>
    <t>Issued Date:  Jun 19 2017</t>
  </si>
  <si>
    <t>Dr. P. Babani (CPSO# 98766)</t>
  </si>
  <si>
    <t>Centre for Addictions and Mental Health,80 Workman Way,Toronto ON  M6J 1H4
Northumberland Hills Hospital,Northumberland Hills Hospital,1000 Depalma Drive,Cobourg ON  K9A 5W6
Ontario Shores Centre for Mental Health Sciences,Ontario Shores Centre for Mental Health Sciences,700 Gordon Street,Whitby ON  L1N 5S9
Peterborough Regional Health Centre,Peterborough Regional Health Centre,1 Hospital Drive,Peterborough ON  K9J 7C6
Ross Memorial Hospital,Ross Memorial Hospital,10 Angeline Street North,Lindsay ON  K9V 5B7
William Osler Health Centre,William Osler Health Centre,Brampton Civic Hospital,2100 Bovaird Drive East,Brampton ON  L6R 3J7</t>
  </si>
  <si>
    <t>83690</t>
  </si>
  <si>
    <t xml:space="preserve">Active Member as of 01 Sep 2005 </t>
  </si>
  <si>
    <t xml:space="preserve">Restricted as of 01 Sep 2005 </t>
  </si>
  <si>
    <t>University of Bombay, 1984</t>
  </si>
  <si>
    <t>315 Wharncliffe Rd S,London ON  N6J 2L6</t>
  </si>
  <si>
    <t>(519) 933-3067</t>
  </si>
  <si>
    <t>519 672 6886</t>
  </si>
  <si>
    <t>23 Huron St. West,Exeter ON  N0M 1S2,Canada,County:County of Huron,Electoral District:02</t>
  </si>
  <si>
    <t>Psychiatry||Effective: 01 Sep 2005||CPSO Recognized Specialist</t>
  </si>
  <si>
    <t>First certificate of registration issued: Restricted certificate||Effective:   01 Sep 2005
Terms and conditions imposed on certificate by Registration Committee||Effective:   01 Sep 2005
Expiry date attached to certificate of registration.||Expiry Date: 30 Jun 2008
Terms and conditions amended by Registration Committee||Effective:   03 Feb 2011
Expiry date removed from certificate of registration.||Effective:   03 Feb 2011</t>
  </si>
  <si>
    <t>Dr. Prakash Gangdev Medicine Professional Corporation</t>
  </si>
  <si>
    <t>Issued Date:  Jun 01 2011</t>
  </si>
  <si>
    <t>Dr. P. Gangdev (CPSO# 83690)</t>
  </si>
  <si>
    <t>315 Wharncliffe Road South,London ON  N6J 2L6,(519) 933-3067
23 Huron Street West,23 Huron Street West,Exeter ON  N0M 1S2,(519) 235-3343</t>
  </si>
  <si>
    <t>98439</t>
  </si>
  <si>
    <t xml:space="preserve">Active Member as of 21 Aug 2017 </t>
  </si>
  <si>
    <t xml:space="preserve">Independent Practice as of 21 Aug 2017 </t>
  </si>
  <si>
    <t>TRILLIUM HEALTH PARTNERS,2085 HURONTARIO STREET.,SUITE 300.,MISSISSAUGA. ONTARIO.  L5A 4G1,Mississauga ON  L5A4G1</t>
  </si>
  <si>
    <t>905 848 7586</t>
  </si>
  <si>
    <t>The University of Western Ontario, 01 Jul 2012  to 30 Jun 2013|PostGrad Yr 1 - Psychiatry
The University of Western Ontario, 01 Jul 2013  to 30 Jun 2014|PostGrad Yr 2 - Psychiatry
The University of Western Ontario, 01 Jul 2014  to 30 Jun 2015|PostGrad Yr 3 - Psychiatry
The University of Western Ontario, 01 Jul 2015  to 30 Jun 2016|PostGrad Yr 4 - Psychiatry
The University of Western Ontario, 01 Jul 2016  to 13 Jul 2016|PostGrad Yr 4 - Psychiatry
The University of Western Ontario, 14 Jul 2016  to 30 Jun 2017|PostGrad Yr 5 - Psychiatry</t>
  </si>
  <si>
    <t>First certificate of registration issued: Postgraduate Education Certificate||Effective:   01 Jul 2012
Expired: Terms and conditions of certificate of registration||Expiry:      30 Jun 2017
Subsequent certificate of registration Issued: Independent Practice Certificate||Effective:   21 Aug 2017</t>
  </si>
  <si>
    <t>62956</t>
  </si>
  <si>
    <t>Suite 106,170 Queensway West,Mississauga ON  L5B 3A8</t>
  </si>
  <si>
    <t>(905) 272-3899</t>
  </si>
  <si>
    <t>(905) 272-7005</t>
  </si>
  <si>
    <t>First certificate of registration issued: Postgraduate Education Certificate||Effective:   02 Aug 1990
Expired: Terms and conditions of certificate of registration||Expiry:      30 Jun 1991
Subsequent certificate of registration Issued: Independent Practice Certificate||Effective:   05 Jul 1991</t>
  </si>
  <si>
    <t>S. &amp; P. Manohar Medicine Professional Corporation</t>
  </si>
  <si>
    <t>Issued Date:  Sep 22 2006</t>
  </si>
  <si>
    <t>Dr. P. Manohar (CPSO# 62956),Dr. S. Manohar (CPSO# 62793)</t>
  </si>
  <si>
    <t>106 - 170 Queensway West,Mississauga ON  L5B 3A8,(905) 272-3899</t>
  </si>
  <si>
    <t>75093</t>
  </si>
  <si>
    <t>Centre for Addiction and,Mental Health  - Queen St site,80 Workman Way,Toronto ON  M5T 1R8</t>
  </si>
  <si>
    <t>(416) 535-8501 Ext. 36544</t>
  </si>
  <si>
    <t>First certificate of registration issued: Postgraduate Education Certificate||Effective:   01 Jul 2000
Transfer of class of registration to: Independent Practice Certificate||Effective:   30 Jun 2005
Expired: Failure to Renew Membership||Expiry:      11 Aug 2006
Subsequent certificate of registration Issued: Independent Practice Certificate||Effective:   15 Aug 2006</t>
  </si>
  <si>
    <t>Dr. Priya Watson Medicine Professional Corporation</t>
  </si>
  <si>
    <t>Issued Date:  May 14 2013</t>
  </si>
  <si>
    <t>Dr. P. Watson (CPSO# 75093)</t>
  </si>
  <si>
    <t>Centre for Addiciton and Mental Health,Queen Street Site,80 Workman Way,Toronto ON  M6J 1H4,(416) 535-8501</t>
  </si>
  <si>
    <t>98792</t>
  </si>
  <si>
    <t>Hôtel-Dieu Grace Healthcare,Department of Psychiatry,1453 Prince Rd,Windsor, ON,Windsor ON  N9C 3Z4</t>
  </si>
  <si>
    <t>519-257-5111</t>
  </si>
  <si>
    <t>The University of Western Ontario, 01 Jul 2012  to 21 Oct 2012|Assessment Verification Period - Psychiatry
The University of Western Ontario, 22 Oct 2012  to 30 Jun 2013|PostGrad Yr 1 - Psychiatry
The University of Western Ontario, 01 Jul 2013  to 30 Jun 2014|PostGrad Yr 2 - Psychiatry
The University of Western Ontario, 01 Jul 2014  to 30 Jun 2015|PostGrad Yr 3 - Psychiatry
The University of Western Ontario, 01 Jul 2015  to 30 Jun 2016|PostGrad Yr 4 - Psychiatry
The University of Western Ontario, 01 Jul 2016  to 30 Jun 2017|PostGrad Yr 5 - Psychiatry</t>
  </si>
  <si>
    <t>First certificate of registration issued: Pre Entry Assessment Program Certificate||Effective:   01 Jul 2012
Transfer of class of registration to: Postgraduate Education Certificate||Effective:   22 Oct 2012
Transfer of class of registration to: Independent Practice Certificate||Effective:   30 Jun 2017</t>
  </si>
  <si>
    <t>90102</t>
  </si>
  <si>
    <t xml:space="preserve">Active Member as of 12 Mar 2010 </t>
  </si>
  <si>
    <t xml:space="preserve">Restricted as of 12 Mar 2010 </t>
  </si>
  <si>
    <t>Rajah Muthiah Medical College, 2001</t>
  </si>
  <si>
    <t>PEPP Program LHSC Victoria Hospital,P O Box 5010, Station B,800 Commissioners Road East,London ON  N6A 5W9</t>
  </si>
  <si>
    <t>(519) 667-6662</t>
  </si>
  <si>
    <t>(519) 667-6689</t>
  </si>
  <si>
    <t>Psychiatry||Effective: 12 Mar 2010||CPSO Recognized Specialist</t>
  </si>
  <si>
    <t>The University of Western Ontario, 02 Jan 2009  to 16 Feb 2009|PEAP - Clinical Fellow - Psychiatry
The University of Western Ontario, 17 Feb 2009  to 16 Feb 2010|Clinical Fellow - Psychiatry
The University of Western Ontario, 17 Feb 2010  to 11 Mar 2010|Clinical Fellow - Psychiatry</t>
  </si>
  <si>
    <t>First certificate of registration issued: Pre Entry Assessment Program Certificate||Effective:   02 Jan 2009
Transfer of class of registration to: Postgraduate Education Certificate||Effective:   17 Feb 2009
Expired: Terms and conditions of certificate of registration||Expiry:      11 Mar 2010
Subsequent certificate of registration issued: Restricted certificate||Effective:   12 Mar 2010
Terms and conditions amended by Registration Committee||Effective:   15 Jan 2016</t>
  </si>
  <si>
    <t>Dr. Priya Subramanian Medicine Professional Corporation</t>
  </si>
  <si>
    <t>Dr. P. Subramanian (CPSO# 90102)</t>
  </si>
  <si>
    <t>LHSC Victoria Hospital,P.O. Box 5010, Station B,800 Commissioners Road East,Suite A632,London ON  N6A 5W9,(519) 667-6662</t>
  </si>
  <si>
    <t>87124</t>
  </si>
  <si>
    <t xml:space="preserve">Active Member as of 16 Jul 2012 </t>
  </si>
  <si>
    <t xml:space="preserve">Independent Practice as of 16 Jul 2012 </t>
  </si>
  <si>
    <t>SickKids Centre for Com Ment Health,114 Maitland Street,Toronto ON  M4Y 1E1</t>
  </si>
  <si>
    <t>(416) 924-1164 Ext. 3128</t>
  </si>
  <si>
    <t>Anishnawbe Health Toronto,179 Gerrard Street East,Toronto ON  M5A 2E5,Canada,Phone:(416) 920-2605,Fax:416-920-8876,County:City of Toronto,Electoral District:10</t>
  </si>
  <si>
    <t>First certificate of registration issued: Postgraduate Education Certificate||Effective:   01 Jul 2007
Expired: Terms and conditions of certificate of registration||Expiry:      30 Jun 2012
Subsequent certificate of registration Issued: Independent Practice Certificate||Effective:   16 Jul 2012</t>
  </si>
  <si>
    <t>Priyadarshani Raju Medicine Professional Corporation</t>
  </si>
  <si>
    <t>Issued Date:  Jul 23 2014</t>
  </si>
  <si>
    <t>Dr. P. Raju (CPSO# 87124)</t>
  </si>
  <si>
    <t>Hincks-Dellcrest Centre,114 Maitland Street,Toronto ON  M4Y 1E1,(416) 924-1164
179 Gerrard Street,179 Gerrard Street,Toronto ON  M5A 2E5,(416) 920-2605
525 University Avenue,525 University Avenue,Toronto ON  M5G 1X8,(877) 507-7301</t>
  </si>
  <si>
    <t>110560</t>
  </si>
  <si>
    <t xml:space="preserve">Active Member as of 19 Jul 2016 </t>
  </si>
  <si>
    <t xml:space="preserve">Restricted as of 19 Jul 2016 </t>
  </si>
  <si>
    <t>Rajah Muthiah Medical College, 2007</t>
  </si>
  <si>
    <t>London Health Sciences Centre,Victoria Hospital , Room No A2 561,Department of Psychiatry,800 Commissioners Road East,London ON  N6A 5W9</t>
  </si>
  <si>
    <t>(519) 685-8500 Ext. 76875</t>
  </si>
  <si>
    <t>519 667 6836</t>
  </si>
  <si>
    <t>Psychiatry||Effective: 19 Jul 2016||CPSO Recognized Specialist</t>
  </si>
  <si>
    <t>First certificate of registration issued: Restricted certificate||Effective:   19 Jul 2016
Terms and conditions imposed on certificate by Registration Committee||Effective:   19 Jul 2016
Expiry date attached to certificate of registration.||Expiry Date: 30 Jun 2018
Expiry date attached to certificate of registration.||Expiry Date: 30 Jun 2021</t>
  </si>
  <si>
    <t>Priyadharshini Sabesan Medicine Professional Corporation</t>
  </si>
  <si>
    <t>Issued Date:  Oct 21 2016</t>
  </si>
  <si>
    <t>Dr. P. Sabesan (CPSO# 110560)</t>
  </si>
  <si>
    <t>LHSC - Victoria Hospital,Department of Psychiatry,Room A2-561,800 Commissioners Road East,London ON  N6A 5W9,(519) 694-7704</t>
  </si>
  <si>
    <t>111279</t>
  </si>
  <si>
    <t xml:space="preserve">Active Member as of 01 Jan 2017 </t>
  </si>
  <si>
    <t xml:space="preserve">Independent Practice as of 14 Jun 2018 </t>
  </si>
  <si>
    <t>National University of Ireland, 2009</t>
  </si>
  <si>
    <t>McMaster Childrens Hospital,Department of Child and Adolescent,Psychiatry,1200 Main Street West,Hamilton ON  L8N 3Z5</t>
  </si>
  <si>
    <t>(905) 525-9140</t>
  </si>
  <si>
    <t>McMaster University, 01 Jan 2017  to 30 Jun 2017|Elective Trainee - Child and Adolescent Psychiatry
McMaster University, 01 Jul 2017  to 30 Jun 2018|PostGrad Yr 6 - Child and Adolescent Psychiatry</t>
  </si>
  <si>
    <t>First certificate of registration issued: Postgraduate Education Certificate||Effective:   01 Jan 2017
Transfer of class of registration to: Independent Practice Certificate||Effective:   14 Jun 2018</t>
  </si>
  <si>
    <t>55362</t>
  </si>
  <si>
    <t>Psychotherapy Centre,Unit 228B,100 West 5th Street,Hamilton ON  L8N 3K7</t>
  </si>
  <si>
    <t>(905) 522-1155 Ext. 39881</t>
  </si>
  <si>
    <t>(905) 540-6533</t>
  </si>
  <si>
    <t>McMaster University, 01 Jul 1985  to 30 Jun 1986|Other - Rotating Internship
McMaster University, 01 Jul 1986  to 30 Jun 1987|Resident 1 - Psychiatry
McMaster University, 01 Jul 1987  to 30 Jun 1988|Resident 2 - Psychiatry
McMaster University, 01 Jul 1988  to 30 Jun 1989|Resident 3 - Psychiatry
McMaster University, 01 Jul 1989  to 30 Jun 1990|Resident 4 - Psychiatry
University of Toronto, 01 Jul 1990  to 30 Jun 1991|Clinical Fellow - Psychiatry</t>
  </si>
  <si>
    <t>First certificate of registration issued: Postgraduate Education Certificate||Effective:   01 Jul 1985
Transfer of class of registration to: Independent Practice Certificate||Effective:   23 Apr 1987</t>
  </si>
  <si>
    <t>Weerasekera Medicine Professional Corporation</t>
  </si>
  <si>
    <t>Dr. P. Weerasekera (CPSO# 55362)</t>
  </si>
  <si>
    <t>Psychotherapy Centre Hamilton,228B - 100 West 5th Street,Hamilton ON  L8N 3K7,(905) 522-1155</t>
  </si>
  <si>
    <t>96963</t>
  </si>
  <si>
    <t xml:space="preserve">Active Member as of 21 Oct 2011 </t>
  </si>
  <si>
    <t xml:space="preserve">Restricted as of 21 Oct 2011 </t>
  </si>
  <si>
    <t>University of Calcutta, 2000</t>
  </si>
  <si>
    <t>CAMH ANS,Unit 4 Room 401,1001 Queen Street West,Toronto ON  M6J 1H4</t>
  </si>
  <si>
    <t>(416) 535-8501 Ext. 32726</t>
  </si>
  <si>
    <t>Psychiatry||Effective: 21 Oct 2011||CPSO Recognized Specialist</t>
  </si>
  <si>
    <t>First certificate of registration issued: Restricted certificate||Effective:   21 Oct 2011
Terms and conditions imposed on certificate by Registration Committee||Effective:   21 Oct 2011
Expiry date attached to certificate of registration.||Expiry Date: 01 Oct 2014
Terms and conditions amended by Registration Committee||Effective:   15 Aug 2016
Terms and conditions amended by Registration Committee||Effective:   13 Jul 2018
Expiry date attached to certificate of registration||Expiry Date: 20 Oct 2020</t>
  </si>
  <si>
    <t>87511</t>
  </si>
  <si>
    <t xml:space="preserve">Active Member as of 29 Jul 2007 </t>
  </si>
  <si>
    <t xml:space="preserve">Independent Practice as of 29 Jul 2007 </t>
  </si>
  <si>
    <t>63 5th Street,Englehart ON  P0J 1H0</t>
  </si>
  <si>
    <t>(705) 493-1135</t>
  </si>
  <si>
    <t>(705) 482-0622</t>
  </si>
  <si>
    <t>119 Memorial Avenue,Orillia ON  L3V 5X1,Canada,Phone:705-493-1135,Fax:705-482-0622,County:County of Simcoe,Electoral District:05</t>
  </si>
  <si>
    <t>Englehart and District Hospital:Englehart
Timmins and District Hospital:Timmins</t>
  </si>
  <si>
    <t>Psychiatry||Effective: 29 Jul 2007||RCPSC Specialist</t>
  </si>
  <si>
    <t>First certificate of registration issued: Independent Practice Certificate||Effective:   29 Jul 2007</t>
  </si>
  <si>
    <t>Rachel Henry Medicine Professional Corporation</t>
  </si>
  <si>
    <t>Issued Date:  Apr 17 2014</t>
  </si>
  <si>
    <t>Dr. R. Henry (CPSO# 87511)</t>
  </si>
  <si>
    <t>700 Ross Avenue East,Timmins ON  P4N 8P2,(705) 363-8791
63 5th Street,63 5th Street,Englehart ON  P0J 1H0,(705) 544-2321</t>
  </si>
  <si>
    <t>88433</t>
  </si>
  <si>
    <t xml:space="preserve">Active Member as of 01 Aug 2013 </t>
  </si>
  <si>
    <t xml:space="preserve">Independent Practice as of 01 Aug 2013 </t>
  </si>
  <si>
    <t>St Josephs Healthcare,Room D-031,100 West 5th Street,Hamilton ON  L8N 3K7</t>
  </si>
  <si>
    <t>(905) 522-1155 Ext. 34358</t>
  </si>
  <si>
    <t>1 Young Street,Suite 611,Hamilton ON  L8N 1T8,Canada,Phone:905-777-8448,County:Regional Municipality of Hamilton-Wentworth,Electoral District:04</t>
  </si>
  <si>
    <t>First certificate of registration issued: Postgraduate Education Certificate||Effective:   01 Jul 2008
Expired: Terms and conditions of certificate of registration||Expiry:      30 Jun 2013
Subsequent certificate of registration Issued: Independent Practice Certificate||Effective:   01 Aug 2013</t>
  </si>
  <si>
    <t>91155</t>
  </si>
  <si>
    <t>Sunnybrook Health Sciences Centre,Department of Psychiatry, EG-47,2075 Bayview Avenue,Toronto ON  M4N 3M5</t>
  </si>
  <si>
    <t>416-480-6100 Ext. 5328</t>
  </si>
  <si>
    <t>416-480-6818</t>
  </si>
  <si>
    <t>1020 Eglinton Avenue West,Toronto ON  M6C 2C5,Canada,Phone:416-480-6100 Ext. 5328,County:City of Toronto,Electoral District:10</t>
  </si>
  <si>
    <t>St Joseph's Care Group,Lakehead Psychiatric Hospital:Thunder Bay
Sunnybrook Health Sciences Centre:Toronto
Thunder Bay Regional Health Sciences Centre:Thunder Bay</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</si>
  <si>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Child and Adolescent Psychiatry
University of Toronto, 01 Jul 2014  to 30 Jun 2015|PostGrad Yr 6 - Paediatric Psychiatry
University of Toronto, 01 Jul 2015  to 15 Feb 2016|PostGrad Yr 6 - Paediatric Psychiatry</t>
  </si>
  <si>
    <t>77819</t>
  </si>
  <si>
    <t xml:space="preserve">Active Member as of 09 Aug 2007 </t>
  </si>
  <si>
    <t xml:space="preserve">Independent Practice as of 09 Aug 2007 </t>
  </si>
  <si>
    <t>Erie Shores HealthCare,194 Talbot Street W.,Leamington ON  N8H 1N9</t>
  </si>
  <si>
    <t>(519) 800-5533</t>
  </si>
  <si>
    <t>(519) 800-5536</t>
  </si>
  <si>
    <t>Windsor Region Hospital - Ouellette,Jeanne Marce Building,1030 Ouellette Avenue,Windsor ON  N9A 1E1,Canada,Phone:(519) 973-4411 Ext. 33354,Fax:(519) 973-0210,County:County of Essex,Electoral District:01</t>
  </si>
  <si>
    <t>Erie Shores HealthCare:Leamington
Windsor Regional Hospital,Ouellette Campus:Windsor</t>
  </si>
  <si>
    <t>Psychiatry||Effective: 31 Jul 2007||RCPSC Specialist</t>
  </si>
  <si>
    <t>The University of Western Ontario, 01 Jul 2002  to 30 Jun 2003|PostGrad Yr 1 - Psychiatry
The University of Western Ontario, 01 Jul 2003  to 30 Jun 2004|PostGrad Yr 2 - Psychiatry
The University of Western Ontario, 01 Jul 2004  to 30 Jun 2005|PostGrad Yr 3 - Psychiatry
The University of Western Ontario, 01 Jul 2005  to 09 Sep 2005|PostGrad Yr 3 - Psychiatry
The University of Western Ontario, 10 Sep 2005  to 09 Sep 2006|PostGrad Yr 4 - Psychiatry
The University of Western Ontario, 10 Sep 2006  to 31 Jul 2007|PostGrad Yr 5 - Psychiatry</t>
  </si>
  <si>
    <t>First certificate of registration issued: Postgraduate Education Certificate||Effective:   01 Jul 2002
Expired: Terms and conditions of certificate of registration||Expiry:      31 Jul 2007
Subsequent certificate of registration Issued: Independent Practice Certificate||Effective:   09 Aug 2007</t>
  </si>
  <si>
    <t>Rachel L. Burdett Medicine Professional Corporation</t>
  </si>
  <si>
    <t>Issued Date:  Sep 21 2007</t>
  </si>
  <si>
    <t>Dr. R. Burdett (CPSO# 77819)</t>
  </si>
  <si>
    <t>1030 Ouellette Avenue,Windsor ON  N9A 1E1,(519) 973-4411
194 Talbot Street West,194 Talbot Street West,Leamington ON  N8H 1N9,(519) 800-5533</t>
  </si>
  <si>
    <t>93648</t>
  </si>
  <si>
    <t>(416) 368-4896</t>
  </si>
  <si>
    <t>Centre for Addiction &amp; Mental Health,- Russell Street Site:Toronto
St Michael's Hospital:Toronto</t>
  </si>
  <si>
    <t>R. Ptashny Medicine Professional Corporation</t>
  </si>
  <si>
    <t>Issued Date:  Oct 07 2016</t>
  </si>
  <si>
    <t>Dr. R. Ptashny (CPSO# 93648)</t>
  </si>
  <si>
    <t>Youthdale Treatment Centre,227 Victoria Street,Toronto ON  M5B 1T8,(416) 368-4896
250 College Street,250 College Street,Toronto ON  M5T 1R8,(416) 535-8501</t>
  </si>
  <si>
    <t>81271</t>
  </si>
  <si>
    <t xml:space="preserve">Active Member as of 05 Aug 2010 </t>
  </si>
  <si>
    <t xml:space="preserve">Independent Practice as of 05 Aug 2010 </t>
  </si>
  <si>
    <t>The University of British Columbia, 2004</t>
  </si>
  <si>
    <t>Niagara Region Mental Health,3550 Schmon Parkway, Unit 2,Thorold ON  L2V 4Y6</t>
  </si>
  <si>
    <t>(905) 688-2854 Ext. 7223</t>
  </si>
  <si>
    <t>(905) 684-9798</t>
  </si>
  <si>
    <t>Refuge,Hamilton Centre for Newcomer Health,183 Hughson Street S,Hamilton ON  L8N 2B6,Canada,Phone:(905) 526-0000,Fax:(905) 526-0001,County:Regional Municipality of Hamilton-Wentworth,Electoral District:04
Shelter Health Network,c/o Good Shepherd Barrett Centre,128 Emerald Street South,Hamilton ON  L8N 2V5,Canada,Phone:(905) 526-7137,County:Regional Municipality of Hamilton-Wentworth,Electoral District:04
Psychiatric Emergency Services,St. Joseph's Healthcare Hamilton,50 Charlton Avenue East,Hamilton ON  L8N 4A6,Canada,Phone:(905) 522-1155,County:Regional Municipality of Hamilton-Wentworth,Electoral District:04</t>
  </si>
  <si>
    <t>Hamilton Health Sciences Centre McMaster &amp; Childrens Hosp,McMaster &amp; Children's Hospital:Hamilton
Hamilton Health Sciences Centre,Regional Rehabilitation Centre:Hamilton
Hamilton Health Sciences,Chedoke Hospital Site:Hamilton
Hamilton Health Sciences,General Site:Hamilton
Hamilton Health Sciences,Juravinski Hospital and Cancer Centre:Hamilton
St Joseph's Healthcare System,Hamilton:Hamilton
West Lincoln Memorial Hospital:Grimsby</t>
  </si>
  <si>
    <t>Psychiatry||Effective: 16 Jul 2010||RCPSC Specialist</t>
  </si>
  <si>
    <t>McMaster University, 01 Jul 2004  to 30 Jun 2005|PostGrad Yr 1 - Psychiatry
McMaster University, 01 Jul 2005  to 31 Dec 2005|PostGrad Yr 1 - Psychiatry
McMaster University, 01 Jan 2006  to 31 Dec 2006|PostGrad Yr 2 - Psychiatry
McMaster University, 01 Jan 2007  to 31 Dec 2007|PostGrad Yr 3 - Psychiatry
McMaster University, 01 Jan 2008  to 31 Dec 2008|PostGrad Yr 4 - Psychiatry
McMaster University, 01 Jan 2009  to 16 Aug 2009|PostGrad Yr 4 - Psychiatry
McMaster University, 17 Aug 2009  to 16 Jul 2010|PostGrad Yr 5 - Psychiatry</t>
  </si>
  <si>
    <t>First certificate of registration issued: Postgraduate Education Certificate||Effective:   01 Jul 2004
Expired: Terms and conditions of certificate of registration||Expiry:      16 Jul 2010
Subsequent certificate of registration Issued: Independent Practice Certificate||Effective:   05 Aug 2010</t>
  </si>
  <si>
    <t>R. S. Erstling Medicine Professional Corporation</t>
  </si>
  <si>
    <t>Dr. R. Erstling (CPSO# 81271)</t>
  </si>
  <si>
    <t>2 - 3550 Schmon Parkway,2nd Floor,Thorold ON  L2V 4T7,(905) 688-2854
128 Emerald Street South,128 Emerald Street South,Hamilton ON  L8N 2V5,(905) 526-7137</t>
  </si>
  <si>
    <t>86752</t>
  </si>
  <si>
    <t xml:space="preserve">Active Member as of 20 Jan 2014 </t>
  </si>
  <si>
    <t xml:space="preserve">Independent Practice as of 20 Jan 2014 </t>
  </si>
  <si>
    <t>University of Toronto,Koffler Student Service Centre,Main Floor,214 College Street,Toronto ON  M5T 2Z9</t>
  </si>
  <si>
    <t>Queen's University, 01 Jul 2007  to 30 Jun 2008|PostGrad Yr 1 - Psychiatry
Queen's University, 01 Jul 2008  to 30 Jun 2009|PostGrad Yr 2 - Psychiatry
University of Toronto, 01 Jul 2009  to 30 Jun 2010|PostGrad Yr 3 - Psychiatry
University of Toronto, 01 Jul 2010  to 30 Jun 2011|PostGrad Yr 4 - Psychiatry
University of Toronto, 01 Jul 2011  to 30 Jun 2012|PostGrad Yr 5 - Psychiatry
University of Toronto, 01 Jul 2012  to 30 Sep 2012|PostGrad Yr 5 - Psychiatry</t>
  </si>
  <si>
    <t>First certificate of registration issued: Postgraduate Education Certificate||Effective:   01 Jul 2007
Expired: Terms and conditions of certificate of registration||Expiry:      30 Sep 2012
Subsequent certificate of registration Issued: Independent Practice Certificate||Effective:   20 Jan 2014</t>
  </si>
  <si>
    <t>62145</t>
  </si>
  <si>
    <t xml:space="preserve">Independent Practice as of 12 Dec 1991 </t>
  </si>
  <si>
    <t>The University of Western Ontario, 1990</t>
  </si>
  <si>
    <t>1929 Russell Rd.,Suite 326,Ottawa ON  K1G 4G3</t>
  </si>
  <si>
    <t>(613) 789-1299</t>
  </si>
  <si>
    <t>(613) 789-7237</t>
  </si>
  <si>
    <t>Psychiatry||Effective: 30 Sep 1996||RCPSC Specialist</t>
  </si>
  <si>
    <t>University of Ottawa, 01 Jul 1995  to 30 Jun 1996|Resident 4 - Psychiatry
University of Ottawa, 01 Jul 1996  to 30 Jun 1997|Resident 4 - Psychiatry</t>
  </si>
  <si>
    <t>First certificate of registration issued: Postgraduate Education Certificate||Effective:   15 Jun 1990
Transfer of class of registration to: Independent Practice Certificate||Effective:   12 Dec 1991</t>
  </si>
  <si>
    <t>68273</t>
  </si>
  <si>
    <t>Department of Psychiatry,Toronto Western Hospital,399 Bathurst Street,Toronto ON  M5T 2S8</t>
  </si>
  <si>
    <t>(416) 603-5847</t>
  </si>
  <si>
    <t>Dr. R. Hawa Medicine Professional Corporation</t>
  </si>
  <si>
    <t>Issued Date:  Oct 17 2011</t>
  </si>
  <si>
    <t>Dr. R. Hawa (CPSO# 68273)</t>
  </si>
  <si>
    <t>Department of Psychiatry,Toronto Western Hospital,399 Bathurst Street,Suite 401 Main Pavillion 7th Floor,Toronto ON  M5T 2S8,(416) 603-5808</t>
  </si>
  <si>
    <t>53734</t>
  </si>
  <si>
    <t xml:space="preserve">Independent Practice as of 10 Feb 1994 </t>
  </si>
  <si>
    <t>Mysore University, 1970</t>
  </si>
  <si>
    <t>115 Maclean Place,Suite 3-4,Welland ON  L3B 5X9</t>
  </si>
  <si>
    <t>(905) 735-8011</t>
  </si>
  <si>
    <t>(905) 735-8014</t>
  </si>
  <si>
    <t>Niagara Health System,St Catharines General Site:St Catharines
Niagara Health System,Welland County General Site:Welland</t>
  </si>
  <si>
    <t>First certificate of registration issued: Hospital Practice Certificate||Effective:   10 Feb 1984
Transfer of class of registration to: Independent Practice Certificate||Effective:   10 Feb 1994</t>
  </si>
  <si>
    <t>Dr. R. Kumaran Medicine Professional Corporation</t>
  </si>
  <si>
    <t>Issued Date:  Mar 21 2003</t>
  </si>
  <si>
    <t>Dr. R. Kumaran (CPSO# 53734)</t>
  </si>
  <si>
    <t>Suite 3-4,115 Maclean Place,Welland ON  L3B 5X9,(905) 735-8011</t>
  </si>
  <si>
    <t>94972</t>
  </si>
  <si>
    <t xml:space="preserve">Active Member as of 19 Sep 2017 </t>
  </si>
  <si>
    <t xml:space="preserve">Postgraduate Education as of 19 Sep 2017 </t>
  </si>
  <si>
    <t>King Abdul Aziz University, 2009</t>
  </si>
  <si>
    <t>416 323 6400</t>
  </si>
  <si>
    <t>University of Toronto, 02 May 2011  to 30 Jun 2011|PEAP - Resident - Psychiatry
University of Toronto, 01 Jul 2011  to 30 Jun 2012|PostGrad Yr 1 - Psychiatry
University of Toronto, 01 Jul 2012  to 28 Feb 2013|PostGrad Yr 1 - Psychiatry
University of Toronto, 01 Mar 2013  to 30 Jun 2013|PostGrad Yr 2 -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Psychiatry
University of Toronto, 19 Sep 2017  to 30 Jun 2018|Clinical Fellow - Psychiatry
University of Toronto, 01 Jul 2018  to 30 Jun 2019|Clinical Fellow - Psychiatry</t>
  </si>
  <si>
    <t>First certificate of registration issued: Pre Entry Assessment Program Certificate||Effective:   02 May 2011
Transfer of class of registration to: Postgraduate Education Certificate||Effective:   01 Jul 2011
Expired: Terms and conditions of certificate of registration||Expiry:      30 Jun 2017
Subsequent certificate of registration Issued: Postgraduate Education Certificate||Effective:   19 Sep 2017
Expiry date attached to certificate of registration.||Expiry Date: 30 Jun 2019</t>
  </si>
  <si>
    <t>102367</t>
  </si>
  <si>
    <t xml:space="preserve">Active Member as of 28 Nov 2013 </t>
  </si>
  <si>
    <t xml:space="preserve">Independent Practice as of 28 Nov 2013 </t>
  </si>
  <si>
    <t>Punjab University, Pakistan, 1992</t>
  </si>
  <si>
    <t>Waypoint Centre for,Mental Health Care,500 Church Street,Penetanguishene ON  L9M 1G3</t>
  </si>
  <si>
    <t>(705) 549-3181 Ext. 2379</t>
  </si>
  <si>
    <t>Psychiatry||Effective: 12 Nov 2015||CPSO Recognized Specialist</t>
  </si>
  <si>
    <t>First certificate of registration issued: Independent Practice Certificate||Effective:   28 Nov 2013</t>
  </si>
  <si>
    <t>54947</t>
  </si>
  <si>
    <t>University of Lucknow, 1973</t>
  </si>
  <si>
    <t>19 Woods Edge Close,London ON  N6K 4K8</t>
  </si>
  <si>
    <t>(519) 657-2728</t>
  </si>
  <si>
    <t>First certificate of registration issued: Academic Practice Certificate||Effective:   26 Sep 1984
Transfer of class of certificate to: Restricted certificate||Effective:   15 Dec 1988
Terms and conditions imposed on certificate by Registration Committee||Effective:   15 Dec 1988</t>
  </si>
  <si>
    <t>Meera Manchanda Medicine Professional Corporation</t>
  </si>
  <si>
    <t>Issued Date:  Mar 28 2006</t>
  </si>
  <si>
    <t>Dr. M. Manchanda (CPSO# 60068),Dr. R. Manchanda (CPSO# 54947)</t>
  </si>
  <si>
    <t>19 Woods Edge Close,London ON  N6K 4K8,(519) 657-2728
Suite 301,Suite 301,510 Southdale Road East,London ON  N6E 0B2,(519) 857-8848</t>
  </si>
  <si>
    <t>64889</t>
  </si>
  <si>
    <t xml:space="preserve">Active Member as of 06 Apr 1992 </t>
  </si>
  <si>
    <t xml:space="preserve">Independent Practice as of 06 Apr 1992 </t>
  </si>
  <si>
    <t>Madurai University, 1979</t>
  </si>
  <si>
    <t>Mental Health Centre for Research,TRW building , 4th floor, Room 4D64,3280 Hospital drive NW, Calgary,,Alberta T2N 4Z6,Calgary AB  T2N 2T9</t>
  </si>
  <si>
    <t>(403) 210-6890</t>
  </si>
  <si>
    <t>(403) 210-9114</t>
  </si>
  <si>
    <t>First certificate of registration issued: Independent Practice Certificate||Effective:   06 Apr 1992</t>
  </si>
  <si>
    <t>99581</t>
  </si>
  <si>
    <t xml:space="preserve">Active Member as of 14 Apr 2016 </t>
  </si>
  <si>
    <t xml:space="preserve">Independent Practice as of 14 Apr 2016 </t>
  </si>
  <si>
    <t>Tamil Nadu Dr M G R Medical University, 1999</t>
  </si>
  <si>
    <t>1720, Howard Avenue,Suite 269,Windsor, ON,N8X 5A6,Windsor ON  N8X 5A6</t>
  </si>
  <si>
    <t>(519) 946-3698</t>
  </si>
  <si>
    <t>(519) 946-3699</t>
  </si>
  <si>
    <t>HDGH Tayfour Campus,Department of Psychiatry,1453 Prince Road,Windsor ON  N9C 3Z4,Canada,Phone:5192575111 Ext. 76929,Fax:5192575143,County:County of Essex,Electoral District:01
Windsor Regional Hospital-OC,1030, Ouellette Avenue,Windsor,Windsor ON  N9A 1E1,Canada,Phone:(519) 9734411 Ext. 33576,Fax:(519) 2552145,County:County of Essex,Electoral District:01
Leamington DMH,194, Talbot St West,Leamington,Leamington ON  N8H 1N9,Canada,Phone:(519) 326-2373 Ext. 4144,Fax:(519) 322-3829,County:County of Essex,Electoral District:01</t>
  </si>
  <si>
    <t>India
Ireland
United Kingdom</t>
  </si>
  <si>
    <t>First certificate of registration issued: Restricted certificate||Effective:   02 Nov 2012
Terms and conditions imposed on certificate by Registration Committee||Effective:   02 Nov 2012
Expiry date attached to certificate of registration.||Expiry Date: 01 Nov 2015
Terms and conditions amended by Registration Committee||Effective:   19 Jul 2013
Terms and conditions amended by Registration Committee||Effective:   26 May 2015
Expired: Terms and conditions imposed on certificate by Registration Committee||Effective:   14 Apr 2016
Subsequent certificate of registration Issued: Independent Practice Certificate||Effective:   14 Apr 2016</t>
  </si>
  <si>
    <t>Dr. Rajasekar Basker Medicine Professional Corporation</t>
  </si>
  <si>
    <t>Issued Date:  May 27 2013</t>
  </si>
  <si>
    <t>Dr. R. Basker (CPSO# 99581)</t>
  </si>
  <si>
    <t>Windsor Family Health Team,Suite 245,2475 McDougall,Windsor ON  N8X 3N6,(519) 946-3698
269 - 1720 Howard Avenue,269 - 1720 Howard Avenue,Windsor ON  N8X 5A6,(519) 946-3698
HDGH Tayfour Campus,HDGH Tayfour Campus,Department of Psychiatry,1453 Prince Road,Windsor ON  N9C 3Z4,(519) 257-5111</t>
  </si>
  <si>
    <t>53618</t>
  </si>
  <si>
    <t xml:space="preserve">Active Member as of 31 Oct 1983 </t>
  </si>
  <si>
    <t>(613) 722-6521 Ext. 6225</t>
  </si>
  <si>
    <t>First certificate of registration issued: Independent Practice Certificate||Effective:   31 Oct 1983</t>
  </si>
  <si>
    <t>R. Sachdeva Medicine Professional Corporation</t>
  </si>
  <si>
    <t>Issued Date:  Jul 13 2009</t>
  </si>
  <si>
    <t>Dr. R. Sachdeva (CPSO# 53618)</t>
  </si>
  <si>
    <t>92014</t>
  </si>
  <si>
    <t xml:space="preserve">Active Member as of 06 Jun 2012 </t>
  </si>
  <si>
    <t xml:space="preserve">Independent Practice as of 06 Jun 2012 </t>
  </si>
  <si>
    <t>Ross University, 2003</t>
  </si>
  <si>
    <t>Humber River Regional Hospital,Department of Psychiatry,1235 Wilson Avenue,Toronto ON  M3M 0B2</t>
  </si>
  <si>
    <t>(416) 242-1000 Ext. 43153</t>
  </si>
  <si>
    <t>USA - West Virginia</t>
  </si>
  <si>
    <t>First certificate of registration issued: Restricted certificate||Effective:   19 Aug 2009
Terms and conditions imposed on certificate by Registration Committee||Effective:   19 Aug 2009
Expiry date attached to certificate of registration.||Expiry Date: 18 Aug 2012
Expired: Terms and conditions of certificate of registration||Expiry:      06 Jun 2012
Subsequent certificate of registration Issued: Independent Practice Certificate||Effective:   06 Jun 2012</t>
  </si>
  <si>
    <t>Rasasingham Medicine Professional Corporation</t>
  </si>
  <si>
    <t>Issued Date:  Jul 28 2014</t>
  </si>
  <si>
    <t>Dr. R. Rasasingham (CPSO# 92014)</t>
  </si>
  <si>
    <t>Humber River Regional Hospital,Department of Psychiatry,1235 Wilson Avenue,Toronto ON  M3M 0B2,(416) 823-7079</t>
  </si>
  <si>
    <t>68509</t>
  </si>
  <si>
    <t xml:space="preserve">Active Member as of 22 Dec 1995 </t>
  </si>
  <si>
    <t xml:space="preserve">Independent Practice as of 22 Dec 1995 </t>
  </si>
  <si>
    <t>University of Pune, 1977</t>
  </si>
  <si>
    <t>Sudbury Regional Hospital,680 Kirkwood Drive,Sudbury ON  P3E 1X3</t>
  </si>
  <si>
    <t>Sudbury Regional Hospital,41 Ramsey Lake Road,Sudbury ON  P3E 5J1,Canada,Phone:(705) 522-2200 Ext. 1256,County:Terr.District/Regional Municipality of Sudbury,Electoral District:08
Health Sciences North,Ramsey Lake Site,Ramsey Lake Road,Sudbury ON  P3E 3B5,Canada,Phone:(705) 522-2200,County:Terr.District/Regional Municipality of Sudbury,Electoral District:08</t>
  </si>
  <si>
    <t>First certificate of registration issued: Restricted certificate||Effective:   15 Aug 1994
Expired: Terms and conditions of certificate of registration||Expiry:      22 Dec 1995
Subsequent certificate of registration Issued: Independent Practice Certificate||Effective:   22 Dec 1995</t>
  </si>
  <si>
    <t>Rajender Kumar Medicine Professional Corporation</t>
  </si>
  <si>
    <t>Issued Date:  Dec 15 2003</t>
  </si>
  <si>
    <t>Dr. R. Kumar (CPSO# 68509)</t>
  </si>
  <si>
    <t>Health Sciences North Sudbury - Kirkwood Site,680 Kirkwood Drive,Sudbury ON  P3E 1X3,(705) 675-5900
41 Ramsey Lake Road,41 Ramsey Lake Road,Sudbury ON  P3E 5J1,(705) 522-2200</t>
  </si>
  <si>
    <t>60214</t>
  </si>
  <si>
    <t xml:space="preserve">Active Member as of 08 Aug 1988 </t>
  </si>
  <si>
    <t xml:space="preserve">Independent Practice as of 15 Dec 1993 </t>
  </si>
  <si>
    <t>Utkal University, 1984</t>
  </si>
  <si>
    <t>London Health Sciences Centre,800 Commissioners Rd,London ON  N6A 5W9</t>
  </si>
  <si>
    <t>(519) 667-6604</t>
  </si>
  <si>
    <t>Dearness Home,710 Southdale Road,London ON  N6E 1R8,Canada,Phone:(519) 661-0400,County:County of Middlesex,Electoral District:02</t>
  </si>
  <si>
    <t>London Health Sciences Centre Victoria Hospital:London
London Health Sciences Centre,University Site:London
St Joseph Health Care,London- Mental Health:London
St Thomas-Elgin General Hospital:St Thomas</t>
  </si>
  <si>
    <t>The University of Western Ontario, 01 Jul 1993  to 31 Dec 1993|Clinical Fellow - Psychiatry</t>
  </si>
  <si>
    <t>First certificate of registration issued: Postgraduate Education Certificate||Effective:   08 Aug 1988
Transfer of class of registration to: Independent Practice Certificate||Effective:   15 Dec 1993</t>
  </si>
  <si>
    <t>Dr. Rajendra Harricharan Medicine Professional Corporation</t>
  </si>
  <si>
    <t>Issued Date:  Jul 28 2006</t>
  </si>
  <si>
    <t>Dr. M. Harricharan (CPSO# 108008),Dr. R. Harricharan (CPSO# 60214)</t>
  </si>
  <si>
    <t>LHSC,800 Commissioners Road East,Suite A2 - 632,London ON  N6A 5W9,(519) 667-6604
Dearness Home,Dearness Home,710 Southdale Road East,London ON  N6E 1R8,(519) 641-0600</t>
  </si>
  <si>
    <t>89282</t>
  </si>
  <si>
    <t xml:space="preserve">Active Member as of 27 Sep 2010 </t>
  </si>
  <si>
    <t xml:space="preserve">Independent Practice as of 27 Sep 2010 </t>
  </si>
  <si>
    <t>Guru Nanak Dev University, 1992</t>
  </si>
  <si>
    <t>1 Hospital Drive,Department of Psychiatry,Peterborough ON  K9J 7C6</t>
  </si>
  <si>
    <t>10 Angeline Street N,2nd Floor,Lindsay ON  K9V 4M8,Canada,Phone:(705) 3287321,Fax:7053287318,County:County of Victoria,Electoral District:06
1011 Elgin Street West,Suite 200,Cobourg ON  K9A 5J4,Canada,Phone:9053779891,Fax:9053779865,County:County of Northumberland,Electoral District:06</t>
  </si>
  <si>
    <t>Northumberland Hills Hospital,Cobourg District General Site:Cobourg
Peterborough Regional Health Centre:Peterborough
Ross Memorial Hospital:Lindsay</t>
  </si>
  <si>
    <t>First certificate of registration issued: Restricted certificate||Effective:   24 Jun 2008
Terms and conditions imposed on certificate by Registration Committee||Effective:   24 Jun 2008
Expiry date attached to certificate of registration.||Expiry Date: 23 Dec 2009
Terms and conditions amended by Registration Committee||Effective:   12 Nov 2009
Expiry date removed from certificate of registration.||Effective:   23 Dec 2009
Expired: Terms and conditions imposed on certificate by Registration Committee||Effective:   27 Sep 2010
Subsequent certificate of registration Issued: Independent Practice Certificate||Effective:   27 Sep 2010</t>
  </si>
  <si>
    <t>Rajinder Momi Medicine Professional Corporation</t>
  </si>
  <si>
    <t>Issued Date:  Nov 26 2008</t>
  </si>
  <si>
    <t>Dr. R. Momi (CPSO# 89282)</t>
  </si>
  <si>
    <t>10 Angeline Street,2nd Floor,Lindsay ON  K9V 4M8,(705) 328-7321
200 - 1011 Elgin Street West,200 - 1011 Elgin Street West,Cobourg ON  K9A 5J4,(905) 377-9891
PRHC Hospital Drive Site,PRHC Hospital Drive Site,Department of Psychiatry,1 Hospital Drive,Peterborough ON  K9J 7C6,(705) 876-5028</t>
  </si>
  <si>
    <t>64869</t>
  </si>
  <si>
    <t xml:space="preserve">Active Member as of 12 Mar 1992 </t>
  </si>
  <si>
    <t xml:space="preserve">Independent Practice as of 12 Mar 1992 </t>
  </si>
  <si>
    <t>(613) 722-6521 Ext. 6306</t>
  </si>
  <si>
    <t>613-715-5804</t>
  </si>
  <si>
    <t>First certificate of registration issued: Independent Practice Certificate||Effective:   12 Mar 1992</t>
  </si>
  <si>
    <t>Rajiv Bhatla Medicine Professional Corporation</t>
  </si>
  <si>
    <t>Issued Date:  Jun 27 2006</t>
  </si>
  <si>
    <t>Dr. R. Bhatla (CPSO# 64869)</t>
  </si>
  <si>
    <t>Royal Ottawa Hospital,1145 Carling Avenue,Ottawa ON  K1Z 7K4,(613) 723-5102</t>
  </si>
  <si>
    <t>64129</t>
  </si>
  <si>
    <t>C F Health Services GP HQ,101 Colonel By Drive,Carling Campus, Building 9,Ottawa ON  K1A 0K2</t>
  </si>
  <si>
    <t>(613) 901 9676</t>
  </si>
  <si>
    <t>1454 Dundas Street East,Mississauga ON  L4X 1L4,Canada,County:Regional Municipality of Peel,Electoral District:05</t>
  </si>
  <si>
    <t>University of Toronto, 01 Jul 1997  to 30 Jun 1998|PostGrad Yr 3 - Psychiatry
University of Toronto, 01 Jul 1998  to 30 Jun 1999|PostGrad Yr 4 - Psychiatry
University of Toronto, 01 Jul 1999  to 30 Jun 2000|PostGrad Yr 5 - Psychiatry</t>
  </si>
  <si>
    <t>First certificate of registration issued: Postgraduate Education Certificate||Effective:   17 Jun 1991
Expired: Terms and conditions of certificate of registration||Expiry:      15 Jun 1992
Subsequent certificate of registration Issued: Independent Practice Certificate||Effective:   17 Jun 1992</t>
  </si>
  <si>
    <t>Dr. R. Jetly Medicine Professional Corporation</t>
  </si>
  <si>
    <t>Issued Date:  Mar 26 2014</t>
  </si>
  <si>
    <t>Dr. R. Jetly (CPSO# 64129)</t>
  </si>
  <si>
    <t>103 - 1454 Dundas Street East,Mississauga ON  L4X 1L4,(613) 410-2982</t>
  </si>
  <si>
    <t>65705</t>
  </si>
  <si>
    <t>University of Witwatersrand, 1990</t>
  </si>
  <si>
    <t>Ralph B. Lewis Medicine Professional Corporation</t>
  </si>
  <si>
    <t>Issued Date:  Nov 20 2008</t>
  </si>
  <si>
    <t>Dr. R. Lewis (CPSO# 65705)</t>
  </si>
  <si>
    <t>Department of Psychiatry,Sunnybrook Health Sciences Centre,Room FG62,2075 Bayview Avenue,Toronto ON  M4N 3M5,(416) 480-4098</t>
  </si>
  <si>
    <t>115785</t>
  </si>
  <si>
    <t>Carol Davila Univ of Medicine &amp; Pharmacy, 2008</t>
  </si>
  <si>
    <t>The Mood Disorders and,Psychopharmacology Unit,Western Hospital,399 Bathrust St,Toronto ON  M5T 2S8</t>
  </si>
  <si>
    <t>University of Toronto, 15 Aug 2018  to 30 Jun 2019|Clinical Fellow - Psychiatry</t>
  </si>
  <si>
    <t>74590</t>
  </si>
  <si>
    <t xml:space="preserve">Active Member as of 04 Apr 2000 </t>
  </si>
  <si>
    <t xml:space="preserve">Independent Practice as of 04 Apr 2000 </t>
  </si>
  <si>
    <t>English, Hindi, Persian, Telugu</t>
  </si>
  <si>
    <t>Andhra University, 1975</t>
  </si>
  <si>
    <t>225 St. Paul Avenue,Brantford ON  N3R 5Z3</t>
  </si>
  <si>
    <t>(519) 770-4062</t>
  </si>
  <si>
    <t>(519) 770-4063</t>
  </si>
  <si>
    <t>Community Addictions and,Mental Health,Suite 103,216 West Street,Simcoe ON  N3Y 1S8,Canada,Phone:(519) 426-8760,Fax:(519) 426-3257,County:Regional Municipality of Haldimand-Norfolk,Electoral District:04
Timmins &amp; District Hospital,700 Ross Avenue East,Timmins ON  P4N 8P2,Canada,Phone:(705) 267-6315,Fax:(705) 264-6525,County:Territorial District of Cochrane,Electoral District:08</t>
  </si>
  <si>
    <t>Norfolk General Hospital:Simcoe
Timmins and District Hospital:Timmins</t>
  </si>
  <si>
    <t>First certificate of registration issued: Independent Practice Certificate||Effective:   04 Apr 2000</t>
  </si>
  <si>
    <t>Dr. Ram Prayaga Medicine Professional Corporation</t>
  </si>
  <si>
    <t>Issued Date:  Apr 11 2003</t>
  </si>
  <si>
    <t>Dr. R. Prayaga (CPSO# 74590)</t>
  </si>
  <si>
    <t>225 St. Paul Avenue,Brantford ON  N3R 5Z3,(519) 770-4062</t>
  </si>
  <si>
    <t>60034</t>
  </si>
  <si>
    <t xml:space="preserve">Active Member as of 23 Jun 1988 </t>
  </si>
  <si>
    <t xml:space="preserve">Independent Practice as of 23 Jun 1988 </t>
  </si>
  <si>
    <t>Mahadevappa Rampure Medical College, 1972</t>
  </si>
  <si>
    <t>487 Park Street,Kitchener ON  N2G 1N7</t>
  </si>
  <si>
    <t>(519) 744-5656</t>
  </si>
  <si>
    <t>(519) 744-6751</t>
  </si>
  <si>
    <t>First certificate of registration issued: Independent Practice Certificate||Effective:   23 Jun 1988</t>
  </si>
  <si>
    <t>Dr. R. Surapaneni Medicine Professional Corporation</t>
  </si>
  <si>
    <t>Issued Date:  Oct 18 2004</t>
  </si>
  <si>
    <t>Dr. R. Surapaneni (CPSO# 60034)</t>
  </si>
  <si>
    <t>487 Park Street,Kitchener ON  N2G 1N7,(519) 744-5656</t>
  </si>
  <si>
    <t>67435</t>
  </si>
  <si>
    <t xml:space="preserve">Active Member as of 20 Aug 1993 </t>
  </si>
  <si>
    <t>English, Persian, Telugu</t>
  </si>
  <si>
    <t>Andhra Medical College, 1976</t>
  </si>
  <si>
    <t>Ruth McMillan Centre,680 Kirkwood Drive,Sudbury ON  P3E 1X3</t>
  </si>
  <si>
    <t>(705) 670-8989</t>
  </si>
  <si>
    <t>(705) 670-8898</t>
  </si>
  <si>
    <t>Sudbury Regional Hospital,Kirkwood Site,680 Kirkwood Drive,Sudbury ON  P3E 1X3,Canada,Phone:(705) 675-5900 Ext. 8222,Fax:(705) 671-3031,County:Terr.District/Regional Municipality of Sudbury,Electoral District:08</t>
  </si>
  <si>
    <t>First certificate of registration issued: Restricted certificate||Effective:   20 Aug 1993
Transfer of class of registration to: Independent Practice Certificate||Effective:   13 Sep 1994</t>
  </si>
  <si>
    <t>Ramamohan Veluri Medicine Professional Corporation</t>
  </si>
  <si>
    <t>Issued Date:  Apr 20 2006</t>
  </si>
  <si>
    <t>Dr. R. Veluri (CPSO# 67435)</t>
  </si>
  <si>
    <t>Sudbury Algoma Hospital,680 Kirkwood Drive,Sudbury ON  P3E 1X3,(705) 670-8989</t>
  </si>
  <si>
    <t>94070</t>
  </si>
  <si>
    <t>Bangalore University, 2003</t>
  </si>
  <si>
    <t>Stratford General Hospital,Special Services Unit,90 John Street South,Stratford ON  N5A 2Y8</t>
  </si>
  <si>
    <t>(519) 272-8186</t>
  </si>
  <si>
    <t>(519) 272-8226</t>
  </si>
  <si>
    <t>Listowel Mental Health,Outpatient Services,285 Sarah St. N,Listowel ON  N4W 2Y8,Canada,Phone:(519) 291-1320,Fax:(519) 291-9662,County:County of Perth,Electoral District:02
OCCHC, 35 Metcalf Street,Woodstock ON  N4S 3E6,Canada,Phone:(519) 539-1111,Fax:(519) 539-9111,County:County of Oxford,Electoral District:02</t>
  </si>
  <si>
    <t>First certificate of registration issued: Restricted certificate||Effective:   01 Jul 2010
Terms and conditions imposed on certificate by Registration Committee||Effective:   01 Jul 2010
Expiry date attached to certificate of registration.||Expiry Date: 30 Jun 2013
Expired: Terms and conditions of certificate of registration||Expiry:      26 Jun 2013
Subsequent certificate of registration Issued: Independent Practice Certificate||Effective:   26 Jun 2013</t>
  </si>
  <si>
    <t>Dr. Ramandeep Chahal Medicine Professional Corporation</t>
  </si>
  <si>
    <t>Issued Date:  Apr 01 2011</t>
  </si>
  <si>
    <t>Dr. R. Chahal (CPSO# 94070)</t>
  </si>
  <si>
    <t>35 Metcalfe Street,Woodstock ON  N4S 3E6,(519) 539-1111
90 John Street South,90 John Street South,Stratford ON  N5A 2Y8,(519) 272-8186</t>
  </si>
  <si>
    <t>66556</t>
  </si>
  <si>
    <t xml:space="preserve">Active Member as of 22 Dec 1998 </t>
  </si>
  <si>
    <t xml:space="preserve">Independent Practice as of 22 Dec 1998 </t>
  </si>
  <si>
    <t>Upper Canada Family Health Team,5 Home Street,Brockville Ontario,K6V 0A5,Brockville ON  K6V 0A5</t>
  </si>
  <si>
    <t>613-423-3333</t>
  </si>
  <si>
    <t>(613) 423-3334</t>
  </si>
  <si>
    <t>Lanark County Mental Health,88 Cornelia Street West,Smith Falls ON,K7A 5K9,Smiths Falls ON  K7A 5K9,Canada,Phone:613-283-2170,Fax:613-283-9018,County:County of Lanark,Electoral District:07</t>
  </si>
  <si>
    <t>First certificate of registration issued: Postgraduate Education Certificate||Effective:   01 Jul 1993
Expired: Terms and conditions of certificate of registration||Expiry:      30 Jun 1998
Subsequent certificate of registration issued: Restricted certificate||Effective:   14 Jul 1998
Expired: Terms and conditions of certificate of registration||Expiry:      22 Dec 1998
Subsequent certificate of registration Issued: Independent Practice Certificate||Effective:   22 Dec 1998</t>
  </si>
  <si>
    <t>R. Habib Medicine Professional Corporation</t>
  </si>
  <si>
    <t>Issued Date:  Nov 15 2012</t>
  </si>
  <si>
    <t>Dr. R. Habib (CPSO# 66556)</t>
  </si>
  <si>
    <t>Unit 2A,88 Cornelia Street West,Ottawa ON  K1V 2A4,(613) 283-2170
5 Home Street,5 Home Street,Brockville ON  K6V 0A5,(613) 423-3333</t>
  </si>
  <si>
    <t>63175</t>
  </si>
  <si>
    <t xml:space="preserve">Active Member as of 28 Sep 1990 </t>
  </si>
  <si>
    <t xml:space="preserve">Independent Practice as of 07 Dec 1994 </t>
  </si>
  <si>
    <t>Rai, Raminder Kaur (used until: 28 Feb 1999 )</t>
  </si>
  <si>
    <t>Punjab University India, 1987</t>
  </si>
  <si>
    <t>po box 835,troy MI  48099,United States</t>
  </si>
  <si>
    <t>(810) 606-7155</t>
  </si>
  <si>
    <t>810 606 7152</t>
  </si>
  <si>
    <t>3605,Genesys Parkway,Grand Blanc MI  48439,United States,Phone:810 606 7152,Fax:810 606 7152,County:Electoral District</t>
  </si>
  <si>
    <t>USA - Michigan
USA - Virginia</t>
  </si>
  <si>
    <t>University of Toronto, 01 Jul 1995  to 31 Oct 1995|Resident 1 - Geriatric Medicine</t>
  </si>
  <si>
    <t>First certificate of registration issued: Postgraduate Education Certificate||Effective:   28 Sep 1990
Transfer of class of registration to: Independent Practice Certificate||Effective:   07 Dec 1994</t>
  </si>
  <si>
    <t>84945</t>
  </si>
  <si>
    <t>University of Pune, 1993</t>
  </si>
  <si>
    <t>Department of Psychiatry,TBRHSC,980 Oliver Road,Thunder Bay ON  P7B 6V4</t>
  </si>
  <si>
    <t>807 684 6425</t>
  </si>
  <si>
    <t>807 684 5870</t>
  </si>
  <si>
    <t>Department of Psychiatry,The Ottawa hospital Civic Campus,1053 Carling Avenue,Ottawa ON  K1Y 4E9,Canada,Phone:613 761 4588,Fax:613 761 4177,County:Regional Municipality of Ottawa-Carleton,Electoral District:07</t>
  </si>
  <si>
    <t>Ottawa Hospital,Civic Site:Ottawa
Ottawa Hospital,General Site:Ottawa
Thunder Bay Regional Health Sciences Centre:Thunder Bay</t>
  </si>
  <si>
    <t>University of Ottawa, 01 Jul 2006  to 22 Sep 2006|Assessment Verification Period - Psychiatry
University of Ottawa, 23 Sep 2006  to 30 Jun 2007|PostGrad Yr 2 - Psychiatry
University of Ottawa, 01 Jul 2007  to 30 Jun 2008|PostGrad Yr 3 - Psychiatry
University of Ottawa, 01 Jul 2008  to 30 Jun 2009|PostGrad Yr 4 - Psychiatry
University of Ottawa, 01 Jul 2009  to 30 Jun 2010|PostGrad Yr 5 - Psychiatry</t>
  </si>
  <si>
    <t>First certificate of registration issued: Pre Entry Assessment Program Certificate||Effective:   01 Jul 2006
Transfer of class of registration to: Postgraduate Education Certificate||Effective:   23 Sep 2006
Transfer of class of registration to: Independent Practice Certificate||Effective:   30 Jun 2010</t>
  </si>
  <si>
    <t>Dr. R. Bismil Medicine Professional Corporation</t>
  </si>
  <si>
    <t>Issued Date:  Aug 08 2011</t>
  </si>
  <si>
    <t>Dr. R. Bismil (CPSO# 84945)</t>
  </si>
  <si>
    <t>980 Oliver Road,Thunder Bay ON  P7B 6V4,(807) 684-6425</t>
  </si>
  <si>
    <t>26723</t>
  </si>
  <si>
    <t xml:space="preserve">Active Member as of 12 Jul 1974 </t>
  </si>
  <si>
    <t xml:space="preserve">Independent Practice as of 12 Jul 1974 </t>
  </si>
  <si>
    <t>The University of Western Ontario, 1973</t>
  </si>
  <si>
    <t>179 Elmsley St N,Unit 142,Smiths Falls ON  K7A 2H8</t>
  </si>
  <si>
    <t>First certificate of registration issued: Postgraduate Education Certificate||Effective:   15 Jun 1973
Transfer of class of registration to: Independent Practice Certificate||Effective:   12 Jul 1974</t>
  </si>
  <si>
    <t>99046</t>
  </si>
  <si>
    <t xml:space="preserve">Active Member as of 09 Jul 2012 </t>
  </si>
  <si>
    <t xml:space="preserve">Independent Practice as of 09 Jul 2012 </t>
  </si>
  <si>
    <t>University of Alberta, 2006</t>
  </si>
  <si>
    <t>Glenrose Rehabilitation Hospital,10230 111 Avenue,Edmonton AB  T5G 0B7</t>
  </si>
  <si>
    <t>(780) 735-7928</t>
  </si>
  <si>
    <t>(780) 735-6067</t>
  </si>
  <si>
    <t>First certificate of registration issued: Independent Practice Certificate||Effective:   09 Jul 2012</t>
  </si>
  <si>
    <t>68274</t>
  </si>
  <si>
    <t xml:space="preserve">Active Member as of 06 Dec 1999 </t>
  </si>
  <si>
    <t xml:space="preserve">Independent Practice as of 06 Dec 1999 </t>
  </si>
  <si>
    <t>Credit Valley Hospital,Suite 2411,2200 Eglinton Avenue West,Mississauga ON  L5M 2N1</t>
  </si>
  <si>
    <t>First certificate of registration issued: Postgraduate Education Certificate||Effective:   01 Jul 1994
Expired: Terms and conditions of certificate of registration||Expiry:      30 Jun 1999
Subsequent certificate of registration issued: Restricted certificate||Effective:   12 Oct 1999
Expired: Terms and conditions of certificate of registration||Expiry:      06 Dec 1999
Subsequent certificate of registration Issued: Independent Practice Certificate||Effective:   06 Dec 1999</t>
  </si>
  <si>
    <t>Dr. Randolf A. Staab Medicine Professional Corporation</t>
  </si>
  <si>
    <t>Issued Date:  Sep 21 2009</t>
  </si>
  <si>
    <t>Dr. R. Staab (CPSO# 68274)</t>
  </si>
  <si>
    <t>Credit Valley Hospital,Suite 2411,2200 Eglington Avenue West,Mississauga ON  L5M 2N1,(905) 813-4505</t>
  </si>
  <si>
    <t>50619</t>
  </si>
  <si>
    <t xml:space="preserve">Active Member as of 16 Jun 1979 </t>
  </si>
  <si>
    <t xml:space="preserve">Independent Practice as of 22 Jun 1983 </t>
  </si>
  <si>
    <t>Unit 8,421 Eglinton Avenue West,Toronto ON  M5N 1A4</t>
  </si>
  <si>
    <t>(416) 544-9884</t>
  </si>
  <si>
    <t>First certificate of registration issued: Postgraduate Education Certificate||Effective:   16 Jun 1979
Transfer of class of registration to: Independent Practice Certificate||Effective:   22 Jun 1983</t>
  </si>
  <si>
    <t>Randy A. Gangbar Medicine Professional Corporation</t>
  </si>
  <si>
    <t>Issued Date:  Oct 09 2007</t>
  </si>
  <si>
    <t>Dr. R. Gangbar (CPSO# 50619)</t>
  </si>
  <si>
    <t>8 - 421 Eglinton Avenue West,Toronto ON  M5N 1A4,(416) 544-9884</t>
  </si>
  <si>
    <t>56617</t>
  </si>
  <si>
    <t xml:space="preserve">Active Member as of 12 Mar 1986 </t>
  </si>
  <si>
    <t xml:space="preserve">Independent Practice as of 12 Mar 1986 </t>
  </si>
  <si>
    <t>University of Pune, 1972</t>
  </si>
  <si>
    <t>Child And Adolescent Clinic,Peel Memorial Centre for Integrated,Health And Wellness,20 LYNCH STREET,Brampton ON  L6W 2Z8</t>
  </si>
  <si>
    <t>(905) 453-1160</t>
  </si>
  <si>
    <t>First certificate of registration issued: Independent Practice Certificate||Effective:   12 Mar 1986</t>
  </si>
  <si>
    <t>Nagpurkar Medicine Professional Corporation</t>
  </si>
  <si>
    <t>Dr. R. Nagpurkar (CPSO# 56617)</t>
  </si>
  <si>
    <t>Peel Memorial Centre,20 Lynch Street,Brampton ON  L6W 2Z8,(905) 271-1160</t>
  </si>
  <si>
    <t>42434</t>
  </si>
  <si>
    <t xml:space="preserve">Active Member as of 01 Jun 1981 </t>
  </si>
  <si>
    <t xml:space="preserve">Independent Practice as of 19 Jul 1985 </t>
  </si>
  <si>
    <t>University of Ceylon, 1972</t>
  </si>
  <si>
    <t>Chatham-Kent Health Alliance,M H A P,80 Grand Avenue West,Chatham ON  N7L 1B7</t>
  </si>
  <si>
    <t>(519) 351-6144 Ext. 5340</t>
  </si>
  <si>
    <t>(519) 351-0450</t>
  </si>
  <si>
    <t>Woodstock General,270 Riddell Street,Woodstock ON  N4A 6N6,Canada,Phone:(579) 421-4223,County:County of Oxford,Electoral District:02</t>
  </si>
  <si>
    <t>Chatham Public General Hospital Society:Chatham
Chatham-Kent Health Alliance:Chatham
Four Counties Health Services,Newbury:Newbury
Windsor Regional Hospital,Ouellette Campus:Windsor
Woodstock General Hospital:Woodstock</t>
  </si>
  <si>
    <t>First certificate of registration issued: Academic Practice Certificate||Effective:   01 Jun 1981
Transfer of class of registration to: Hospital Practice Certificate||Effective:   12 Mar 1985
Transfer of class of registration to: Independent Practice Certificate||Effective:   19 Jul 1985</t>
  </si>
  <si>
    <t>Ranjith Chandrasena Medicine Professional Corporation</t>
  </si>
  <si>
    <t>Issued Date:  Jul 16 2003</t>
  </si>
  <si>
    <t>Dr. R. Chandrasena (CPSO# 42434)</t>
  </si>
  <si>
    <t>80 Grand Avenue West,PO Box 2030,Chatham ON  N7L 1B7,(519) 351-6144</t>
  </si>
  <si>
    <t>66771</t>
  </si>
  <si>
    <t xml:space="preserve">Independent Practice as of 15 Dec 1997 </t>
  </si>
  <si>
    <t>University of Cairo, 1984</t>
  </si>
  <si>
    <t>(905) 721-4881</t>
  </si>
  <si>
    <t>Queen's University, 01 Jul 1993  to 30 Jun 1994|Resident 1 - Psychiatry
Queen's University, 01 Jul 1994  to 30 Jun 1995|Resident 2 - Psychiatry
Queen's University, 01 Jul 1995  to 30 Jun 1996|Resident 3 - Psychiatry
Queen's University, 01 Jul 1996  to 30 Jun 1997|Resident 4 - Psychiatry
Queen's University, 01 Jul 1997  to 31 Dec 1997|Clinical Fellow - Psychiatry</t>
  </si>
  <si>
    <t>First certificate of registration issued: Postgraduate Education Certificate||Effective:   01 Jul 1993
Transfer of class of registration to: Independent Practice Certificate||Effective:   15 Dec 1997</t>
  </si>
  <si>
    <t>Massabki and Massaad Medicine Professional Corporation</t>
  </si>
  <si>
    <t>Inactive: Apr  5 2013</t>
  </si>
  <si>
    <t>Massabki Medicine Professional Corporation</t>
  </si>
  <si>
    <t>Dr. R. Massabki (CPSO# 66771)</t>
  </si>
  <si>
    <t>Lakeridge Health,1 Hospital Court,Oshawa ON  L1G 2B9,(905) 433-4345</t>
  </si>
  <si>
    <t>63153</t>
  </si>
  <si>
    <t>Abdallah, Raouf Edward Khalil (used until: 28 Oct 1990 )</t>
  </si>
  <si>
    <t>Ain Shams University, 1976</t>
  </si>
  <si>
    <t>Suite 102,2160 Weston Road,Toronto ON  M9N 1X6</t>
  </si>
  <si>
    <t>(416) 243-5091</t>
  </si>
  <si>
    <t>(416) 243-8374</t>
  </si>
  <si>
    <t>Psychiatry||Effective: 13 Jun 1996||RCPSC Specialist</t>
  </si>
  <si>
    <t>University of Toronto, 01 Jul 1990  to 30 Jun 1991|Resident 1 - Psychiatry
University of Toronto, 01 Jul 1991  to 30 Jun 1992|Resident 2 - Psychiatry
University of Toronto, 01 Jul 1992  to 30 Jun 1993|Resident 3 - Psychiatry
University of Toronto, 01 Jul 1993  to 19 Sep 1993|Resident 3 - Psychiatry
University of Toronto, 20 Sep 1993  to 30 Jun 1994|Resident 4 - Psychiatry
University of Toronto, 01 Jul 1994  to 30 Jun 1995|Resident 4 - Psychiatry
University of Toronto, 01 Jul 1995  to 31 Dec 1995|Resident 4 - Psychiatry
University of Toronto, 01 Jan 1996  to 30 Jun 1996|Clinical Fellow - Psychiatry</t>
  </si>
  <si>
    <t>First certificate of registration issued: Postgraduate Education Certificate||Effective:   21 Sep 1990
Expired: Terms and conditions of certificate of registration||Expiry:      30 Jun 1996
Subsequent certificate of registration Issued: Independent Practice Certificate||Effective:   04 Jul 1996</t>
  </si>
  <si>
    <t>Dr. R. Edward Medicine Professional Corporation</t>
  </si>
  <si>
    <t>Issued Date:  Apr 04 2007</t>
  </si>
  <si>
    <t>Dr. R. Edward (CPSO# 63153)</t>
  </si>
  <si>
    <t>102 - 2160 Weston Road,Toronto ON  M9N 1X6,(416) 243-5091</t>
  </si>
  <si>
    <t>61715</t>
  </si>
  <si>
    <t xml:space="preserve">Active Member as of 21 Sep 1989 </t>
  </si>
  <si>
    <t xml:space="preserve">Independent Practice as of 21 Sep 1989 </t>
  </si>
  <si>
    <t>Dixon Medical Centre,Suite 402,531 Davis Drive,Newmarket ON  L3Y 6P5</t>
  </si>
  <si>
    <t>(905) 836-6733</t>
  </si>
  <si>
    <t>(905) 836-5581</t>
  </si>
  <si>
    <t>First certificate of registration issued: Independent Practice Certificate||Effective:   21 Sep 1989</t>
  </si>
  <si>
    <t>Dr. R. Paramsothy Medicine Professional Corporation</t>
  </si>
  <si>
    <t>Dr. R. Paramsothy (CPSO# 61715)</t>
  </si>
  <si>
    <t>531 Davis Drive,Suite 402,Newmarket ON  L3Y 6P5,(905) 836-6733</t>
  </si>
  <si>
    <t>30291</t>
  </si>
  <si>
    <t xml:space="preserve">Active Member as of 23 Sep 1974 </t>
  </si>
  <si>
    <t xml:space="preserve">Independent Practice as of 27 Jul 1978 </t>
  </si>
  <si>
    <t>University of Chile, 1972</t>
  </si>
  <si>
    <t>600 Sherbourne Street,Suite 609,Toronto ON  M4X 1W4</t>
  </si>
  <si>
    <t>(416) 960-0827</t>
  </si>
  <si>
    <t>First certificate of registration issued: Postgraduate Education Certificate||Effective:   23 Sep 1974
Transfer of class of registration to: Hospital Practice Certificate||Effective:   14 Dec 1977
Transfer of class of registration to: Independent Practice Certificate||Effective:   27 Jul 1978</t>
  </si>
  <si>
    <t>32766</t>
  </si>
  <si>
    <t xml:space="preserve">Independent Practice as of 31 Jul 1981 </t>
  </si>
  <si>
    <t>University of Bombay, 1969</t>
  </si>
  <si>
    <t>Mississauga Hospital,100 Queensway West,Mississauga ON  L5B1B8</t>
  </si>
  <si>
    <t>First certificate of registration issued: Postgraduate Education Certificate||Effective:   01 Jul 1977
Transfer of class of registration to: Independent Practice Certificate||Effective:   31 Jul 1981</t>
  </si>
  <si>
    <t>Pendharkar Medicine Professional Corporation</t>
  </si>
  <si>
    <t>Issued Date:  Aug 19 2011</t>
  </si>
  <si>
    <t>Dr. R. Pendharkar (CPSO# 32766),Dr. S. Pendharkar (CPSO# 32765)</t>
  </si>
  <si>
    <t>Trillium Health Partners,Mississauga Hospital,100 Queensway West,Mississauga ON  L5B 1B8,(905) 848-7610</t>
  </si>
  <si>
    <t>56389</t>
  </si>
  <si>
    <t xml:space="preserve">Active Member as of 01 Jul 2017 </t>
  </si>
  <si>
    <t xml:space="preserve">Restricted as of 23 Oct 2013 </t>
  </si>
  <si>
    <t>University of Delhi, 1984</t>
  </si>
  <si>
    <t>4597 14th Avenue,Markham ON  L3S 3K2</t>
  </si>
  <si>
    <t>(905) 604-4452</t>
  </si>
  <si>
    <t>(905) 604-4205</t>
  </si>
  <si>
    <t>First certificate of registration issued: Postgraduate Education Certificate||Effective:   18 Oct 1985
Expired: Terms and conditions of certificate of registration||Expiry:      30 Jun 1987
Subsequent certificate of registration Issued: Postgraduate Education Certificate||Effective:   01 Apr 1992
Expired: Terms and conditions of certificate of registration||Expiry:      30 Jun 1992
Subsequent certificate of registration Issued: Independent Practice Certificate||Effective:   11 Jan 1993
Transfer of class of certificate to: Restricted certificate||Effective:   23 Oct 2013
Terms and conditions imposed on certificate by member||Effective:   23 Oct 2013
Terms and conditions amended by member||Effective:   25 Feb 2014
Terms and conditions amended by member||Effective:   22 Jan 2015
Terms and conditions amended by member||Effective:   10 Feb 2016
Terms and conditions amended by Discipline Committee||Effective:   12 Dec 2016
Terms and conditions amended by Discipline Committee||Effective:   01 Jan 2017
Suspension of registration imposed: Discipline Committee||Effective:   01 Jan 2017
Suspension of registration removed||Effective:   01 Jul 2017</t>
  </si>
  <si>
    <t>R. Kakar Medicine Professional Corporation</t>
  </si>
  <si>
    <t>Issued Date:  Jun 01 2005</t>
  </si>
  <si>
    <t>Dr. R. Kakar (CPSO# 56389)</t>
  </si>
  <si>
    <t>4597 14th Avenue,Markham ON  L3S 3K2,(905) 604-4452</t>
  </si>
  <si>
    <t>98221</t>
  </si>
  <si>
    <t>Lake of the Woods District Hospital,Department of Psychiatry,21 Sylvan Street,Kenora ON  P9N 3W7</t>
  </si>
  <si>
    <t>902-452-5206</t>
  </si>
  <si>
    <t>807-468-1428</t>
  </si>
  <si>
    <t>Dryden Regional Health Centre:Dryden
Lake of the Woods District Hospital:Kenora
Sioux Lookout,Meno-Ya-Win Health Centre:Sioux Lookout</t>
  </si>
  <si>
    <t>First certificate of registration issued: Independent Practice Certificate||Effective:   18 Jun 2012</t>
  </si>
  <si>
    <t>R.S. Bains Medicine Professional Corporation</t>
  </si>
  <si>
    <t>Dr. R. Bains (CPSO# 98221)</t>
  </si>
  <si>
    <t>Lake of the Woods District Hospital,Department of Psychiatry,21 Sylvan Street,Kenora ON  P9N 3W7,(807) 468-9861</t>
  </si>
  <si>
    <t>87886</t>
  </si>
  <si>
    <t>Grace University, 2004</t>
  </si>
  <si>
    <t>West Parry Sound Health Centre,International Sleep Clinic,6 Albert Street,Parry Sound ON  P2A 3A4</t>
  </si>
  <si>
    <t>(705) 746-4540 Ext. 3306</t>
  </si>
  <si>
    <t>(705) 773-4987</t>
  </si>
  <si>
    <t>Sleep And Alertness Clinic,790 Bay Street,Suite 800,Toronto ON  M5G 1N8,Canada,Phone:(416) 837-8181,Fax:(647) 427-4928,County:City of Toronto,Electoral District:10</t>
  </si>
  <si>
    <t>University of Ottawa, 20 Nov 2007  to 11 Feb 2008|Assessment Verification Period - Family Medicine
University of Ottawa, 12 Feb 2008  to 30 Jun 2008|PostGrad Yr 1 - Family Medicine
University of Ottawa, 01 Jul 2008  to 19 Nov 2008|PostGrad Yr 1 - Psychiatry
University of Ottawa, 20 Nov 2008  to 18 Feb 2010|PostGrad Yr 2 - Psychiatry
University of Ottawa, 19 Feb 2010  to 19 Feb 2011|PostGrad Yr 3 - Psychiatry
University of Ottawa, 20 Feb 2011  to 30 Jun 2011|PostGrad Yr 4 - Psychiatry
University of Ottawa, 01 Jul 2011  to 19 Feb 2012|PostGrad Yr 4 - Psychiatry
University of Ottawa, 20 Feb 2012  to 19 Feb 2013|PostGrad Yr 5 - Psychiatry
University of Toronto, 02 Sep 2014  to 30 Jun 2015|Clinical Fellow - Psychiatry
University of Toronto, 01 Jul 2015  to 30 Jun 2016|Clinical Fellow - Psychiatry</t>
  </si>
  <si>
    <t>First certificate of registration issued: Pre Entry Assessment Program Certificate||Effective:   20 Nov 2007
Transfer of class of registration to: Postgraduate Education Certificate||Effective:   12 Feb 2008
Expired: Terms and conditions of certificate of registration||Expiry:      19 Feb 2013
Subsequent certificate of registration issued: Restricted certificate||Effective:   31 Oct 2013
Expired: Terms and conditions imposed on certificate by Registration Committee||Effective:   30 Jun 2014
Subsequent certificate of registration Issued: Independent Practice Certificate||Effective:   30 Jun 2014</t>
  </si>
  <si>
    <t>R.S.Mankoo Medicine Professional Corporation</t>
  </si>
  <si>
    <t>Dr. R. Mankoo (CPSO# 87886)</t>
  </si>
  <si>
    <t>Suite 800,790 Bay Street,Toronto ON  M5G 1N8,(416) 837-8181
West Parry Sound Health Centre,West Parry Sound Health Centre,International Sleep Clinic,6 Albert Street,Parry Sound ON  P2A 3A4,(705) 746-4540</t>
  </si>
  <si>
    <t>83019</t>
  </si>
  <si>
    <t>University of Toronto, 01 Jul 2005  to 30 Jun 2006|PostGrad Yr 1 - Psychiatry
University of Toronto, 01 Jul 2006  to 30 Jun 2007|PostGrad Yr 2 - Psychiatry
University of Toronto, 01 Jul 2007  to 30 Jun 2008|PostGrad Yr 3 - Psychiatry
University of Toronto, 01 Jul 2008  to 30 Jun 2009|PostGrad Yr 1 - Family Medicine
University of Toronto, 01 Jul 2009  to 30 Jun 2010|PostGrad Yr 4 - Psychiatry
University of Toronto, 01 Jul 2010  to 30 Jun 2011|PostGrad Yr 5 - Psychiatry</t>
  </si>
  <si>
    <t>First certificate of registration issued: Postgraduate Education Certificate||Effective:   01 Jul 2005
Expired: Terms and conditions of certificate of registration||Expiry:      30 Jun 2011
Subsequent certificate of registration Issued: Independent Practice Certificate||Effective:   17 Oct 2011</t>
  </si>
  <si>
    <t>Dr. Gagandeep S. Dhillon Medicine Professional Corporation</t>
  </si>
  <si>
    <t>Dr. R. Sandhu (CPSO# 83019),Dr. G. Dhillon (CPSO# 84648)</t>
  </si>
  <si>
    <t>Trillium Health Partners,Mississauga Hospital,100 Queensway West,Mississauga ON  L5B 1B8,(905) 848-7100
2200 Eglinton Avenue West,2200 Eglinton Avenue West,Mississauga ON  L5M 2N1,(905) 813-2398</t>
  </si>
  <si>
    <t>90038</t>
  </si>
  <si>
    <t xml:space="preserve">Active Member as of 21 Nov 2008 </t>
  </si>
  <si>
    <t xml:space="preserve">Independent Practice as of 21 Nov 2008 </t>
  </si>
  <si>
    <t>Aligarh Muslim University, 1994</t>
  </si>
  <si>
    <t>First certificate of registration issued: Independent Practice Certificate||Effective:   21 Nov 2008</t>
  </si>
  <si>
    <t>Juneja Medicine Professional Corporation</t>
  </si>
  <si>
    <t>Dr. R. Juneja (CPSO# 90038),Dr. N. Juneja (CPSO# 90182)</t>
  </si>
  <si>
    <t>Grand River Hospital,850 King Street West,Kitchener ON  N2G 1E8,(519) 749-4300</t>
  </si>
  <si>
    <t>19632</t>
  </si>
  <si>
    <t xml:space="preserve">Active Member as of 16 Jul 1965 </t>
  </si>
  <si>
    <t xml:space="preserve">Independent Practice as of 16 Jul 1965 </t>
  </si>
  <si>
    <t>3 Paisley Street,Guelph ON  N1H 2N5</t>
  </si>
  <si>
    <t>(519) 836-1622</t>
  </si>
  <si>
    <t>(519) 836-0065</t>
  </si>
  <si>
    <t>First certificate of registration issued: Postgraduate Education Certificate||Effective:   01 Jul 1964
Transfer of class of registration to: Independent Practice Certificate||Effective:   16 Jul 1965</t>
  </si>
  <si>
    <t>33462</t>
  </si>
  <si>
    <t>Pembroke Regional Hospital,705 Mackay Street,Pembroke ON  K8A 1G8</t>
  </si>
  <si>
    <t>(613) 732-3675 Ext. 6144</t>
  </si>
  <si>
    <t>Queen's University, 01 Jul 1981  to 30 Jun 1982|Other - Comprehensive Internship
University of Ottawa, 01 Jul 1986  to 30 Jun 1987|Resident 1 - Psychiatry
University of Ottawa, 01 Jul 1987  to 30 Jun 1988|Resident 2 - Psychiatry
University of Ottawa, 01 Jul 1988  to 30 Jun 1989|Resident 3 - Psychiatry
University of Ottawa, 01 Jul 1989  to 30 Jun 1990|Resident 4 - Psychiatry</t>
  </si>
  <si>
    <t>First certificate of registration issued: Postgraduate Education Certificate||Effective:   01 Jul 1981
Transfer of class of registration to: Independent Practice Certificate||Effective:   02 Jul 1982</t>
  </si>
  <si>
    <t>105153</t>
  </si>
  <si>
    <t xml:space="preserve">Active Member as of 31 Oct 2014 </t>
  </si>
  <si>
    <t>Rockyview General Hospital,Room 4A147,7007 14th Street Southwest,Calgary AB  T2V 1P9</t>
  </si>
  <si>
    <t>(403) 943-3808</t>
  </si>
  <si>
    <t>First certificate of registration issued: Independent Practice Certificate||Effective:   31 Oct 2014</t>
  </si>
  <si>
    <t>94817</t>
  </si>
  <si>
    <t xml:space="preserve">Active Member as of 03 Feb 2011 </t>
  </si>
  <si>
    <t xml:space="preserve">Independent Practice as of 03 Feb 2011 </t>
  </si>
  <si>
    <t>University of Aix-Marseille II, 1978</t>
  </si>
  <si>
    <t>(613) 746-4621 Ext. 3916</t>
  </si>
  <si>
    <t>58 Anson Dr A,,Iroquois Falls ON  P0K1G0,Canada,Phone:(705) 258-2818,County:Territorial District of Cochrane,Electoral District:08
Minto Counseling Centre,Iroquois Falls,58A Anson Dr,Iroquois Falls ON  P0K 1G0,Canada,Phone:(705) 258-2212,Fax:(705) 258-2145,County:Territorial District of Cochrane,Electoral District:08
Clinique Ste Anne,500 Old St Patrick,Ottawa ON  K1N 9G4,Canada,County:Regional Municipality of Ottawa-Carleton,Electoral District:07</t>
  </si>
  <si>
    <t>First certificate of registration issued: Independent Practice Certificate||Effective:   03 Feb 2011</t>
  </si>
  <si>
    <t>Dr. Raymond Tempier Medecine Societe Professionnelle</t>
  </si>
  <si>
    <t>Dr. R. Tempier (CPSO# 94817)</t>
  </si>
  <si>
    <t>500 Old St Patrick,Ottawa ON  K1N 9G4,(613) 789-1552
58A Anson Drive,58A Anson Drive,Iroquois Falls ON  P0K 1G0,(705) 258-2145
507 8th Avenue,507 8th Avenue,Matheson ON  P0K 1N0,(705) 273-2255
Montfort Hospital,Montfort Hospital,713 Montreal Road,Ottawa ON  K1K 0T2,(613) 746-4621
233 8th Street,233 8th Street,Cochrane ON  P0L 1C0,(705) 272-4245</t>
  </si>
  <si>
    <t>61239</t>
  </si>
  <si>
    <t xml:space="preserve">Active Member as of 08 Jun 1989 </t>
  </si>
  <si>
    <t xml:space="preserve">Independent Practice as of 08 Jun 1989 </t>
  </si>
  <si>
    <t>479 Tecumseh Avenue East,London ON  N6C 1T6</t>
  </si>
  <si>
    <t>(519) 679 3494</t>
  </si>
  <si>
    <t>(519) 679 6090</t>
  </si>
  <si>
    <t>800 Commissioners Rd E.,London ON  N6A 5W9,Canada,Phone:5196858500 Ext. 76671,County:County of Middlesex,Electoral District:02
871 Trafalgar St,London ON  N5Z 1E6,Canada,Phone:519 433 3101 Ext. 141,County:County of Middlesex,Electoral District:02</t>
  </si>
  <si>
    <t>University of Ottawa, 01 Jul 1993  to 30 Jun 1994|Clinical Fellow - Psychiatry
The University of Western Ontario, 01 Jul 2013  to 30 Jun 2014|PostGrad Yr 6 - Psychiatry
The University of Western Ontario, 01 Jul 2014  to 30 Jun 2015|PostGrad Yr 7 - Child and Adolescent Psychiatry</t>
  </si>
  <si>
    <t>First certificate of registration issued: Independent Practice Certificate||Effective:   08 Jun 1989</t>
  </si>
  <si>
    <t>84806</t>
  </si>
  <si>
    <t xml:space="preserve">Active Member as of 19 Jun 2013 </t>
  </si>
  <si>
    <t xml:space="preserve">Independent Practice as of 19 Jun 2013 </t>
  </si>
  <si>
    <t>St. Joseph's Healthcare Hamilton,West 5th Campus,100 West 5th Street,3rd floor, D324, forensic dept,Hamilton ON  L8N 3K7</t>
  </si>
  <si>
    <t>(905) 522-1155 Ext. 39554</t>
  </si>
  <si>
    <t>McMaster Children's Hospital,1200 Main Street West,3G, third floor,Child and Youth Mental Health Unit,Hamilton ON  L8N 3Z5,Canada,Phone:(905) 521-2100 Ext. 72800,County:Regional Municipality of Hamilton-Wentworth,Electoral District:04</t>
  </si>
  <si>
    <t>McMaster Children's Hospital,Division of Pediatric Critical Care:Hamilton
St Joseph's Centre for Mountain Health Services:Hamilton</t>
  </si>
  <si>
    <t>Psychiatry||Effective: 31 May 2013||RCPSC Specialist
Child and Adolescent Psychiatry||Effective: 27 Sep 2016||RCPSC Specialist</t>
  </si>
  <si>
    <t>McMaster University, 01 Jul 2006  to 30 Jun 2007|PostGrad Yr 1 - Psychiatry
McMaster University, 01 Jul 2007  to 31 May 2008|PostGrad Yr 1 - Psychiatry
McMaster University, 01 Jun 2008  to 31 May 2009|PostGrad Yr 2 - Psychiatry
McMaster University, 01 Jun 2009  to 31 May 2010|PostGrad Yr 3 - Psychiatry
McMaster University, 01 Jun 2010  to 31 May 2011|PostGrad Yr 3 - Psychiatry
McMaster University, 01 Jun 2011  to 31 May 2012|PostGrad Yr 4 - Psychiatry
McMaster University, 01 Jun 2012  to 30 Jun 2012|PostGrad Yr 5 - Psychiatry
McMaster University, 01 Jul 2012  to 31 May 2013|PostGrad Yr 5 - Psychiatry</t>
  </si>
  <si>
    <t>First certificate of registration issued: Postgraduate Education Certificate||Effective:   01 Jul 2006
Expired: Terms and conditions of certificate of registration||Expiry:      18 Jul 2012
Subsequent certificate of registration issued: Restricted certificate||Effective:   18 Jul 2012
Expired: Terms and conditions imposed on certificate by Registration Committee||Effective:   31 May 2013
Subsequent certificate of registration Issued: Independent Practice Certificate||Effective:   19 Jun 2013</t>
  </si>
  <si>
    <t>Dr. Rebecca Chauhan Medicine Professional Corporation</t>
  </si>
  <si>
    <t>Issued Date:  Aug 26 2013</t>
  </si>
  <si>
    <t>Dr. R. Chauhan (CPSO# 84806)</t>
  </si>
  <si>
    <t>St. Joseph's Healthcare Hamilton,West 5th Campus,D324 Forensic Department, 3rd Floor,100 West 5th Street,Hamilton ON  L8N 3K7,(905) 522-1155
Hamilton Health Sciences,Hamilton Health Sciences,McMaster Children's Hospital,Department of Psych &amp; Behavioural Neuroscience,3G - 1200 Main Street West,Hamilton ON  L8N 3Z5,(905) 521-2100</t>
  </si>
  <si>
    <t>86860</t>
  </si>
  <si>
    <t>McEvilly, Rebecca (used until: 24 Feb 2014 )</t>
  </si>
  <si>
    <t>Trillium Health Partners,300-2085 Hurontario St,Mississauga ON  L5A 4G1</t>
  </si>
  <si>
    <t>9058487586</t>
  </si>
  <si>
    <t>9058487602</t>
  </si>
  <si>
    <t>Dr. Rebecca Carriere Medicine Professional Corporation</t>
  </si>
  <si>
    <t>Dr. R. Carriere (CPSO# 86860)</t>
  </si>
  <si>
    <t>2085 Hurontario Street,Suite 300,Mississauga ON  L5S 4G1,(905) 848-7586</t>
  </si>
  <si>
    <t>84470</t>
  </si>
  <si>
    <t xml:space="preserve">Active Member as of 28 Jun 2012 </t>
  </si>
  <si>
    <t xml:space="preserve">Independent Practice as of 28 Jun 2012 </t>
  </si>
  <si>
    <t>Memorial University of Newfoundland, 2006</t>
  </si>
  <si>
    <t>LHSC Victoria Hospital,Department of Psychiatry,800 Comissioners Rd E,London ON  N6A 5W9</t>
  </si>
  <si>
    <t>(519) 685-8057</t>
  </si>
  <si>
    <t>The University of Western Ontario, 01 Jul 2006  to 30 Jun 2007|PostGrad Yr 1 - Psychiatry
The University of Western Ontario, 01 Jul 2007  to 30 Jun 2008|PostGrad Yr 2 - Psychiatry
The University of Western Ontario, 01 Jul 2008  to 30 Jun 2009|PostGrad Yr 3 - Psychiatry
The University of Western Ontario, 01 Jul 2009  to 30 Jun 2010|PostGrad Yr 4 - Psychiatry
The University of Western Ontario, 01 Jul 2010  to 30 Jun 2011|PostGrad Yr 5 - Psychiatry</t>
  </si>
  <si>
    <t>First certificate of registration issued: Postgraduate Education Certificate||Effective:   01 Jul 2006
Expired: Terms and conditions of certificate of registration||Expiry:      30 Jun 2011
Subsequent certificate of registration Issued: Independent Practice Certificate||Effective:   28 Jun 2012</t>
  </si>
  <si>
    <t>Rebecca King Medicine Professional Corporation</t>
  </si>
  <si>
    <t>Issued Date:  Dec 21 2012</t>
  </si>
  <si>
    <t>Dr. R. King (CPSO# 84470)</t>
  </si>
  <si>
    <t>LHSC Victoria Hospital,Department of Psychiatry,800 Commissioners Road East,London ON  N6A 5W9,(519) 685-8102</t>
  </si>
  <si>
    <t>93561</t>
  </si>
  <si>
    <t xml:space="preserve">Active Member as of 03 Jul 2015 </t>
  </si>
  <si>
    <t xml:space="preserve">Independent Practice as of 03 Jul 2015 </t>
  </si>
  <si>
    <t>Haque, Rebecca (used until: 21 Mar 2011 )</t>
  </si>
  <si>
    <t>Middlesex Hospital Alliance,Strathroy Middlesex General Hosp.,395 Carrie Street,Strathroy ON  N7G 3J4</t>
  </si>
  <si>
    <t>(519) 245-4747</t>
  </si>
  <si>
    <t>519-245-4787</t>
  </si>
  <si>
    <t>The University of Western Ontario, 01 Jul 2010  to 30 Jun 2011|PostGrad Yr 1 - Psychiatry
The University of Western Ontario, 01 Jul 2011  to 30 Jun 2012|PostGrad Yr 2 - Psychiatry
The University of Western Ontario, 01 Jul 2012  to 30 Jun 2013|PostGrad Yr 3 - Psychiatry
The University of Western Ontario, 01 Jul 2013  to 30 Jun 2014|PostGrad Yr 4 - Psychiatry
The University of Western Ontario, 01 Jul 2014  to 30 Jun 2015|PostGrad Yr 5 - Psychiatry</t>
  </si>
  <si>
    <t>First certificate of registration issued: Postgraduate Education Certificate||Effective:   01 Jul 2010
Expired: Terms and conditions of certificate of registration||Expiry:      30 Jun 2015
Subsequent certificate of registration Issued: Independent Practice Certificate||Effective:   03 Jul 2015</t>
  </si>
  <si>
    <t>Rebecca Tudhope Medicine Professional Corporation</t>
  </si>
  <si>
    <t>Issued Date:  Dec 11 2015</t>
  </si>
  <si>
    <t>Dr. R. Tudhope (CPSO# 93561)</t>
  </si>
  <si>
    <t>Middlesex Hospital Alliance,Strathroy Middlesex General Hospital,395 Carrie Street,Strathroy ON  N7G 3J4,(519) 246-9985</t>
  </si>
  <si>
    <t>42349</t>
  </si>
  <si>
    <t xml:space="preserve">Active Member as of 08 Mar 1979 </t>
  </si>
  <si>
    <t>University of Kerala, 1967</t>
  </si>
  <si>
    <t>Psychiatry||Effective: 11 Mar 1975||RCPSC Specialist</t>
  </si>
  <si>
    <t>First certificate of registration issued: Hospital Practice Certificate||Effective:   08 Mar 1979
Transfer of class of registration to: Independent Practice Certificate||Effective:   20 Jun 1989</t>
  </si>
  <si>
    <t>76029</t>
  </si>
  <si>
    <t xml:space="preserve">Independent Practice as of 09 Jan 2007 </t>
  </si>
  <si>
    <t>North York General Hospital,4001 Leslie Street,8 North,Toronto ON  M2K 1E1</t>
  </si>
  <si>
    <t>University of Toronto, 01 Jul 2001  to 30 Jun 2002|PostGrad Yr 1 - Psychiatry
University of Toronto, 01 Jul 2002  to 30 Jun 2003|PostGrad Yr 2 - Psychiatry
University of Toronto, 01 Jul 2003  to 30 Jun 2004|PostGrad Yr 3 - Psychiatry
University of Toronto, 01 Jul 2004  to 30 Jun 2005|PostGrad Yr 4 - Psychiatry
University of Toronto, 01 Jul 2005  to 30 Jun 2006|PostGrad Yr 5 - Psychiatry
University of Toronto, 01 Jul 2006  to 15 Mar 2007|PostGrad Yr 5 - Psychiatry</t>
  </si>
  <si>
    <t>First certificate of registration issued: Postgraduate Education Certificate||Effective:   01 Jul 2001
Transfer of class of registration to: Independent Practice Certificate||Effective:   09 Jan 2007</t>
  </si>
  <si>
    <t>Regina Liu Medicine Professional Corporation</t>
  </si>
  <si>
    <t>Dr. R. Liu (CPSO# 76029)</t>
  </si>
  <si>
    <t>75202</t>
  </si>
  <si>
    <t>(613) 342-2622 Ext. 5546</t>
  </si>
  <si>
    <t>Queen's University, 01 Jul 2000  to 30 Jun 2001|PostGrad Yr 1 - Psychiatry
Queen's University, 01 Jul 2001  to 30 Jun 2002|PostGrad Yr 2 - Psychiatry
Queen's University, 01 Jul 2002  to 30 Jun 2003|PostGrad Yr 3 - Psychiatry
Queen's University, 01 Jul 2003  to 30 Jun 2004|PostGrad Yr 4 - Psychiatry
Queen's University, 01 Jul 2004  to 30 Jun 2005|PostGrad Yr 5 - Psychiatry</t>
  </si>
  <si>
    <t>R. duToit Medicine Professional Corporation</t>
  </si>
  <si>
    <t>Issued Date:  Sep 06 2006</t>
  </si>
  <si>
    <t>Dr. R. duToit (CPSO# 75202)</t>
  </si>
  <si>
    <t>25 Front Avenue,Brockville ON  K6V 1V7,(613) 342-2262
75 Charles Street,75 Charles Street,Brockville ON  K6V 1S8,(613) 345-5645</t>
  </si>
  <si>
    <t>90563</t>
  </si>
  <si>
    <t>Suite 412,300 John Street,Thornhill ON  L3T 5W4</t>
  </si>
  <si>
    <t>(905) 886-4176</t>
  </si>
  <si>
    <t>(905) 886-1428</t>
  </si>
  <si>
    <t>Dr. R.M. Villela Medicine Professional Corporation</t>
  </si>
  <si>
    <t>Issued Date:  Aug 14 2014</t>
  </si>
  <si>
    <t>Dr. R. Villela (CPSO# 90563)</t>
  </si>
  <si>
    <t>412-300 John Street,Thornhill ON  L3T 5W4,(905) 886-4176</t>
  </si>
  <si>
    <t>111576</t>
  </si>
  <si>
    <t xml:space="preserve">Active Member as of 16 Mar 2017 </t>
  </si>
  <si>
    <t xml:space="preserve">Restricted as of 16 Mar 2017 </t>
  </si>
  <si>
    <t>University of Sao Paulo, 1984</t>
  </si>
  <si>
    <t>Sunnybrook Health Sciences Centre,Department of Psychiatry K3W42,2075 Bayview Avenue,Toronto ON  M4N 3M5</t>
  </si>
  <si>
    <t>Psychiatry||Effective: 16 Mar 2017||CPSO Recognized Specialist</t>
  </si>
  <si>
    <t>First certificate of registration issued: Restricted certificate||Effective:   16 Mar 2017
Terms and conditions imposed on certificate by Registration Committee||Effective:   16 Mar 2017
Expiry date attached to certificate of registration.||Expiry Date: 15 Jan 2020</t>
  </si>
  <si>
    <t>101952</t>
  </si>
  <si>
    <t xml:space="preserve">Active Member as of 09 Aug 2013 </t>
  </si>
  <si>
    <t xml:space="preserve">Independent Practice as of 09 Aug 2013 </t>
  </si>
  <si>
    <t>Laval University, 1997</t>
  </si>
  <si>
    <t>Centre hospitalier Universite Laval,2705, boulevard Laurier,Department of Psychiatry (RC157),Quebec, Quebec,Quebec QC  G1V 4G2</t>
  </si>
  <si>
    <t>(418) 654-2121</t>
  </si>
  <si>
    <t>University of Ottawa, 09 Sep 2013  to 30 Jun 2014|Clinical Fellow - Psychiatry
University of Ottawa, 01 Jul 2014  to 05 Sep 2014|Clinical Fellow - Psychiatry</t>
  </si>
  <si>
    <t>First certificate of registration issued: Independent Practice Certificate||Effective:   09 Aug 2013</t>
  </si>
  <si>
    <t>72961</t>
  </si>
  <si>
    <t xml:space="preserve">Active Member as of 28 Jul 1998 </t>
  </si>
  <si>
    <t xml:space="preserve">Independent Practice as of 28 Jul 1998 </t>
  </si>
  <si>
    <t>University of Montreal, 1977</t>
  </si>
  <si>
    <t>ECTI,290 Dupuis,Ottawa ON  K1L 1A2</t>
  </si>
  <si>
    <t>(613) 688-1083</t>
  </si>
  <si>
    <t>(613) 688-1087</t>
  </si>
  <si>
    <t>713 Montreal Rd,Ottawa ON  K1K 0T2,Canada,Phone:(613) 746-4621,Fax:(613) 748-4938,County:Regional Municipality of Ottawa-Carleton,Electoral District:07</t>
  </si>
  <si>
    <t>First certificate of registration issued: Independent Practice Certificate||Effective:   28 Jul 1998</t>
  </si>
  <si>
    <t>Rene Ducharme Medicine Professional Corporation</t>
  </si>
  <si>
    <t>Issued Date:  Jan 03 2012</t>
  </si>
  <si>
    <t>Dr. R. Ducharme (CPSO# 72961)</t>
  </si>
  <si>
    <t>290 Dupuis Street,Ottawa ON  K1L 1A5,(613) 688-1083</t>
  </si>
  <si>
    <t>96765</t>
  </si>
  <si>
    <t xml:space="preserve">Restricted as of 01 Sep 2011 </t>
  </si>
  <si>
    <t>Ross University, 2005</t>
  </si>
  <si>
    <t>Women's College Hospital,Reproductive Life Stages Program,76 Grenville Street, 7th Floor,Toronto ON  M5S 1B2</t>
  </si>
  <si>
    <t>(416) 323-6400 Ext. 4919</t>
  </si>
  <si>
    <t>120 Eglinton Avenue East,Toronto ON  M4P 1E2,Canada,Phone:647343-4115,County:City of Toronto,Electoral District:10</t>
  </si>
  <si>
    <t>Psychiatry||Effective: 01 Sep 2011||CPSO Recognized Specialist</t>
  </si>
  <si>
    <t>First certificate of registration issued: Restricted certificate||Effective:   01 Sep 2011
Terms and conditions imposed on certificate by Registration Committee||Effective:   01 Sep 2011
Expiry date attached to certificate of registration.||Expiry Date: 28 Feb 2013
Terms and conditions amended by Registration Committee||Effective:   25 Jan 2013
Expiry date removed from certificate of registration.||Effective:   25 Jan 2013</t>
  </si>
  <si>
    <t>Renu Gupta Medicine Professional Corporation</t>
  </si>
  <si>
    <t>Dr. R. Gupta (CPSO# 102441),Dr. R. Gupta (CPSO# 96765)</t>
  </si>
  <si>
    <t>Suite 307,120 Eglinton Avenue East,Toronto ON  M4P 1E2,(647) 343-4115</t>
  </si>
  <si>
    <t>21901</t>
  </si>
  <si>
    <t xml:space="preserve">Active Member as of 13 Jun 1969 </t>
  </si>
  <si>
    <t xml:space="preserve">Independent Practice as of 09 Feb 1977 </t>
  </si>
  <si>
    <t>English, Italian, Portuguese, Spanish</t>
  </si>
  <si>
    <t>University of Valle, 1959</t>
  </si>
  <si>
    <t>3500 Dufferin Street,Suite 401,North York ON  M3K 1N2</t>
  </si>
  <si>
    <t>(416) 631-8100</t>
  </si>
  <si>
    <t>(416) 631-8144</t>
  </si>
  <si>
    <t>First certificate of registration issued: Independent Practice Certificate||Effective:   13 Jun 1969
Expired: Resigned from membership.||Expiry:      05 Jun 1974
Subsequent certificate of registration Issued: Independent Practice Certificate||Effective:   09 Feb 1977</t>
  </si>
  <si>
    <t>78506</t>
  </si>
  <si>
    <t xml:space="preserve">Active Member as of 30 Aug 2002 </t>
  </si>
  <si>
    <t xml:space="preserve">Independent Practice as of 30 Aug 2002 </t>
  </si>
  <si>
    <t>University of Sheffield, 1977</t>
  </si>
  <si>
    <t>Syl Apps Youth Centre,475 Iroquois Shore Road,Oakville,L6M 1H3,Oakville ON  L3R 9Z3</t>
  </si>
  <si>
    <t>(905) 844-4110 Ext. 2202</t>
  </si>
  <si>
    <t>(905) 844-2996</t>
  </si>
  <si>
    <t>240 Herkimer St,Hamilton ON  L8P 2H9,Canada,Phone:905 745 4847,County:Regional Municipality of Hamilton-Wentworth,Electoral District:04</t>
  </si>
  <si>
    <t>McMaster University, 01 Sep 2002  to 30 Jun 2003|Clinical Fellow - Psychiatry</t>
  </si>
  <si>
    <t>First certificate of registration issued: Independent Practice Certificate||Effective:   30 Aug 2002</t>
  </si>
  <si>
    <t>Dr. Rhodri Evans Medicine Professional Corporation</t>
  </si>
  <si>
    <t>Issued Date:  Nov 06 2008</t>
  </si>
  <si>
    <t>Dr. R. Evans (CPSO# 78506)</t>
  </si>
  <si>
    <t>Syl Apps Youth Centre,475 Iroquois Shore Road,Oakville ON  L6H 1M3,(905) 844-4110</t>
  </si>
  <si>
    <t>61035</t>
  </si>
  <si>
    <t xml:space="preserve">Active Member as of 09 Jul 1990 </t>
  </si>
  <si>
    <t xml:space="preserve">Independent Practice as of 09 Jul 1990 </t>
  </si>
  <si>
    <t>Memorial University of Newfoundland, 1989</t>
  </si>
  <si>
    <t>Mackenzie Richmond Hill Hospital,Shaw Clinic,10 Trench Street,Richmond Hill ON  L4C 4Z3</t>
  </si>
  <si>
    <t>(905) 883-1212 Ext. 7467</t>
  </si>
  <si>
    <t>(905) 883-2144</t>
  </si>
  <si>
    <t>First certificate of registration issued: Postgraduate Education Certificate||Effective:   15 Jun 1989
Expired: Terms and conditions of certificate of registration||Expiry:      14 Jun 1990
Subsequent certificate of registration Issued: Independent Practice Certificate||Effective:   09 Jul 1990</t>
  </si>
  <si>
    <t>Dr. R. Vardy Medicine Professional Corporation</t>
  </si>
  <si>
    <t>Dr. R. Vardy (CPSO# 61035)</t>
  </si>
  <si>
    <t>York Central Hospital,Shaw Clinic,10 Trench Street,Richmond Hill ON  L4C 4Z3,(905) 883-1212</t>
  </si>
  <si>
    <t>60018</t>
  </si>
  <si>
    <t xml:space="preserve">Active Member as of 15 Jan 1991 </t>
  </si>
  <si>
    <t xml:space="preserve">Independent Practice as of 15 Jan 1991 </t>
  </si>
  <si>
    <t>University of Sherbrooke, 1986</t>
  </si>
  <si>
    <t>Suite 200,4 Beechwood Avenue,Ottawa ON  K1M 1M2</t>
  </si>
  <si>
    <t>(613) 729-0722</t>
  </si>
  <si>
    <t>(613) 729-1266</t>
  </si>
  <si>
    <t>First certificate of registration issued: Postgraduate Education Certificate||Effective:   01 Jul 1988
Expired: Terms and conditions of certificate of registration||Expiry:      30 Jun 1990
Subsequent certificate of registration Issued: Independent Practice Certificate||Effective:   15 Jan 1991</t>
  </si>
  <si>
    <t>30812</t>
  </si>
  <si>
    <t>Queen's University, 1976</t>
  </si>
  <si>
    <t>Providence Care Hospital,752 King Street West,Kingston ON  K7L 4X3</t>
  </si>
  <si>
    <t>(613) 217-7058</t>
  </si>
  <si>
    <t>(613) 767-3571</t>
  </si>
  <si>
    <t>304 - 837 Princess St.,Kingston ON  K7L 1G8,Canada,Phone:(613) 217-7058,Fax:(613) 767-3571,County:County of Frontenac,Electoral District:06</t>
  </si>
  <si>
    <t>First certificate of registration issued: Postgraduate Education Certificate||Effective:   15 Jun 1976
Expired: Terms and conditions of certificate of registration||Expiry:      28 Feb 1978
Subsequent certificate of registration Issued: Independent Practice Certificate||Effective:   25 Jun 1979
Expired: Resigned from membership.||Expiry:      25 Nov 1979
Subsequent certificate of registration Issued: Independent Practice Certificate||Effective:   15 Mar 1993
Expired: Resigned from membership.||Expiry:      01 Jun 1994
Subsequent certificate of registration Issued: Independent Practice Certificate||Effective:   13 Dec 1996</t>
  </si>
  <si>
    <t>33366</t>
  </si>
  <si>
    <t xml:space="preserve">Active Member as of 18 Jun 1982 </t>
  </si>
  <si>
    <t xml:space="preserve">Independent Practice as of 18 Jun 1982 </t>
  </si>
  <si>
    <t>1653 Montreal Road,Ottawa ON  K1J 6N6</t>
  </si>
  <si>
    <t>(613) 594-0307</t>
  </si>
  <si>
    <t>(613) 594-8941</t>
  </si>
  <si>
    <t>First certificate of registration issued: Independent Practice Certificate||Effective:   18 Jun 1982</t>
  </si>
  <si>
    <t>Richard Spees Medicine Professional Corporation</t>
  </si>
  <si>
    <t>Issued Date:  Sep 08 2010</t>
  </si>
  <si>
    <t>Dr. R. Spees (CPSO# 33366)</t>
  </si>
  <si>
    <t>1653 Montreal Road,Ottawa ON  K1J 6N6,(613) 594-0307</t>
  </si>
  <si>
    <t>21989</t>
  </si>
  <si>
    <t xml:space="preserve">Active Member as of 24 Jun 1969 </t>
  </si>
  <si>
    <t xml:space="preserve">Independent Practice as of 24 Jun 1969 </t>
  </si>
  <si>
    <t>The University of Western Ontario, 1968</t>
  </si>
  <si>
    <t>28 Rosedale Road,Toronto ON  M4W 2P3</t>
  </si>
  <si>
    <t>(416) 928-0307</t>
  </si>
  <si>
    <t>(416) 928-1699</t>
  </si>
  <si>
    <t>First certificate of registration issued: Postgraduate Education Certificate||Effective:   01 Jul 1968
Transfer of class of registration to: Independent Practice Certificate||Effective:   24 Jun 1969</t>
  </si>
  <si>
    <t>92734</t>
  </si>
  <si>
    <t xml:space="preserve">Active Member as of 01 Jun 2010 </t>
  </si>
  <si>
    <t xml:space="preserve">Restricted as of 01 Jun 2010 </t>
  </si>
  <si>
    <t>Emory University, 1977</t>
  </si>
  <si>
    <t>Albany Medical Clinic,Department of Psychiatry,807 Broadview Avenue,Toronto ON  M4K 2P8</t>
  </si>
  <si>
    <t>(416) 461-9471</t>
  </si>
  <si>
    <t>USA - North Dakota</t>
  </si>
  <si>
    <t>Psychiatry||Effective: 01 Jun 2010||CPSO Recognized Specialist</t>
  </si>
  <si>
    <t>First certificate of registration issued: Restricted certificate||Effective:   01 Jun 2010
Terms and conditions imposed on certificate by Registration Committee||Effective:   01 Jun 2010
Expiry date attached to certificate of registration.||Expiry Date: 15 Jun 2011
Terms and conditions amended by Registration Committee||Effective:   01 Nov 2010
Terms and conditions amended by Registration Committee||Effective:   24 Jan 2011
Terms and conditions amended by Registration Committee||Effective:   15 Sep 2011
Terms and conditions amended by Registration Committee||Effective:   12 Apr 2012
Terms and conditions amended by Registration Committee||Effective:   18 Apr 2013
Terms and conditions amended by Registration Committee||Effective:   18 Apr 2013</t>
  </si>
  <si>
    <t>26449</t>
  </si>
  <si>
    <t xml:space="preserve">Active Member as of 09 Apr 2008 </t>
  </si>
  <si>
    <t xml:space="preserve">Restricted as of 14 Sep 2005 </t>
  </si>
  <si>
    <t>(416) 964-8713</t>
  </si>
  <si>
    <t>(416) 964-6351</t>
  </si>
  <si>
    <t>First certificate of registration issued: Postgraduate Education Certificate||Effective:   18 Jun 1969
Expired: Terms and conditions of certificate of registration||Expiry:      17 Jun 1970
Subsequent certificate of registration Issued: Postgraduate Education Certificate||Effective:   01 Jul 1973
Transfer of class of registration to: Independent Practice Certificate||Effective:   27 May 1974
Transfer of class of certificate to: Restricted certificate||Effective:   14 Sep 2005
Terms and conditions imposed on certificate by Executive Committee||Effective:   14 Sep 2005
Terms and conditions amended by Discipline Committee||Effective:   26 Mar 2007
Suspension of registration imposed: Discipline Committee||Effective:   09 Apr 2007
Suspension of registration removed||Effective:   09 Apr 2008
Terms and conditions amended by Discipline Committee||Effective:   28 Jun 2013
Terms and conditions amended by Discipline Committee||Effective:   05 Jun 2014</t>
  </si>
  <si>
    <t>Gorman Medicine Professional Corporation</t>
  </si>
  <si>
    <t>Issued Date:  Jan 28 2004</t>
  </si>
  <si>
    <t>Dr. R. Gorman (CPSO# 26449)</t>
  </si>
  <si>
    <t>2 - 554 Spadina Crescent,Toronto ON  M5S 2J9,(416) 964-8713</t>
  </si>
  <si>
    <t>32462</t>
  </si>
  <si>
    <t xml:space="preserve">Active Member as of 18 Dec 1985 </t>
  </si>
  <si>
    <t xml:space="preserve">Independent Practice as of 18 Dec 1985 </t>
  </si>
  <si>
    <t>149 Second Avenue,Suite 202,Ottawa ON  K1S 2H6</t>
  </si>
  <si>
    <t>(613) 594-4935</t>
  </si>
  <si>
    <t>First certificate of registration issued: Postgraduate Education Certificate||Effective:   16 Jun 1980
Transfer of class of registration to: Independent Practice Certificate||Effective:   16 Jun 1981
Expired: Resigned from membership.||Expiry:      01 Jul 1983
Subsequent certificate of registration Issued: Independent Practice Certificate||Effective:   18 Dec 1985</t>
  </si>
  <si>
    <t>Richard Levine Medicine Professional Corporation</t>
  </si>
  <si>
    <t>Issued Date:  Jul 11 2006</t>
  </si>
  <si>
    <t>Dr. R. Levine (CPSO# 32462)</t>
  </si>
  <si>
    <t>149 Second Avenue,Suite 202,Ottawa ON  K1S 2H6,(613) 594-4935</t>
  </si>
  <si>
    <t>31965</t>
  </si>
  <si>
    <t xml:space="preserve">Active Member as of 09 Sep 1980 </t>
  </si>
  <si>
    <t xml:space="preserve">Independent Practice as of 09 Sep 1980 </t>
  </si>
  <si>
    <t>453a EGLINTON AVE  SUITE 203,Toronto ON  M4N 1A7</t>
  </si>
  <si>
    <t>(416) 894-8571</t>
  </si>
  <si>
    <t>(416) 243-0167</t>
  </si>
  <si>
    <t>West Park Hospital,82 Buttonwood Ave,Toronto, On.,M6M 2J5,Toronto ON  M6M 2J5,Canada,Phone:(416) 243-3600 Ext. 4325,Fax:(416) 243-0167,County:City of Toronto,Electoral District:10</t>
  </si>
  <si>
    <t>West Park Healthcare Centre:Toronto</t>
  </si>
  <si>
    <t>First certificate of registration issued: Independent Practice Certificate||Effective:   09 Sep 1980</t>
  </si>
  <si>
    <t>59141</t>
  </si>
  <si>
    <t xml:space="preserve">Active Member as of 04 Jan 1988 </t>
  </si>
  <si>
    <t xml:space="preserve">Independent Practice as of 04 Jan 1988 </t>
  </si>
  <si>
    <t>(416) 530-6000 Ext. 3124</t>
  </si>
  <si>
    <t>1001-123 Edward Street,Toronto ON  M5G 1E2,Canada,Phone:(416) 975-8864,County:City of Toronto,Electoral District:10</t>
  </si>
  <si>
    <t>Family Medicine||Effective: 01 Jul 1984||CFPC Specialist
Psychiatry||Effective: 13 Nov 1989||RCPSC Specialist</t>
  </si>
  <si>
    <t>University of Toronto, 01 Jan 1990  to 30 Jun 1990|Resident 4 - Psychiatry</t>
  </si>
  <si>
    <t>First certificate of registration issued: Independent Practice Certificate||Effective:   04 Jan 1988</t>
  </si>
  <si>
    <t>Dr. Richard J. Stall Medicine Professional Corporation</t>
  </si>
  <si>
    <t>Issued Date:  Mar 21 2005</t>
  </si>
  <si>
    <t>Dr. L. Berger (CPSO# 63322),Dr. R. Stall (CPSO# 59141)</t>
  </si>
  <si>
    <t>St. Joseph's Health Centre,30 The Queensway,Toronto ON  M6R 1B5,(416) 530-6000
1001 - 123 Edward Street,1001 - 123 Edward Street,Toronto ON  M5G 1E2,(416) 975-8864</t>
  </si>
  <si>
    <t>87593</t>
  </si>
  <si>
    <t xml:space="preserve">Restricted as of 15 Aug 2007 </t>
  </si>
  <si>
    <t>University of Manchester, 1991</t>
  </si>
  <si>
    <t>London Health Sciences Centre,Department of Psychiatry,Room A2-511,800 Commissioners Road East,London ON  N6A 5W9</t>
  </si>
  <si>
    <t>(519) 667-6503</t>
  </si>
  <si>
    <t>Psychiatry||Effective: 22 Apr 2016||RCPSC Specialist</t>
  </si>
  <si>
    <t>First certificate of registration issued: Restricted certificate||Effective:   15 Aug 2007
Terms and conditions imposed on certificate by Registration Committee||Effective:   15 Aug 2007
Expiry date attached to certificate of registration.||Expiry Date: 30 Jun 2010
Terms and conditions amended by Registration Committee||Effective:   31 Jul 2014
Expiry date removed from certificate of registration.||Effective:   31 Jul 2014</t>
  </si>
  <si>
    <t>R. Owen Medicine Professional Corporation</t>
  </si>
  <si>
    <t>Issued Date:  Nov 24 2008</t>
  </si>
  <si>
    <t>Dr. R. Owen (CPSO# 87593),Dr. J. Rau (CPSO# 93438)</t>
  </si>
  <si>
    <t>LHSC South Street Hospital,Department of Psychiatry,Suite A2-511,800 Commissioners Road East,London ON  N6A 5W9,(519) 667-6503</t>
  </si>
  <si>
    <t>64321</t>
  </si>
  <si>
    <t xml:space="preserve">Independent Practice as of 08 Jul 1991 </t>
  </si>
  <si>
    <t>Yale University, 1982</t>
  </si>
  <si>
    <t>c/o SCHC,2660 Eglinton Ave E,Toronto ON  M1K 2S3</t>
  </si>
  <si>
    <t>416-640-7391</t>
  </si>
  <si>
    <t>416-261-1896</t>
  </si>
  <si>
    <t>First certificate of registration issued: Independent Practice Certificate||Effective:   08 Jul 1991</t>
  </si>
  <si>
    <t>Richard J. Doan Medicine Professional Corporation</t>
  </si>
  <si>
    <t>Issued Date:  Oct 27 2006</t>
  </si>
  <si>
    <t>Dr. R. Doan (CPSO# 64321)</t>
  </si>
  <si>
    <t>2660 Eglinton Avenue East,Scarborough ON  M1K 2S3,(416) 640-7391</t>
  </si>
  <si>
    <t>91061</t>
  </si>
  <si>
    <t>UHN Toronto Western Hospital,399 Bathurst St,Toronto ON  M5T 2S8</t>
  </si>
  <si>
    <t>(416) 603-5800 Ext. 3996</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</si>
  <si>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Psychiatry
University of Toronto, 11 Aug 2014  to 30 Jun 2015|Clinical Fellow - Psychiatry
University of Toronto, 01 Jul 2015  to 30 Aug 2015|Clinical Fellow - Psychiatry</t>
  </si>
  <si>
    <t>54866</t>
  </si>
  <si>
    <t xml:space="preserve">Active Member as of 09 Aug 1984 </t>
  </si>
  <si>
    <t>The Parkwood Institute,550 Wellington Road,London ON  N6C 0A7</t>
  </si>
  <si>
    <t>(519) 858-5085</t>
  </si>
  <si>
    <t>London Health Sciences Centre South Street Hospital:London
St Joseph Health Care,London- Mental Health:London
St Joseph's Care Group,Lakehead Psychiatric Hospital:Thunder Bay</t>
  </si>
  <si>
    <t>First certificate of registration issued: Postgraduate Education Certificate||Effective:   09 Aug 1984
Transfer of class of registration to: Independent Practice Certificate||Effective:   06 Nov 1985</t>
  </si>
  <si>
    <t>Richard O'Reilly Medicine Professional Corporation</t>
  </si>
  <si>
    <t>Dr. C. O'Reilly (CPSO# 107054),Dr. R. O'Reilly (CPSO# 54866)</t>
  </si>
  <si>
    <t>The Parkwood Institute,550 Wellington Road,London ON  N6C 0A7,(519) 858-5085</t>
  </si>
  <si>
    <t>19268</t>
  </si>
  <si>
    <t>The University of Western Ontario, 1963</t>
  </si>
  <si>
    <t>108 Rosedale Heights Drive,Toronto ON  M4T 1C6</t>
  </si>
  <si>
    <t>(416) 366-5708</t>
  </si>
  <si>
    <t>44 Richmond St W,Oshawa ON  L1G 1C7,Canada,Phone:(905) 436-6754,Fax:(905) 725-0845,County:Regional Municipality of Durham,Electoral District:05</t>
  </si>
  <si>
    <t>Psychiatry||Effective: 04 Dec 1968||RCPSC Specialist</t>
  </si>
  <si>
    <t>59962</t>
  </si>
  <si>
    <t>Building N111,258 Somme Road,Petawawa ON  K8H 2X3,Canada,Phone:613 687 5511 Ext. 4600,County:County of Renfrew,Electoral District:07
713 Montreal Rd,Ottawa ON  K1A 0K2,Canada,Phone:613 945 1060,County:Regional Municipality of Ottawa-Carleton,Electoral District:07</t>
  </si>
  <si>
    <t>First certificate of registration issued: Postgraduate Education Certificate||Effective:   15 Jun 1988
Expired: Terms and conditions of certificate of registration||Expiry:      14 Jun 1989
Subsequent certificate of registration Issued: Independent Practice Certificate||Effective:   06 Sep 1989
Expired: Failure to Renew Membership||Expiry:      09 Sep 2008
Subsequent certificate of registration Issued: Independent Practice Certificate||Effective:   10 Sep 2008</t>
  </si>
  <si>
    <t>Richard F. Morel Medicine Professional Corporation</t>
  </si>
  <si>
    <t>Inactive: Mar 26 2007</t>
  </si>
  <si>
    <t>Dr. R. Morel (CPSO# 59962)</t>
  </si>
  <si>
    <t>Suite 200,4 Beechwood Avenue,Ottawa ON  K1L 8L9,(613) 741-7174</t>
  </si>
  <si>
    <t>30130</t>
  </si>
  <si>
    <t xml:space="preserve">Active Member as of 30 Jun 1978 </t>
  </si>
  <si>
    <t xml:space="preserve">Independent Practice as of 30 Jun 1978 </t>
  </si>
  <si>
    <t>212-9140 Leslie St.,Richmond Hill ON  L4B0A9</t>
  </si>
  <si>
    <t>416 461 5049</t>
  </si>
  <si>
    <t>AssessMed,Suite 174,5945 Airport Road,Mississauga ON  L4V 1R9,Canada,County:Regional Municipality of Peel,Electoral District:05
Viewpoint,Suite 110,4 Lansing Square,North York ON  M2J 5A2,Canada,Phone:(416) 490-8484,County:City of Toronto,Electoral District:10
North York Rehabilitation Centre,Suite 202,2040 Sheppard Avenue East,Willowdale ON  M2J 5B3,Canada,Phone:(416) 497-4477,County:City of Toronto,Electoral District:10</t>
  </si>
  <si>
    <t>First certificate of registration issued: Independent Practice Certificate||Effective:   30 Jun 1978</t>
  </si>
  <si>
    <t>Dr. R. Finkel Medicine Professional Corporation</t>
  </si>
  <si>
    <t>Issued Date:  Dec 20 2006</t>
  </si>
  <si>
    <t>Dr. R. Finkel (CPSO# 30130)</t>
  </si>
  <si>
    <t>North York Rehabilitation Centre,202 - 2040 Sheppard Avenue East,Willowdale ON  M2J 5B3,(416) 497-4477
Workable Centres,Workable Centres,110 - 4 Lansing Square,North York ON  M2J 5A2,(416) 490-8484
AssessMed,AssessMed,174 - 5945 Airport Road,Mississauga ON  L4V 1R9
SIMAC,SIMAC,Suite 212,9140 Leslie Street,Richmond Hill ON  L4B 0A9</t>
  </si>
  <si>
    <t>113204</t>
  </si>
  <si>
    <t>Northern Ontario School Of Medicine, 2013</t>
  </si>
  <si>
    <t>LHSC Victoria Hospital,Division of Child and,Adolescent Psychiatry,800 Commissioners Rd E,London ON  N6A 5W9</t>
  </si>
  <si>
    <t>The University of Western Ontario, 01 Jul 2017  to 30 Jun 2018|PostGrad Yr 5 - Child and Adolescent Psychiatry
The University of Western Ontario, 01 Jul 2018  to 30 Jun 2019|PostGrad Yr 6 - Child and Adolescent Psychiatry</t>
  </si>
  <si>
    <t>First certificate of registration issued: Postgraduate Education Certificate||Effective:   01 Jul 2017
Transfer of class of registration to: Independent Practice Certificate||Effective:   11 Jul 2018</t>
  </si>
  <si>
    <t>61184</t>
  </si>
  <si>
    <t xml:space="preserve">Independent Practice as of 22 Oct 1990 </t>
  </si>
  <si>
    <t>Queensway Health Centre,150 Sherway Drive,4th Floor,Toronto ON  M9C 1A5</t>
  </si>
  <si>
    <t>Mississauga Hospital,100 Queensway West,Mississauga ON  L5B 1B8,Canada,Phone:(905) 848-7100,County:Regional Municipality of Peel,Electoral District:05
Sheridan Villa LTC,2460 Truscott Dr,Mississauga ON  L5J 3Z8,Canada,Phone:(905) 791-8668,County:Regional Municipality of Peel,Electoral District:05</t>
  </si>
  <si>
    <t>Psychiatry||Effective: 30 Jun 1994||RCPSC Specialist
Geriatric Psychiatry||Effective: 26 Sep 2013||RCPSC Specialist
Clinical Pharmacology||Effective: 30 Jun 1996||RCPSC Specialist</t>
  </si>
  <si>
    <t>University of Toronto, 01 Jul 1990  to 30 Jun 1991|Resident 1 - Psychiatry
University of Toronto, 01 Jul 1991  to 30 Jun 1992|Resident 2 - Psychiatry
University of Toronto, 01 Jul 1992  to 30 Jun 1993|Resident 3 - Psychiatry
University of Toronto, 01 Jul 1993  to 30 Jun 1994|Resident 4 - Psychiatry
University of Toronto, 01 Jul 1994  to 30 Jun 1995|Resident 5 - Clinical Pharmacology
University of Toronto, 01 Jul 1995  to 30 Jun 1996|Resident 5 - Clinical Pharmacology</t>
  </si>
  <si>
    <t>First certificate of registration issued: Postgraduate Education Certificate||Effective:   12 Jun 1989
Transfer of class of registration to: Independent Practice Certificate||Effective:   22 Oct 1990</t>
  </si>
  <si>
    <t>Richard Shulman Medicine Professional Corporation</t>
  </si>
  <si>
    <t>Issued Date:  Feb 06 2008</t>
  </si>
  <si>
    <t>Dr. R. Shulman (CPSO# 61184)</t>
  </si>
  <si>
    <t>Credit Valley Hospital,2200 Eglinton Avenue West,Mississauga ON  L5M 2N1,(905) 813-2200
Sheridan Villa LTC,Sheridan Villa LTC,2460 Truscott Drive,Mississauga ON  L5J 3Z8,(905) 791-8668
Trillium Health Centre - West Toronto,Trillium Health Centre - West Toronto,4th Floor,150 Sherway Drive,Toronto ON  M9C 1A5,(416) 521-4057
Trillium Health Centre - Mississauga,Trillium Health Centre - Mississauga,100 Queensway West,Mississauga ON  L5B 1B8,(905) 848-7100</t>
  </si>
  <si>
    <t>93899</t>
  </si>
  <si>
    <t xml:space="preserve">Active Member as of 18 Dec 2015 </t>
  </si>
  <si>
    <t xml:space="preserve">Independent Practice as of 18 Dec 2015 </t>
  </si>
  <si>
    <t>Toronto General Hospital,8EN-218,200 Elizabeth Street,Toronto ON  M5G 2C4</t>
  </si>
  <si>
    <t>(416) 340-3049</t>
  </si>
  <si>
    <t>Psychiatry||Effective: 14 Aug 2015||RCPSC Specialist</t>
  </si>
  <si>
    <t>University of Toronto, 01 Jul 2010  to 30 Jun 2011|PostGrad Yr 1 - Psychiatry
University of Toronto, 01 Jul 2011  to 30 Jun 2012|PostGrad Yr 2 - Psychiatry
University of Toronto, 01 Jul 2012  to 30 Jun 2013|PostGrad Yr 3 - Psychiatry
University of Toronto, 01 Jul 2013  to 09 Sep 2013|PostGrad Yr 3 - Psychiatry
University of Toronto, 10 Sep 2013  to 30 Jun 2014|PostGrad Yr 4 - Psychiatry
University of Toronto, 01 Jul 2014  to 09 Sep 2014|PostGrad Yr 4 - Psychiatry
University of Toronto, 10 Sep 2014  to 30 Jun 2015|PostGrad Yr 5 - Psychiatry
University of Toronto, 01 Jul 2015  to 14 Aug 2015|PostGrad Yr 5 - Psychiatry</t>
  </si>
  <si>
    <t>First certificate of registration issued: Postgraduate Education Certificate||Effective:   01 Jul 2010
Expired: Terms and conditions of certificate of registration||Expiry:      14 Aug 2015
Subsequent certificate of registration Issued: Independent Practice Certificate||Effective:   18 Dec 2015</t>
  </si>
  <si>
    <t>100729</t>
  </si>
  <si>
    <t>LHSC Victoria Hospital,Department of Psychiatry,North Tower Room B8 102,800 Commissioners Road East,London ON  N6A 5W9</t>
  </si>
  <si>
    <t>The University of Western Ontario, 01 Jul 2013  to 21 Oct 2013|Assessment Verification Period - Psychiatry
The University of Western Ontario, 22 Oct 2013  to 30 Jun 2014|PostGrad Yr 1 - Psychiatry
The University of Western Ontario, 01 Jul 2014  to 30 Jun 2015|PostGrad Yr 2 - Psychiatry
The University of Western Ontario, 01 Jul 2015  to 30 Jun 2016|PostGrad Yr 3 - Psychiatry
The University of Western Ontario, 01 Jul 2016  to 30 Jun 2017|PostGrad Yr 4 - Psychiatry
The University of Western Ontario, 01 Jul 2017  to 30 Jun 2018|PostGrad Yr 5 - Psychiatry
University of Toronto, 01 Oct 2018  to 30 Jun 2019|Clinical Fellow - Psychiatry</t>
  </si>
  <si>
    <t>Rickinder Sethi Medicine Professional Corporation</t>
  </si>
  <si>
    <t>Issued Date:  Sep 10 2018</t>
  </si>
  <si>
    <t>Dr. R. Sethi (CPSO# 100729)</t>
  </si>
  <si>
    <t>LHSC Victoria Hospital,Department of Pyschiatry,North Tower, Room B8 102,800 Commissioners Road East,London ON  N6A 5W9,(519) 685-8500
610 University Avenue,610 University Avenue,Suite 16-721,Toronto ON  M5G 2M9,(416) 946-2888</t>
  </si>
  <si>
    <t>81784</t>
  </si>
  <si>
    <t xml:space="preserve">Active Member as of 04 Aug 2004 </t>
  </si>
  <si>
    <t xml:space="preserve">Independent Practice as of 04 Aug 2004 </t>
  </si>
  <si>
    <t>Aga Khan University, 1993</t>
  </si>
  <si>
    <t>(519) 858-2774</t>
  </si>
  <si>
    <t>Psychiatry||Effective: 08 Jun 2004||RCPSC Specialist
Child and Adolescent Psychiatry||Effective: 26 Sep 2013||RCPSC Specialist</t>
  </si>
  <si>
    <t>First certificate of registration issued: Independent Practice Certificate||Effective:   04 Aug 2004</t>
  </si>
  <si>
    <t>Dr. R.K. Mirza Medicine Professional Corporation</t>
  </si>
  <si>
    <t>Issued Date:  Nov 30 2011</t>
  </si>
  <si>
    <t>Dr. R. Mirza (CPSO# 81784)</t>
  </si>
  <si>
    <t>600 Sanatorium Road,London ON  N6H 3W7,(519) 858-2774</t>
  </si>
  <si>
    <t>51829</t>
  </si>
  <si>
    <t>University Health Network,Toronto General Division,E N 8 219,200 Elizabeth Street,Toronto ON  M5G 2C4</t>
  </si>
  <si>
    <t>First certificate of registration issued: Postgraduate Education Certificate||Effective:   15 Jun 1981
Transfer of class of registration to: Independent Practice Certificate||Effective:   12 Oct 1983</t>
  </si>
  <si>
    <t>72564</t>
  </si>
  <si>
    <t>Department of Psychiatry,Humber River Regional Hospital,Wilson Site,1235 Wilson Ave,Toronto ON  M3M 0B2</t>
  </si>
  <si>
    <t>(416-242-1025</t>
  </si>
  <si>
    <t>Rina Rudky Medicine Professional Corporation</t>
  </si>
  <si>
    <t>Inactive: Dec 19 2014</t>
  </si>
  <si>
    <t>111929</t>
  </si>
  <si>
    <t xml:space="preserve">Active Member as of 16 May 2017 </t>
  </si>
  <si>
    <t xml:space="preserve">Independent Practice as of 16 May 2017 </t>
  </si>
  <si>
    <t>200-311 Mcarthur Ave,Vanier ON  K1L 8M3</t>
  </si>
  <si>
    <t>6137386990</t>
  </si>
  <si>
    <t>401 Smyth Rd,Ottawa ON  K1L 8L1,Canada,County:Regional Municipality of Ottawa-Carleton,Electoral District:07</t>
  </si>
  <si>
    <t>First certificate of registration issued: Independent Practice Certificate||Effective:   16 May 2017</t>
  </si>
  <si>
    <t>Dr. Rishi Kapur Medicine Professional Corporation</t>
  </si>
  <si>
    <t>Issued Date:  Sep 11 2017</t>
  </si>
  <si>
    <t>Dr. R. Kapur (CPSO# 111929)</t>
  </si>
  <si>
    <t>200 - 311 Mcarthur Avenue,Vanier ON  K1L 8M3,(613) 738-6990
401 Smyth Road,401 Smyth Road,Ottawa ON  K1L 8L1</t>
  </si>
  <si>
    <t>102325</t>
  </si>
  <si>
    <t xml:space="preserve">Active Member as of 05 Nov 2013 </t>
  </si>
  <si>
    <t xml:space="preserve">Restricted as of 05 Nov 2013 </t>
  </si>
  <si>
    <t>Nova Southeastern University, 2008</t>
  </si>
  <si>
    <t>William Osler Health System,Etobicoke General Hospital,101 Humber College Blvd,Etobicoke ON  M9V1R8</t>
  </si>
  <si>
    <t>(905) 494-2120 Ext. 32362</t>
  </si>
  <si>
    <t>William Osler Health System,Brampton Civic Hospital,2100 Bovaird Dr.,Brampton ON  L6R3J7,Canada,County:Regional Municipality of Peel,Electoral District:05</t>
  </si>
  <si>
    <t>Psychiatry||Effective: 05 Nov 2013||CPSO Recognized Specialist</t>
  </si>
  <si>
    <t>First certificate of registration issued: Restricted certificate||Effective:   05 Nov 2013
Terms and conditions imposed on certificate by Registration Committee||Effective:   05 Nov 2013
Expiry date attached to certificate of registration.||Expiry Date: 04 May 2015
Terms and conditions amended by Registration Committee||Effective:   09 Apr 2015
Terms and conditions amended by Registration Committee||Effective:   17 Sep 2015
Terms and conditions amended by Registration Committee||Effective:   22 Apr 2016
Terms and conditions amended by Registration Committee||Effective:   15 Dec 2016</t>
  </si>
  <si>
    <t>Dr. Rishi Kumar Medicine Professional Corporation</t>
  </si>
  <si>
    <t>Issued Date:  Nov 19 2013</t>
  </si>
  <si>
    <t>Dr. R. Kumar (CPSO# 102325)</t>
  </si>
  <si>
    <t>William Osler Health System,Etobicoke General Hospital,101 Humber College Boulevard,Etobicoke ON  M9V 1R8,(905) 494-2120
William Osler Health System,William Osler Health System,Brampton Civic Hospital,2100 Bovaird Drive East,Brampton ON  L6R 3J7,(905) 494-2120</t>
  </si>
  <si>
    <t>101926</t>
  </si>
  <si>
    <t xml:space="preserve">Active Member as of 23 May 2018 </t>
  </si>
  <si>
    <t xml:space="preserve">Independent Practice as of 23 May 2018 </t>
  </si>
  <si>
    <t>University of Peshawar, 1994</t>
  </si>
  <si>
    <t>Chatham-Kent Health Alliance,80 Grand Ave W,PO Box 2030,Chatham ON  N7M 5L9</t>
  </si>
  <si>
    <t>519-351-6144 Ext. 5744</t>
  </si>
  <si>
    <t>519-351-0450</t>
  </si>
  <si>
    <t>First certificate of registration issued: Restricted certificate||Effective:   06 Aug 2013
Terms and conditions imposed on certificate by Registration Committee||Effective:   06 Aug 2013
Expiry date attached to certificate of registration.||Expiry Date: 05 Aug 2016
Expired: Terms and conditions imposed on certificate by Registration Committee||Effective:   23 Jun 2016
Subsequent certificate of registration issued: Restricted certificate||Effective:   23 Jun 2016
Expired: Terms and conditions imposed on certificate by Registration Committee||Effective:   23 May 2018
Subsequent certificate of registration Issued: Independent Practice Certificate||Effective:   23 May 2018</t>
  </si>
  <si>
    <t>Dr. Rizwan Rafiq Medicine Professional Corporation</t>
  </si>
  <si>
    <t>Issued Date:  Dec 12 2013</t>
  </si>
  <si>
    <t>Dr. R. Rafiq (CPSO# 101926)</t>
  </si>
  <si>
    <t>80 Grand Avenue West,PO Box 2030,Chatham ON  N7M 5L9,(519) 351-6144</t>
  </si>
  <si>
    <t>22016</t>
  </si>
  <si>
    <t xml:space="preserve">Active Member as of 26 Jun 1969 </t>
  </si>
  <si>
    <t xml:space="preserve">Independent Practice as of 26 Jun 1969 </t>
  </si>
  <si>
    <t>First certificate of registration issued: Independent Practice Certificate||Effective:   26 Jun 1969</t>
  </si>
  <si>
    <t>66960</t>
  </si>
  <si>
    <t xml:space="preserve">Active Member as of 06 Aug 1999 </t>
  </si>
  <si>
    <t xml:space="preserve">Independent Practice as of 06 Aug 1999 </t>
  </si>
  <si>
    <t>Dalhousie University, 1993</t>
  </si>
  <si>
    <t>(613) 237-4452</t>
  </si>
  <si>
    <t>Psychiatry||Effective: 10 Jun 1999||RCPSC Specialist</t>
  </si>
  <si>
    <t>First certificate of registration issued: Postgraduate Education Certificate||Effective:   01 Jul 1993
Expired: Terms and conditions of certificate of registration||Expiry:      30 Jun 1998
Subsequent certificate of registration issued: Restricted certificate||Effective:   28 Aug 1998
Expired: Terms and conditions of certificate of registration||Expiry:      06 Aug 1999
Subsequent certificate of registration Issued: Independent Practice Certificate||Effective:   06 Aug 1999</t>
  </si>
  <si>
    <t>26590</t>
  </si>
  <si>
    <t xml:space="preserve">Active Member as of 25 Jun 1974 </t>
  </si>
  <si>
    <t xml:space="preserve">Independent Practice as of 25 Jun 1974 </t>
  </si>
  <si>
    <t>Family Medicine||Effective: 01 Jul 1975||CFPC Specialist
Psychiatry||Effective: 08 Jun 1995||RCPSC Specialist</t>
  </si>
  <si>
    <t>Queen's University, 01 Sep 1991  to 31 Aug 1992|Resident 1 - Psychiatry
Queen's University, 01 Sep 1992  to 31 Aug 1993|Resident 2 - Psychiatry
Queen's University, 01 Sep 1993  to 30 Jun 1994|Resident 3 - Psychiatry
Queen's University, 01 Jul 1994  to 31 Aug 1994|Resident 4 - Psychiatry
Queen's University, 01 Sep 1994  to 30 Jun 1995|Resident 3 - Family Medicine</t>
  </si>
  <si>
    <t>First certificate of registration issued: Postgraduate Education Certificate||Effective:   13 Jun 1973
Transfer of class of registration to: Independent Practice Certificate||Effective:   25 Jun 1974</t>
  </si>
  <si>
    <t>51886</t>
  </si>
  <si>
    <t xml:space="preserve">Active Member as of 18 Jun 1986 </t>
  </si>
  <si>
    <t xml:space="preserve">Independent Practice as of 18 Jun 1986 </t>
  </si>
  <si>
    <t>CAMH,1001 Queen St. W.,Toronto ON  M6J 1H4</t>
  </si>
  <si>
    <t>416-535-8501 Ext. 33471</t>
  </si>
  <si>
    <t>416-583-1302</t>
  </si>
  <si>
    <t>USA - California
USA - New York
USA - Pennsylvania</t>
  </si>
  <si>
    <t>First certificate of registration issued: Postgraduate Education Certificate||Effective:   01 Jul 1982
Expired: Terms and conditions of certificate of registration||Expiry:      30 Jun 1983
Subsequent certificate of registration Issued: Independent Practice Certificate||Effective:   18 Jun 1986</t>
  </si>
  <si>
    <t>Dr. Robert Zipursky Medicine Professional Corporation</t>
  </si>
  <si>
    <t>Inactive: May  5 2017</t>
  </si>
  <si>
    <t>93727</t>
  </si>
  <si>
    <t>London Health Sciences Centre,Victoria Hospital,800 Commissioners Rd E, PO Box 5010,Zone B, Room B8-120,London ON  N6A 5W9</t>
  </si>
  <si>
    <t>519-685-8500 Ext. 57139</t>
  </si>
  <si>
    <t>University of Toronto, 31 May 2010  to 29 Aug 2010|Elective Trainee - Psychiatry</t>
  </si>
  <si>
    <t>First certificate of registration issued: Postgraduate Education Certificate||Effective:   22 Jun 2010
Expired: Terms and conditions of certificate of registration||Expiry:      29 Aug 2010
Subsequent certificate of registration Issued: Independent Practice Certificate||Effective:   27 Jul 2011</t>
  </si>
  <si>
    <t>Dr. Robert Renwick Medicine Professional Corporation</t>
  </si>
  <si>
    <t>Issued Date:  Dec 17 2012</t>
  </si>
  <si>
    <t>Dr. R. Renwick (CPSO# 93727)</t>
  </si>
  <si>
    <t>London Health Sciences,Victoria Hospital,Room B8-120,800 Commissioners Road East,London ON  N6C 3X2,(519) 685-8500</t>
  </si>
  <si>
    <t>52357</t>
  </si>
  <si>
    <t xml:space="preserve">Active Member as of 01 Aug 1981 </t>
  </si>
  <si>
    <t>2 Jane Street, Suite 507,Toronto ON  M6S 4W3</t>
  </si>
  <si>
    <t>(416) 962-6956</t>
  </si>
  <si>
    <t>(416) 234-0418</t>
  </si>
  <si>
    <t>First certificate of registration issued: Postgraduate Education Certificate||Effective:   01 Aug 1981
Transfer of class of registration to: Independent Practice Certificate||Effective:   22 Jul 1985</t>
  </si>
  <si>
    <t>Dr. Robert B. Hines Medicine Professional Corporation</t>
  </si>
  <si>
    <t>Issued Date:  Apr 02 2008</t>
  </si>
  <si>
    <t>Dr. R. Hines (CPSO# 52357)</t>
  </si>
  <si>
    <t>Suite 507,2 Jane Street,Toronto ON  M6S 4W3,(416) 962-6956</t>
  </si>
  <si>
    <t>66673</t>
  </si>
  <si>
    <t>(613) 342-2262 Ext. 5546</t>
  </si>
  <si>
    <t>Robert D. Malone Medicine Professional Corporation</t>
  </si>
  <si>
    <t>Issued Date:  Aug 26 2008</t>
  </si>
  <si>
    <t>Dr. R. Malone (CPSO# 66673)</t>
  </si>
  <si>
    <t>25 Front Avenue West,Brockville ON  K6V 4J2,(613) 342-2262
Brockville General Hospital,Brockville General Hospital,75 Charles Street,Brockville ON  K6V 1S8,(613) 345-5645
2235 Parkedale Avenue,2235 Parkedale Avenue,Brockville ON  K6V 6B2</t>
  </si>
  <si>
    <t>57352</t>
  </si>
  <si>
    <t xml:space="preserve">Active Member as of 15 Oct 1987 </t>
  </si>
  <si>
    <t>Suite 4289,100 Stokes Street,Toronto ON  M6J 1H4</t>
  </si>
  <si>
    <t>(416) 535-8501 Ext. 34020</t>
  </si>
  <si>
    <t>Robert Bauer Medicine Professional Corporation</t>
  </si>
  <si>
    <t>Dr. R. Bauer (CPSO# 57297),Dr. R. Levitan (CPSO# 57352),Dr. D. Robinson (CPSO# 62151)</t>
  </si>
  <si>
    <t>Cardiovascular Centre,Main Floor,1235 Wilson Avenue,Toronto ON  M3M 0B2,(416) 245-1150
Cardiovascular Centre,Main Floor,1235 Wilson Avenue,Toronto ON  M3M 0B2,(416) 245-115</t>
  </si>
  <si>
    <t>Robert D. Levitan Medicine Professional Corporation</t>
  </si>
  <si>
    <t>Issued Date:  Sep 17 2010</t>
  </si>
  <si>
    <t>Dr. R. Levitan (CPSO# 57352)</t>
  </si>
  <si>
    <t>Suite 4289,100 Stokes Street,Toronto ON  M6J 1H4,(416) 535-8501</t>
  </si>
  <si>
    <t>33712</t>
  </si>
  <si>
    <t xml:space="preserve">Active Member as of 08 Sep 1982 </t>
  </si>
  <si>
    <t xml:space="preserve">Independent Practice as of 08 Sep 1982 </t>
  </si>
  <si>
    <t>McGill University, 1974</t>
  </si>
  <si>
    <t>McGill Mental Health,Suite 5500,3600 Rue McTavish,Montreal QC  H3A 0G3</t>
  </si>
  <si>
    <t>(514) 398-6019</t>
  </si>
  <si>
    <t>(514) 398-5529</t>
  </si>
  <si>
    <t>First certificate of registration issued: Independent Practice Certificate||Effective:   08 Sep 1982</t>
  </si>
  <si>
    <t>79635</t>
  </si>
  <si>
    <t xml:space="preserve">Independent Practice as of 30 Jul 2003 </t>
  </si>
  <si>
    <t>University of Alberta, 1958</t>
  </si>
  <si>
    <t>Chatham Kent Health Alliance,M H A P,80 Grand Avenue West,Chatham ON  N7L 1B7</t>
  </si>
  <si>
    <t>(519) 351-6144 Ext. 5744</t>
  </si>
  <si>
    <t>Four Counties Health Services,Newbury:Newbury
St Joseph's Health Services,Chatham-Kent Health Alliance:Chatham
Sydenham District Hospital:Wallaceburg
Windsor Regional Hospital,Metropolitan Site:Windsor</t>
  </si>
  <si>
    <t>First certificate of registration issued: Restricted certificate||Effective:   23 Jun 2003
Terms and conditions imposed on certificate by Registration Committee||Effective:   23 Jun 2003
Expiry date attached to certificate of registration.||Expiry Date: 14 Sep 2003
Expired: Terms and conditions imposed on certificate by Registration Committee||Effective:   30 Jul 2003
Subsequent certificate of registration Issued: Independent Practice Certificate||Effective:   30 Jul 2003</t>
  </si>
  <si>
    <t>Robert F. Fairbairn Medicine Professional Corporation</t>
  </si>
  <si>
    <t>Issued Date:  Nov 12 2004</t>
  </si>
  <si>
    <t>Dr. R. Fairbairn (CPSO# 79635)</t>
  </si>
  <si>
    <t>Chatham Kent Health Alliance,Mental Health Services,80 Grand Avenue West,Chatham ON  N7L 1B7,(519) 351-6144</t>
  </si>
  <si>
    <t>86869</t>
  </si>
  <si>
    <t xml:space="preserve">Active Member as of 31 Dec 2013 </t>
  </si>
  <si>
    <t>Unit 1 - 3,1001 Queen Street West,Toronto ON  M5S 2G8</t>
  </si>
  <si>
    <t>(416) 535-8501 Ext. 30195</t>
  </si>
  <si>
    <t>105-1111 Finch Ave W,North York ON  M3J 2E5,Canada,Phone:4167366279,County:City of Toronto,Electoral District:10</t>
  </si>
  <si>
    <t>University of Toronto, 01 Jul 2007  to 30 Jun 2008|PostGrad Yr 1 - Psychiatry
University of Toronto, 01 Jul 2008  to 30 Jun 2009|PostGrad Yr 2 - Physical Medicine and Rehabilitation
University of Toronto, 01 Jul 2009  to 30 Jun 2010|PostGrad Yr 3 - Physical Medicine and Rehabilitation
University of Toronto, 01 Jul 2010  to 30 Jun 2011|PostGrad Yr 4 - Physical Medicine and Rehabilitation
University of Toronto, 01 Jul 2011  to 30 Jun 2012|PostGrad Yr 3 - Psychiatry
University of Toronto, 01 Jul 2012  to 31 Dec 2012|PostGrad Yr 4 - Psychiatry
University of Toronto, 01 Jan 2013  to 31 Dec 2013|PostGrad Yr 5 - Psychiatry</t>
  </si>
  <si>
    <t>First certificate of registration issued: Postgraduate Education Certificate||Effective:   01 Jul 2007
Expired: Terms and conditions of certificate of registration||Expiry:      30 Jun 2012
Subsequent certificate of registration issued: Restricted certificate||Effective:   01 Jul 2012
Expired: Terms and conditions of certificate of registration||Expiry:      31 Dec 2013
Subsequent certificate of registration Issued: Independent Practice Certificate||Effective:   31 Dec 2013</t>
  </si>
  <si>
    <t>Robert McMaster Medicine Professional Corporation</t>
  </si>
  <si>
    <t>Dr. R. McMaster (CPSO# 86869)</t>
  </si>
  <si>
    <t>Units 1 and 3,1001 Queen Street West,Toronto ON  M5S 2G8,(416) 535-8501
106 - 5460 Yonge Street,106 - 5460 Yonge Street,Toronto ON  M2N 6K7,(416) 901-5540
105 - 1111 Finch Avenue West,105 - 1111 Finch Avenue West,Toronto ON  M3J 2E5,(416) 736-6279</t>
  </si>
  <si>
    <t>69504</t>
  </si>
  <si>
    <t xml:space="preserve">Active Member as of 07 Jul 1995 </t>
  </si>
  <si>
    <t>Wiens, Robert George (used until: 25 Jun 1998 )</t>
  </si>
  <si>
    <t>Canadian Forces Health Services Cen,CFB Kingston,PO Box 17000 Stn Forces,Kingston ON  K7K 7B4</t>
  </si>
  <si>
    <t>(613) 541-5010 Ext. 5776</t>
  </si>
  <si>
    <t>(613) 541-4607</t>
  </si>
  <si>
    <t>Dr. R. Smith Private Practise,Olympus Avenue,Kingston ON  K7M5S3,Canada,County:County of Frontenac,Electoral District:06</t>
  </si>
  <si>
    <t>Queen's University, 01 Jul 1995  to 30 Jun 1996|PostGrad Yr 1 - Psychiatry
Queen's University, 01 Jul 1996  to 30 Jun 1997|PostGrad Yr 2 - Psychiatry
Queen's University, 01 Jul 1997  to 30 Jun 1998|PostGrad Yr 3 - Psychiatry
Queen's University, 01 Jul 1998  to 30 Jun 1999|PostGrad Yr 4 - Psychiatry
Queen's University, 01 Jul 1999  to 30 Jun 2000|PostGrad Yr 5 - Psychiatry</t>
  </si>
  <si>
    <t>First certificate of registration issued: Postgraduate Education Certificate||Effective:   07 Jul 1995
Transfer of class of registration to: Independent Practice Certificate||Effective:   30 Jun 2000</t>
  </si>
  <si>
    <t>53927</t>
  </si>
  <si>
    <t xml:space="preserve">Independent Practice as of 10 Jun 1986 </t>
  </si>
  <si>
    <t>Mount Sinai Hospital,Department Of Psychiatry,9th Floor,600 University Avenue,Toronto ON  M5G 1X5</t>
  </si>
  <si>
    <t>(416) 586-4800 Ext. 3200</t>
  </si>
  <si>
    <t>University of Toronto, 11 Jun 1984  to 17 Jun 1985|Other - Rotating Internship
University of Toronto, 01 Jul 1985  to 30 Jun 1986|Resident 1 - Psychiatry
University of Toronto, 01 Jul 1986  to 30 Jun 1987|Resident 2 - Psychiatry
University of Toronto, 01 Jul 1988  to 30 Jun 1989|Resident 4 - Psychiatry</t>
  </si>
  <si>
    <t>First certificate of registration issued: Postgraduate Education Certificate||Effective:   11 Jun 1984
Transfer of class of registration to: Independent Practice Certificate||Effective:   10 Jun 1986</t>
  </si>
  <si>
    <t>Dr. Robert Maunder Medicine Professional Corporation</t>
  </si>
  <si>
    <t>Issued Date:  Oct 05 2011</t>
  </si>
  <si>
    <t>Dr. R. Maunder (CPSO# 53927)</t>
  </si>
  <si>
    <t>Mount Sinai Hospital,Department of Psychiatry,9th Floor, Room 915,600 University Avenue,Toronto ON  M5G 1X5,(416) 586-4800</t>
  </si>
  <si>
    <t>32383</t>
  </si>
  <si>
    <t xml:space="preserve">Active Member as of 14 Jun 1976 </t>
  </si>
  <si>
    <t xml:space="preserve">Independent Practice as of 02 Jun 1981 </t>
  </si>
  <si>
    <t>Bell Gateway Building,Room 4215,100 Stokes St,Toronto ON  M6J 1H4</t>
  </si>
  <si>
    <t>(416) 979-6842</t>
  </si>
  <si>
    <t>Psychiatric Outpatient Clinic,Sault Area Hospital,750 Great Northern Road,Sault Ste Marie ON  P6B 0A8,Canada,Phone:(705) 759-3434 Ext. 4113,Fax:(705) 256-3459,County:Territorial District of Algoma,Electoral District:08</t>
  </si>
  <si>
    <t>Atikokan General Hospital:Atikokan
Centre for Addiction &amp; Mental Health,Queen Street Site:Toronto
Centre of Addiction &amp; Mental Health,- College Street Site:Toronto
Sault Area Hospital:Sault Ste Marie
Sioux Lookout,Meno-Ya-Win Health Centre:Sioux Lookout</t>
  </si>
  <si>
    <t>First certificate of registration issued: Postgraduate Education Certificate||Effective:   14 Jun 1976
Transfer of class of registration to: Independent Practice Certificate||Effective:   02 Jun 1981</t>
  </si>
  <si>
    <t>Robert G. Cooke Medicine Professional Corporation</t>
  </si>
  <si>
    <t>Issued Date:  Sep 22 2009</t>
  </si>
  <si>
    <t>Dr. R. Cooke (CPSO# 32383)</t>
  </si>
  <si>
    <t>Bell Gateway Building,Room 4215,1001 Queen Street West,Toronto ON  M6J 1H4,(416) 979-6842</t>
  </si>
  <si>
    <t>72221</t>
  </si>
  <si>
    <t>Department of Psychiatry,Baycrest Centre,Suite 4C91,3560 Bathurst Street,Toronto ON  M6A 2E1</t>
  </si>
  <si>
    <t>(416) 785-2500 Ext. 2457</t>
  </si>
  <si>
    <t>Dr. Robert Madan Medicine Professional Corporation</t>
  </si>
  <si>
    <t>Issued Date:  Nov 19 2009</t>
  </si>
  <si>
    <t>Dr. R. Madan (CPSO# 72221)</t>
  </si>
  <si>
    <t>Baycrest Centre,Department of Psychiatry,Suite 4C91,3560 Bathurst Street,Toronto ON  M6A 2E1,(416) 785-2500</t>
  </si>
  <si>
    <t>33770</t>
  </si>
  <si>
    <t xml:space="preserve">Independent Practice as of 21 Oct 1982 </t>
  </si>
  <si>
    <t>Sunnybrook Health Sciences Centre,Room FG 40,2075 Bayview Avenue,Toronto ON  M4N 3M5</t>
  </si>
  <si>
    <t>(416) 480-6100 Ext. 6833</t>
  </si>
  <si>
    <t>First certificate of registration issued: Postgraduate Education Certificate||Effective:   16 Jun 1981
Transfer of class of registration to: Independent Practice Certificate||Effective:   21 Oct 1982</t>
  </si>
  <si>
    <t>27245</t>
  </si>
  <si>
    <t xml:space="preserve">Active Member as of 24 Apr 1975 </t>
  </si>
  <si>
    <t xml:space="preserve">Independent Practice as of 24 Apr 1975 </t>
  </si>
  <si>
    <t>60 White Squirrel Way,Toronto ON  M6J 1H4</t>
  </si>
  <si>
    <t>(416) 535-8501 Ext. 32674</t>
  </si>
  <si>
    <t>First certificate of registration issued: Independent Practice Certificate||Effective:   24 Apr 1975</t>
  </si>
  <si>
    <t>Robert J. Cardish Medicine Professional Corporation</t>
  </si>
  <si>
    <t>Issued Date:  Mar 13 2013</t>
  </si>
  <si>
    <t>Dr. R. Cardish (CPSO# 27245)</t>
  </si>
  <si>
    <t>60 White Squirrel Way,Toronto ON  M6J 1H4,(416) 535-8501</t>
  </si>
  <si>
    <t>60224</t>
  </si>
  <si>
    <t xml:space="preserve">Active Member as of 09 Aug 1988 </t>
  </si>
  <si>
    <t xml:space="preserve">Independent Practice as of 09 Aug 1988 </t>
  </si>
  <si>
    <t>10301 Melrose Drive,Komoka ON  N0L 1R0</t>
  </si>
  <si>
    <t>(519) 474-1498</t>
  </si>
  <si>
    <t>(519) 474-9581</t>
  </si>
  <si>
    <t>First certificate of registration issued: Independent Practice Certificate||Effective:   09 Aug 1988</t>
  </si>
  <si>
    <t>Robert J. M. Lockhart Medicine Professional Corporation</t>
  </si>
  <si>
    <t>Issued Date:  Dec 24 2013</t>
  </si>
  <si>
    <t>Dr. R. Lockhart (CPSO# 60224)</t>
  </si>
  <si>
    <t>10301 Melrose Drive,Komoka ON  N0L 1R0,(519) 474-1498</t>
  </si>
  <si>
    <t>66406</t>
  </si>
  <si>
    <t xml:space="preserve">Active Member as of 11 Feb 2000 </t>
  </si>
  <si>
    <t xml:space="preserve">Independent Practice as of 11 Feb 2000 </t>
  </si>
  <si>
    <t>B8-026,800 Commissioners Road East,London ON  N6A 5W9</t>
  </si>
  <si>
    <t>(519) 685-8427</t>
  </si>
  <si>
    <t>600 Sanatorium Rd.,London ON  N6H 3W7,Canada,Phone:(519) 858-2774 Ext. 2037,County:County of Middlesex,Electoral District:02</t>
  </si>
  <si>
    <t>First certificate of registration issued: Postgraduate Education Certificate||Effective:   01 Jul 1993
Expired: Terms and conditions of certificate of registration||Expiry:      30 Jun 1998
Subsequent certificate of registration Issued: Independent Practice Certificate||Effective:   11 Feb 2000</t>
  </si>
  <si>
    <t>53832</t>
  </si>
  <si>
    <t xml:space="preserve">Independent Practice as of 26 Apr 1988 </t>
  </si>
  <si>
    <t>Suite 15,176 Lakeshore Drive,North Bay ON  P1A 2A9</t>
  </si>
  <si>
    <t>705 478 9981</t>
  </si>
  <si>
    <t>705 478 6468</t>
  </si>
  <si>
    <t>KACL Ninth Avenue South,Kenora ON  P9N 2H8,Canada,Phone:(807) 467-5257,Fax:(807) 467-5264,County:District of Kenora,Electoral District:09</t>
  </si>
  <si>
    <t>Queen's University, 01 Jul 1984  to 30 Jun 1985|Other - Comprehensive Internship
Queen's University, 01 Jul 1985  to 30 Jun 1986|Resident 1 - Family Medicine
Queen's University, 01 Jul 1986  to 30 Jun 1987|Resident 1 - Family Medicine
Queen's University, 01 Jul 1987  to 30 Jun 1988|Resident 2 - Psychiatry
The University of Western Ontario, 01 Jul 1991  to 30 Jun 1992|Resident 3 - Psychiatry
The University of Western Ontario, 01 Jul 1991  to 30 Jun 1992|Resident 2 - Psychiatry
The University of Western Ontario, 01 Jul 1992  to 30 Jun 1993|Resident 4 - Psychiatry</t>
  </si>
  <si>
    <t>First certificate of registration issued: Postgraduate Education Certificate||Effective:   01 Jul 1984
Transfer of class of registration to: Independent Practice Certificate||Effective:   26 Apr 1988</t>
  </si>
  <si>
    <t>Robert King Medicine Professional Corporation</t>
  </si>
  <si>
    <t>Inactive: Apr 12 2007</t>
  </si>
  <si>
    <t>Robert J. King Medicine Professional Corporation</t>
  </si>
  <si>
    <t>Dr. R. King (CPSO# 53832)</t>
  </si>
  <si>
    <t>176 Lakeshore Drive,Suite 15,North Bay ON  P1A 2A8,(705) 478-9981</t>
  </si>
  <si>
    <t>55278</t>
  </si>
  <si>
    <t>Suite 316,1385 Bank Street,Ottawa ON  K1H 8N4</t>
  </si>
  <si>
    <t>(613) 728-5672</t>
  </si>
  <si>
    <t>First certificate of registration issued: Postgraduate Education Certificate||Effective:   01 Jul 1985
Transfer of class of registration to: Independent Practice Certificate||Effective:   15 Sep 1988</t>
  </si>
  <si>
    <t>Dr. R. J. Vervaeke Medicine Professional Corporation</t>
  </si>
  <si>
    <t>Issued Date:  Dec 07 2009</t>
  </si>
  <si>
    <t>Dr. R. Vervaeke (CPSO# 55278)</t>
  </si>
  <si>
    <t>Suite 316,1385 Bank Street,Ottawa ON  K1H 8N4,(613) 728-5672</t>
  </si>
  <si>
    <t>32295</t>
  </si>
  <si>
    <t xml:space="preserve">Active Member as of 27 Apr 1981 </t>
  </si>
  <si>
    <t xml:space="preserve">Independent Practice as of 27 Apr 1981 </t>
  </si>
  <si>
    <t>University of Saskatchewan, 1978</t>
  </si>
  <si>
    <t>(705) 549-3181 Ext. 2665</t>
  </si>
  <si>
    <t>(705) 549-3421</t>
  </si>
  <si>
    <t>St Joseph's Care Group,Lakehead Psychiatric Hospital:Thunder Bay
Waypoint Centre for Mental Health Care:Penetanguishene</t>
  </si>
  <si>
    <t>First certificate of registration issued: Postgraduate Education Certificate||Effective:   01 Jul 1979
Expired: Terms and conditions of certificate of registration||Expiry:      30 Jun 1980
Subsequent certificate of registration Issued: Independent Practice Certificate||Effective:   27 Apr 1981</t>
  </si>
  <si>
    <t>57503</t>
  </si>
  <si>
    <t xml:space="preserve">Active Member as of 04 Jul 1986 </t>
  </si>
  <si>
    <t xml:space="preserve">Independent Practice as of 04 Jul 1986 </t>
  </si>
  <si>
    <t>Suite 200,5700 Yonge Street,Toronto ON  M2M 4K2</t>
  </si>
  <si>
    <t>(416) 490-8347</t>
  </si>
  <si>
    <t>(416) 490-0953</t>
  </si>
  <si>
    <t>USA - Arizona
USA - California
USA - Florida
USA - Pennsylvania</t>
  </si>
  <si>
    <t>Psychiatry||Effective: 09 Jun 1986||RCPSC Specialist
Forensic Psychiatry||Effective: 26 Sep 2013||RCPSC Specialist</t>
  </si>
  <si>
    <t>First certificate of registration issued: Independent Practice Certificate||Effective:   04 Jul 1986</t>
  </si>
  <si>
    <t>79104</t>
  </si>
  <si>
    <t>North York General Hospital,Psychiatry Department,Room 8N 809,4001 Leslie Street,Toronto ON  M2K 1E1</t>
  </si>
  <si>
    <t>Robert M. Zalan Medicine Professional Corporation</t>
  </si>
  <si>
    <t>Issued Date:  Feb 12 2010</t>
  </si>
  <si>
    <t>Dr. R. Zalan (CPSO# 79104)</t>
  </si>
  <si>
    <t>North York General Hopsital,Psychiatry Department,Suite 8N-809,4001 Leslie Street,Toronto ON  M2K 1E1,(416) 756-6655</t>
  </si>
  <si>
    <t>26151</t>
  </si>
  <si>
    <t xml:space="preserve">Active Member as of 21 Sep 1973 </t>
  </si>
  <si>
    <t xml:space="preserve">Independent Practice as of 21 Sep 1973 </t>
  </si>
  <si>
    <t>Queen's University of Belfast, 1966</t>
  </si>
  <si>
    <t>Consent and Capacity Board,151 Bloor Street West,Toronto ON  M5S 2T5</t>
  </si>
  <si>
    <t>(416) 920-9832</t>
  </si>
  <si>
    <t>First certificate of registration issued: Independent Practice Certificate||Effective:   21 Sep 1973</t>
  </si>
  <si>
    <t>32558</t>
  </si>
  <si>
    <t xml:space="preserve">Active Member as of 26 Jun 1981 </t>
  </si>
  <si>
    <t xml:space="preserve">Independent Practice as of 26 Jun 1981 </t>
  </si>
  <si>
    <t>329 March Road,Suite 224,Kanata ON  K2K 2E1</t>
  </si>
  <si>
    <t>(613) 592-3126</t>
  </si>
  <si>
    <t>University of Ottawa, 01 Jul 1988  to 30 Jun 1989|Resident 4 - Psychiatry</t>
  </si>
  <si>
    <t>First certificate of registration issued: Independent Practice Certificate||Effective:   26 Jun 1981</t>
  </si>
  <si>
    <t>Bedford Medicine Professional Corporation</t>
  </si>
  <si>
    <t>Issued Date:  May 29 2009</t>
  </si>
  <si>
    <t>Dr. R. Bedford (CPSO# 32558)</t>
  </si>
  <si>
    <t>224 - 329 March Road,Kanata ON  K2K 2E1,(613) 592-3126</t>
  </si>
  <si>
    <t>63111</t>
  </si>
  <si>
    <t xml:space="preserve">Active Member as of 01 Jan 1995 </t>
  </si>
  <si>
    <t xml:space="preserve">Independent Practice as of 18 Jul 1995 </t>
  </si>
  <si>
    <t>Universidad Del Noreste, 1989</t>
  </si>
  <si>
    <t>Vanier Centre For Women,655 Martin Street,Milton ON  L9T 5E6</t>
  </si>
  <si>
    <t>(905) 876-8300</t>
  </si>
  <si>
    <t>2318 Lake Shore Boulevard West,Toronto ON  M8V 1B5,Canada,Phone:(416) 407-4586,County:City of Toronto,Electoral District:10
661 Martin Street,Milton ON  L9T 3V9,Canada,Phone:(905) 878-8141,County:Regional Municipality of Halton,Electoral District:04</t>
  </si>
  <si>
    <t>Queen's University, 01 Jul 1995  to 31 Dec 1995|Clinical Fellow - Psychiatry</t>
  </si>
  <si>
    <t>First certificate of registration issued: Postgraduate Education Certificate||Effective:   06 Sep 1990
Expired: Terms and conditions of certificate of registration||Expiry:      31 Dec 1994
Subsequent certificate of registration issued: Restricted certificate||Effective:   01 Jan 1995
Transfer of class of registration to: Independent Practice Certificate||Effective:   18 Jul 1995</t>
  </si>
  <si>
    <t>61258</t>
  </si>
  <si>
    <t>University of Montreal, 1989</t>
  </si>
  <si>
    <t>U of T  Health and Wellness Centre,Ground Floor,214 College Street,Toronto ON  M5T 2Z9</t>
  </si>
  <si>
    <t>First certificate of registration issued: Postgraduate Education Certificate||Effective:   12 Jun 1989
Transfer of class of registration to: Independent Practice Certificate||Effective:   29 Jun 1990</t>
  </si>
  <si>
    <t>54209</t>
  </si>
  <si>
    <t>Dave Smith Youth Treatment Centre,112 Willowlea Rd.,Ottawa ON  K0A 1L0,Canada,Phone:(613) 594-8333,Fax:(613) 594-5623,County:Regional Municipality of Ottawa-Carleton,Electoral District:07</t>
  </si>
  <si>
    <t>Psychiatry||Effective: 28 May 1989||RCPSC Specialist</t>
  </si>
  <si>
    <t>University of Ottawa, 01 Jul 1984  to 30 Jun 1985|Other - Rotating Internship
University of Ottawa, 01 Jul 1985  to 30 Jun 1986|Resident 1 - Psychiatry
University of Ottawa, 01 Jul 1986  to 30 Jun 1987|Resident 2 - Psychiatry
University of Ottawa, 01 Jul 1987  to 30 Jun 1988|Resident 3 - Psychiatry
University of Ottawa, 01 Jul 1988  to 30 Jun 1989|Resident 4 - Psychiatry</t>
  </si>
  <si>
    <t>First certificate of registration issued: Postgraduate Education Certificate||Effective:   01 Jul 1984
Transfer of class of registration to: Independent Practice Certificate||Effective:   19 Feb 1987</t>
  </si>
  <si>
    <t>55410</t>
  </si>
  <si>
    <t xml:space="preserve">Independent Practice as of 03 Oct 1986 </t>
  </si>
  <si>
    <t>North York General Hospital,Mental Health Clinic,8th Floor,4001 Leslie Street,North York ON  M2K 1E1</t>
  </si>
  <si>
    <t>University of Ottawa, 15 Jun 1985  to 15 Jun 1986|Other - Rotating Internship
University of Ottawa, 01 Jul 1986  to 30 Jun 1987|Resident 1 - Psychiatry
University of Ottawa, 01 Jul 1987  to 30 Jun 1988|Resident 2 - Psychiatry
University of Ottawa, 01 Jul 1988  to 30 Jun 1989|Resident 3 - Psychiatry
University of Ottawa, 01 Jul 1989  to 30 Jun 1990|Resident 4 - Psychiatry</t>
  </si>
  <si>
    <t>First certificate of registration issued: Postgraduate Education Certificate||Effective:   15 Jun 1985
Transfer of class of registration to: Independent Practice Certificate||Effective:   03 Oct 1986</t>
  </si>
  <si>
    <t>Robert P. Weinstein Medicine Professional Corporation</t>
  </si>
  <si>
    <t>Dr. R. Weinstein (CPSO# 55410)</t>
  </si>
  <si>
    <t>North York General Hospital,Mental Health Clinic,8th Floor,4001 Leslie Street,Toronto ON  M2K 1E1,(416) 756-6655</t>
  </si>
  <si>
    <t>33041</t>
  </si>
  <si>
    <t xml:space="preserve">Independent Practice as of 12 Jan 1982 </t>
  </si>
  <si>
    <t>980 Oliver Road,Thunder Bay ON  P7B 6V4</t>
  </si>
  <si>
    <t>First certificate of registration issued: Postgraduate Education Certificate||Effective:   11 Jan 1977
Expired: Terms and conditions of certificate of registration||Expiry:      30 Jun 1978
Subsequent certificate of registration Issued: Postgraduate Education Certificate||Effective:   02 Jan 1979
Expired: Terms and conditions of certificate of registration||Expiry:      31 Dec 1981
Subsequent certificate of registration Issued: Independent Practice Certificate||Effective:   12 Jan 1982</t>
  </si>
  <si>
    <t>Robert R. Sheppard Medicine Professional Corporation</t>
  </si>
  <si>
    <t>Issued Date:  Jul 26 2006</t>
  </si>
  <si>
    <t>Dr. R. Sheppard (CPSO# 33041)</t>
  </si>
  <si>
    <t>980 Oliver Road,Thunder Bay ON  P7B 6V4,(807) 684-6467</t>
  </si>
  <si>
    <t>55361</t>
  </si>
  <si>
    <t xml:space="preserve">Independent Practice as of 16 Jun 1987 </t>
  </si>
  <si>
    <t>HHS General Hospital,Rehabilitation Building,Acquired Brain Injury Program,P O Box 2000,Hamilton ON  L8N 3Z5</t>
  </si>
  <si>
    <t>(416) 487-4414</t>
  </si>
  <si>
    <t>NRIO,59 Beaver Bend Crescent,Etobicoke ON  M9B 5R2,Canada,Phone:(416) 231-4358,County:City of Toronto,Electoral District:10
508-225 King William Street,Hamilton ON  L8R 1B1,Canada,Phone:905-523-8852,Fax:905-523-8211,County:Regional Municipality of Hamilton-Wentworth,Electoral District:04</t>
  </si>
  <si>
    <t>McMaster University, 01 Jul 1985  to 30 Jun 1986|Other - Comprehensive Internship
McMaster University, 01 Jul 1986  to 30 Jun 1987|Resident 1 - Psychiatry
McMaster University, 01 Jul 1987  to 30 Jun 1988|Resident 2 - Psychiatry
McMaster University, 01 Jul 1989  to 30 Jun 1990|Resident 4 - Psychiatry</t>
  </si>
  <si>
    <t>First certificate of registration issued: Postgraduate Education Certificate||Effective:   01 Jul 1985
Transfer of class of registration to: Independent Practice Certificate||Effective:   16 Jun 1987</t>
  </si>
  <si>
    <t>Dr. Robert Van Reekum Medicine Professional Corporation</t>
  </si>
  <si>
    <t>Issued Date:  Jun 30 2009</t>
  </si>
  <si>
    <t>Dr. R. Van Reekum (CPSO# 55361)</t>
  </si>
  <si>
    <t>Hamilton Health Sciences Corporation,General Site,Box 2000,Hamilton ON  L8N 3Z5,(416) 487-4414</t>
  </si>
  <si>
    <t>19194</t>
  </si>
  <si>
    <t>Northumberland Hills Hospital,1011 Elgin Street,Cobourg ON  K9A 4M8</t>
  </si>
  <si>
    <t>(905) 377-9891</t>
  </si>
  <si>
    <t>Psychiatry||Effective: 11 Mar 1974||RCPSC Specialist</t>
  </si>
  <si>
    <t>First certificate of registration issued: Postgraduate Education Certificate||Effective:   07 Nov 1963
Transfer of class of registration to: Independent Practice Certificate||Effective:   02 Jul 1964</t>
  </si>
  <si>
    <t>25341</t>
  </si>
  <si>
    <t xml:space="preserve">Active Member as of 14 Nov 1972 </t>
  </si>
  <si>
    <t xml:space="preserve">Independent Practice as of 14 Nov 1972 </t>
  </si>
  <si>
    <t>39 Alvin Ave,Toronto ON  M4V 1R1</t>
  </si>
  <si>
    <t>416-996-4675</t>
  </si>
  <si>
    <t>Psychiatry||Effective: 19 Nov 1974||RCPSC Specialist</t>
  </si>
  <si>
    <t>First certificate of registration issued: Postgraduate Education Certificate||Effective:   16 Jul 1970
Transfer of class of registration to: Independent Practice Certificate||Effective:   14 Nov 1972</t>
  </si>
  <si>
    <t>91686</t>
  </si>
  <si>
    <t xml:space="preserve">Independent Practice as of 20 May 2015 </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</si>
  <si>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Paediatric Psychiatry
University of Toronto, 01 Jul 2014  to 30 Jun 2015|PostGrad Yr 6 - Paediatric Psychiatry</t>
  </si>
  <si>
    <t>First certificate of registration issued: Postgraduate Education Certificate||Effective:   01 Jul 2009
Transfer of class of registration to: Independent Practice Certificate||Effective:   20 May 2015</t>
  </si>
  <si>
    <t>90365</t>
  </si>
  <si>
    <t xml:space="preserve">Active Member as of 04 Apr 2017 </t>
  </si>
  <si>
    <t xml:space="preserve">Academic Practice as of 04 Apr 2017 </t>
  </si>
  <si>
    <t>University of Sao Paulo, 1996</t>
  </si>
  <si>
    <t>Child and Youth Mental Health Progr,Ron Joyce Children's Health Centre,237 Barton St. E,Hamilton ON  L8L 2X2</t>
  </si>
  <si>
    <t>Mood Disorders Program,St. Joseph's Healthcare Hamilton,100 West 5th St.,Hamilton ON  L8N 3K7,Canada,Phone:(905) 522-1155 Ext. 35448,Fax:(905) 381-5629,County:Regional Municipality of Hamilton-Wentworth,Electoral District:04</t>
  </si>
  <si>
    <t>First certificate of registration issued: Restricted certificate||Effective:   17 Apr 2009
Terms and conditions imposed on certificate by Registration Committee||Effective:   17 Apr 2009
Expiry date attached to certificate of registration.||Expiry Date: 25 Feb 2012
Terms and conditions amended by Registration Committee||Effective:   13 Mar 2014
Expiry date removed from certificate of registration.||Effective:   03 Jun 2014
Terms and conditions amended by Registration Committee||Effective:   01 Jul 2014
Expired: Terms and conditions imposed on certificate by Registration Committee||Effective:   04 Apr 2017
Subsequent certificate of registration Issued: Academic Practice Certificate||Effective:   04 Apr 2017</t>
  </si>
  <si>
    <t>R. Sassi Medicine Professional Corporation</t>
  </si>
  <si>
    <t>Dr. R. Sassi (CPSO# 105755),Dr. R. Sassi (CPSO# 90365)</t>
  </si>
  <si>
    <t>St Joseph's Healthcare Centre,Department of Psychiatry,100 West 5th Street,Hamilton ON  L8N 3K7,(905) 522-1155
Hamilton General Hospital,Hamilton General Hospital,237 Barton Street East,Hamilton ON  L8L 2X2,(905) 521-2100</t>
  </si>
  <si>
    <t>104710</t>
  </si>
  <si>
    <t>Spartan Health Sciences University, 2005</t>
  </si>
  <si>
    <t>Suite 205,2238 Dundas Street West,Toronto ON  M6R 3A9</t>
  </si>
  <si>
    <t>(647) 872-8140</t>
  </si>
  <si>
    <t>(647)436-8268</t>
  </si>
  <si>
    <t>University of Toronto, 01 Aug 2014  to 30 Sep 2014|Elective Trainee - Psychiatry
University of Toronto, 01 Oct 2014  to 31 Dec 2014|Elective Trainee - Respiratory Medicine</t>
  </si>
  <si>
    <t>First certificate of registration issued: Postgraduate Education Certificate||Effective:   01 Aug 2014
Expired: Terms and conditions of certificate of registration||Expiry:      31 Dec 2014
Subsequent certificate of registration issued: Restricted certificate||Effective:   05 Aug 2015
Terms and conditions amended by Registration Committee||Effective:   03 Aug 2018
Expiry date attached to certificate of registration||Expiry Date: 04 Aug 2019</t>
  </si>
  <si>
    <t>Cardan Medicine Professional Corporation</t>
  </si>
  <si>
    <t>Dr. R. Cardan (CPSO# 104710)</t>
  </si>
  <si>
    <t>Unit 205,2238 Dundas Street West,Toronto ON  M6R 3A9,(647) 872-8140</t>
  </si>
  <si>
    <t>96144</t>
  </si>
  <si>
    <t>Windsor University, 2010</t>
  </si>
  <si>
    <t>Joseph Brant Hospital,1230 North Shore Boulevard East,Burlington ON  L7S 1W7</t>
  </si>
  <si>
    <t>Niagara Health System,1200 Fourth Avenue,St Catharines ON  L2S 0A9,Canada,Phone:(905) 378-4647,County:Regional Municipality of Niagara,Electoral District:04
Oakville-Trafalgar Memorial,3001 Hospital Gate,Oakville, Ontario,Oakville ON  L6M 0L8,Canada,County:Regional Municipality of Halton,Electoral District:04
William Osler Health System,2100 Bovaird Dr E,Brampton, ON,Brampton ON  L6R 3J7,Canada,County:Regional Municipality of Peel,Electoral District:05</t>
  </si>
  <si>
    <t>Joseph Brant Hospital:Burlington
Niagara Health System,St Catharines General Site:St Catharines
Oakville Trafalgar Memorial Hospital:Oakville
William Osler Health Centre-Brampton Civic Hospital:Brampton</t>
  </si>
  <si>
    <t>Psychiatry||Effective: 31 Oct 2016||RCPSC Specialist</t>
  </si>
  <si>
    <t>University of Toronto, 01 Jul 2011  to 22 Sep 2011|Assessment Verification Period - Psychiatry
University of Toronto, 23 Sep 2011  to 30 Jun 2012|PostGrad Yr 1 - Psychiatry
University of Toronto, 01 Jul 2012  to 30 Jun 2013|PostGrad Yr 2 - Psychiatry
University of Toronto, 01 Jul 2013  to 31 Dec 2013|PostGrad Yr 2 - Psychiatry
University of Toronto, 01 Jan 2014  to 30 Jun 2014|PostGrad Yr 3 - Psychiatry
University of Toronto, 01 Jul 2014  to 31 Dec 2014|PostGrad Yr 3 - Psychiatry
University of Toronto, 01 Jan 2015  to 30 Jun 2015|PostGrad Yr 4 - Psychiatry
University of Toronto, 01 Jul 2015  to 31 Dec 2015|PostGrad Yr 4 - Psychiatry
University of Toronto, 01 Jan 2016  to 30 Jun 2016|PostGrad Yr 5 - Psychiatry
University of Toronto, 01 Jul 2016  to 31 Oct 2016|PostGrad Yr 5 - Psychiatry</t>
  </si>
  <si>
    <t>First certificate of registration issued: Pre Entry Assessment Program Certificate||Effective:   01 Jul 2011
Transfer of class of registration to: Postgraduate Education Certificate||Effective:   23 Sep 2011
Expired: Terms and conditions of certificate of registration||Expiry:      31 Oct 2016
Subsequent certificate of registration Issued: Independent Practice Certificate||Effective:   07 Nov 2016</t>
  </si>
  <si>
    <t>Khanna Medicine Professional Corporation</t>
  </si>
  <si>
    <t>Issued Date:  Jun 20 2017</t>
  </si>
  <si>
    <t>Dr. R. Khanna (CPSO# 96144)</t>
  </si>
  <si>
    <t>Joseph Brant Hospital,1230 North Shore Boulevard East,Burlington ON  L7S 1W7,(905) 632-3737
1200 Fourth Avenue,1200 Fourth Avenue,St Catharines ON  L2S 0A9,(905) 378-4647
3001 Hospital Gate,3001 Hospital Gate,Oakville ON  L2S 0A9
2100 Bovaird Drive East,2100 Bovaird Drive East,Brampton ON  L6R 3J7</t>
  </si>
  <si>
    <t>82503</t>
  </si>
  <si>
    <t>(905) 430-4465</t>
  </si>
  <si>
    <t>Psychiatry||Effective: 30 Jun 2010||RCPSC Specialist
Geriatric Psychiatry||Effective: 26 Sep 2013||RCPSC Specialist</t>
  </si>
  <si>
    <t>97581</t>
  </si>
  <si>
    <t>Grand River Hospital,Freeport Site,Specialized Mental Health,3570 King Street East,Kitchener ON  N2A 2W1</t>
  </si>
  <si>
    <t>(519) 749-4300 Ext. 7009</t>
  </si>
  <si>
    <t>St. John's Kitchen Outreach Clinic,97A Victoria Street North,Kitchener ON  N2H 5C1,Canada,Phone:(519) 342-1616,Fax:(519) 513-9777,County:Regional Municipality of Waterloo,Electoral District:03</t>
  </si>
  <si>
    <t>RS Fallen Medicine Professional Corporation</t>
  </si>
  <si>
    <t>Issued Date:  Jun 27 2017</t>
  </si>
  <si>
    <t>Dr. R. Fallen (CPSO# 97581)</t>
  </si>
  <si>
    <t>Grand River Hospital,Freeport Site,3570 King Street East,PO Box 9056,Kitchener ON  N2A 2W1,(519) 749-4300
St Johns Kitchen Outreach Clinic,St Johns Kitchen Outreach Clinic,97A Victoria Street North,Kitchener ON  N2H 5C1,(519) 342-1616</t>
  </si>
  <si>
    <t>64893</t>
  </si>
  <si>
    <t xml:space="preserve">Active Member as of 10 Apr 1992 </t>
  </si>
  <si>
    <t xml:space="preserve">Independent Practice as of 04 Oct 2017 </t>
  </si>
  <si>
    <t>First certificate of registration issued: Independent Practice Certificate||Effective:   10 Apr 1992
Transfer of class of certificate to: Restricted certificate||Effective:   11 Apr 2017
Terms and conditions imposed on certificate||Effective:   11 Apr 2017
Transfer of class of registration to: Independent Practice Certificate||Effective:   04 Oct 2017</t>
  </si>
  <si>
    <t>Rock Mylvaganam Medicine Professional Corporation</t>
  </si>
  <si>
    <t>Issued Date:  Aug 02 2011</t>
  </si>
  <si>
    <t>Dr. R. Mylvaganam (CPSO# 64893)</t>
  </si>
  <si>
    <t>58566</t>
  </si>
  <si>
    <t xml:space="preserve">Independent Practice as of 30 Jul 1991 </t>
  </si>
  <si>
    <t>Institute Medicine, Pharmacy, Bucharest, 1977</t>
  </si>
  <si>
    <t>Humber River Regional Hospital,1235 Wilson Av,Toronto ON  M6M 3Z4</t>
  </si>
  <si>
    <t>416 242 1000 Ext. 43059</t>
  </si>
  <si>
    <t>640 Ross avenue east,Timmins ON  P4N 0A2,Canada,County:Territorial District of Cochrane,Electoral District:08
640 Ross avenue east,Timmins ON  P4N 0A2,Canada,County:Territorial District of Cochrane,Electoral District:08
750 Great Northern Road,Sault Ste Marie ON  P6B 0A8,Canada,Phone:705 759 3434,County:Territorial District of Algoma,Electoral District:08
550 Byrne Road,Yellowknife NT  X1A 2N1,Canada,Fax:867 669 4218,County:Electoral District
1560 Yonge Street,Suite 240,Toronto ON  M4T 2S9,Canada,Phone:(416) 961-6481,County:City of Toronto,Electoral District:10</t>
  </si>
  <si>
    <t>Humber River Hospital,Wilson Site:Toronto
Sault Area Hospital:Sault Ste Marie
Timmins and District Hospital:Timmins</t>
  </si>
  <si>
    <t>First certificate of registration issued: Postgraduate Education Certificate||Effective:   01 Jul 1987
Transfer of class of registration to: Independent Practice Certificate||Effective:   30 Jul 1991</t>
  </si>
  <si>
    <t>67068</t>
  </si>
  <si>
    <t xml:space="preserve">Active Member as of 30 Jun 1993 </t>
  </si>
  <si>
    <t xml:space="preserve">Independent Practice as of 30 Jun 1993 </t>
  </si>
  <si>
    <t>Dalhousie University, 1992</t>
  </si>
  <si>
    <t>St Joseph's Healthcare,100 West 5th Street,Hamilton ON  L8N 3K7</t>
  </si>
  <si>
    <t>(905) 522-1155 Ext. 36775</t>
  </si>
  <si>
    <t>(905) 381-5607</t>
  </si>
  <si>
    <t>St Joseph's Centre for Mountain Health Services:Hamilton
St Joseph's Healthcare System,Hamilton:Hamilton</t>
  </si>
  <si>
    <t>Psychiatry||Effective: 06 Jun 2001||RCPSC Specialist</t>
  </si>
  <si>
    <t>University of Ottawa, 01 Jul 1993  to 30 Jun 1994|Resident 1 - Radiation Oncology
University of Ottawa, 01 Jul 1994  to 30 Jun 1995|Resident 2 - Radiation Oncology
University of Ottawa, 01 Jul 1995  to 30 Jun 1996|Resident 1 - Psychiatry
University of Ottawa, 01 Jul 1996  to 30 Jun 1997|Resident 2 - Psychiatry
University of Ottawa, 01 Jul 1998  to 30 Jun 1999|PostGrad Yr 4 - Psychiatry
University of Ottawa, 01 Jul 1999  to 30 Jun 2000|PostGrad Yr 5 - Psychiatry
University of Ottawa, 01 Jul 2000  to 30 Jun 2001|Clinical Fellow - Psychiatry</t>
  </si>
  <si>
    <t>First certificate of registration issued: Independent Practice Certificate||Effective:   30 Jun 1993</t>
  </si>
  <si>
    <t>Dr. Rod Lough Medicine Professional Corporation</t>
  </si>
  <si>
    <t>Dr. R. Lough (CPSO# 67068)</t>
  </si>
  <si>
    <t>St Joseph's Healthcare,100 West 5th Street,Room W265P,Hamilton ON  L8N 3K7,(905) 522-1155</t>
  </si>
  <si>
    <t>32826</t>
  </si>
  <si>
    <t xml:space="preserve">Independent Practice as of 03 Sep 1981 </t>
  </si>
  <si>
    <t>The University of Manitoba, 1964</t>
  </si>
  <si>
    <t>Mount Sinai Hospital,600 University Avenue,Suite 929,Toronto ON  M5G 1X5</t>
  </si>
  <si>
    <t>(416) 586-4800 Ext. 5353</t>
  </si>
  <si>
    <t>First certificate of registration issued: Independent Practice Certificate||Effective:   03 Sep 1981</t>
  </si>
  <si>
    <t>99954</t>
  </si>
  <si>
    <t xml:space="preserve">Active Member as of 01 Sep 2017 </t>
  </si>
  <si>
    <t xml:space="preserve">Restricted as of 01 Sep 2017 </t>
  </si>
  <si>
    <t>Universidade Federal de Sao Paulo, 2008</t>
  </si>
  <si>
    <t>UHN Toronto Western Hospital,Department of Psychiatry,399 Bathurst Street Rm9M3160,Toronto ON  M5T 2S8</t>
  </si>
  <si>
    <t>Psychiatry||Effective: 01 Sep 2017||CPSO Recognized Specialist</t>
  </si>
  <si>
    <t>University of Toronto, 01 Mar 2013  to 23 May 2013|PEAP - Clinical Fellow - Psychiatry
University of Toronto, 24 May 2013  to 30 Jun 2013|Clinical Fellow - Psychiatry
University of Toronto, 01 Jul 2013  to 30 Jun 2014|Clinical Fellow - Psychiatry
University of Toronto, 01 Jul 2014  to 31 Dec 2014|Clinical Fellow - Psychiatry
University of Toronto, 01 Jan 2015  to 30 Jun 2015|Clinical Fellow - Psychiatry
University of Toronto, 01 Jul 2015  to 05 Mar 2016|Clinical Fellow - Psychiatry
University of Toronto, 06 Mar 2016  to 30 Jun 2016|Clinical Fellow - Psychiatry
University of Toronto, 01 Jul 2016  to 05 Mar 2017|Clinical Fellow - Psychiatry</t>
  </si>
  <si>
    <t>First certificate of registration issued: Pre Entry Assessment Program Certificate||Effective:   06 Mar 2013
Transfer of class of registration to: Postgraduate Education Certificate||Effective:   24 May 2013
Expired: Terms and conditions of certificate of registration||Expiry:      23 May 2016
Subsequent certificate of registration issued: Restricted certificate||Effective:   14 Jun 2016
Expired: Terms and conditions imposed on certificate by Registration Committee||Effective:   05 Mar 2017
Subsequent certificate of registration issued: Restricted certificate||Effective:   01 Sep 2017
Expiry as per terms and conditions imposed on certificate||Expiry Date: 31 May 2020</t>
  </si>
  <si>
    <t>85035</t>
  </si>
  <si>
    <t xml:space="preserve">Active Member as of 09 Jul 2014 </t>
  </si>
  <si>
    <t xml:space="preserve">Independent Practice as of 09 Jul 2014 </t>
  </si>
  <si>
    <t>National Autonomous Univ of Guadalajara, 1997</t>
  </si>
  <si>
    <t>North Halton Mental Health Clinic,Department of Psychiatry,217 Main St East,Milton ON  L9E1N9</t>
  </si>
  <si>
    <t>905 6934240</t>
  </si>
  <si>
    <t>Queen's University, 01 Jul 2006  to 12 Sep 2006|Assessment Verification Period - Psychiatry
Queen's University, 13 Sep 2006  to 31 Dec 2006|PostGrad Yr 1 - Psychiatry
Queen's University, 01 Jan 2007  to 31 Dec 2007|PostGrad Yr 2 - Psychiatry
Queen's University, 01 Jan 2008  to 31 Dec 2008|PostGrad Yr 3 - Psychiatry
Queen's University, 01 Jan 2009  to 31 Dec 2009|PostGrad Yr 4 - Psychiatry
Queen's University, 01 Jan 2010  to 31 Dec 2010|PostGrad Yr 5 - Psychiatry</t>
  </si>
  <si>
    <t>First certificate of registration issued: Pre Entry Assessment Program Certificate||Effective:   01 Jul 2006
Transfer of class of registration to: Postgraduate Education Certificate||Effective:   13 Sep 2006
Expired: Terms and conditions of certificate of registration||Expiry:      31 Dec 2010
Subsequent certificate of registration issued: Restricted certificate||Effective:   14 Feb 2011
Terms and conditions amended by Registration Committee||Effective:   30 Jan 2014
Expired: Terms and conditions imposed on certificate by Registration Committee||Effective:   09 Jul 2014
Subsequent certificate of registration Issued: Independent Practice Certificate||Effective:   09 Jul 2014</t>
  </si>
  <si>
    <t>R. Gonzalez Lejarza Medicine Professional Corporation</t>
  </si>
  <si>
    <t>Issued Date:  May 08 2012</t>
  </si>
  <si>
    <t>Dr. R. Gonzalez Lejarza (CPSO# 85035)</t>
  </si>
  <si>
    <t>North Halton Medical Health Clinic,Department of Pyschiatry,217 Main Street East,Milton ON  L9E 1N9</t>
  </si>
  <si>
    <t>72493</t>
  </si>
  <si>
    <t>Centre Hospitalier Pierrre-Janet,20 Rue Pharand,Hull QC  J9A 1K7</t>
  </si>
  <si>
    <t>(819) 776-8085</t>
  </si>
  <si>
    <t>(819) 771-4727</t>
  </si>
  <si>
    <t>University of Ottawa, 01 Jul 1998  to 30 Jun 1999|PostGrad Yr 1 - Psychiatry
University of Ottawa, 01 Jul 1999  to 30 Jun 2000|PostGrad Yr 2 - Psychiatry
University of Ottawa, 01 Jul 2000  to 30 Jun 2001|PostGrad Yr 3 - Psychiatry
University of Ottawa, 01 Jul 2001  to 30 Jun 2002|PostGrad Yr 4 - Psychiatry
University of Ottawa, 01 Jul 2002  to 30 Jun 2003|PostGrad Yr 5 - Psychiatry</t>
  </si>
  <si>
    <t>66837</t>
  </si>
  <si>
    <t>University Health Network,Toronto Western Hospital,399 Bathurst St, MP9-325,Toronto ON  M5T 2S8</t>
  </si>
  <si>
    <t>(416) 603-5279</t>
  </si>
  <si>
    <t>(416) 603-5368</t>
  </si>
  <si>
    <t>72566</t>
  </si>
  <si>
    <t xml:space="preserve">Independent Practice as of 29 Jun 2004 </t>
  </si>
  <si>
    <t>Robertson, Rohan Kristine (used until: 25 Jun 2011 )</t>
  </si>
  <si>
    <t>Peter Lougheed Centre,Department Of Psychiatry,3200 - 26 Street N E,Calgary AB  T1Y 6J4</t>
  </si>
  <si>
    <t>(403) 943-4710</t>
  </si>
  <si>
    <t>Psychiatry||Effective: 01 Jun 2004||RCPSC Specialist</t>
  </si>
  <si>
    <t>McMaster University, 01 Jul 1998  to 30 Jun 1999|PostGrad Yr 1 - Psychiatry
McMaster University, 01 Jul 1999  to 30 Jun 2000|PostGrad Yr 2 - Psychiatry
McMaster University, 01 Jul 2000  to 30 Jun 2001|PostGrad Yr 3 - Psychiatry
McMaster University, 01 Jul 2001  to 30 Jun 2002|PostGrad Yr 4 - Psychiatry
McMaster University, 01 Jul 2002  to 30 Nov 2002|PostGrad Yr 4 - Psychiatry
McMaster University, 01 Dec 2002  to 30 Nov 2003|PostGrad Yr 5 - Psychiatry
McMaster University, 01 Dec 2003  to 30 Jun 2004|Clinical Fellow - Psychiatry</t>
  </si>
  <si>
    <t>First certificate of registration issued: Postgraduate Education Certificate||Effective:   01 Jul 1998
Transfer of class of registration to: Independent Practice Certificate||Effective:   29 Jun 2004</t>
  </si>
  <si>
    <t>98323</t>
  </si>
  <si>
    <t xml:space="preserve">Active Member as of 20 Jun 2018 </t>
  </si>
  <si>
    <t xml:space="preserve">Independent Practice as of 20 Jun 2018 </t>
  </si>
  <si>
    <t>University of Toronto,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Psychiatry
University of Toronto, 01 Jul 2017  to 28 Feb 2018|PostGrad Yr 5 - Psychiatry
University of Toronto, 01 Mar 2018  to 31 Mar 2018|PostGrad Yr 5 - Psychiatry</t>
  </si>
  <si>
    <t>First certificate of registration issued: Postgraduate Education Certificate||Effective:   01 Jul 2012
Expired: Terms and conditions of certificate of registration||Expiry:      31 Mar 2018
Subsequent certificate of registration Issued: Independent Practice Certificate||Effective:   20 Jun 2018</t>
  </si>
  <si>
    <t>111775</t>
  </si>
  <si>
    <t xml:space="preserve">Active Member as of 28 Apr 2017 </t>
  </si>
  <si>
    <t xml:space="preserve">Restricted as of 28 Apr 2017 </t>
  </si>
  <si>
    <t>University of Liverpool, 1997</t>
  </si>
  <si>
    <t>C A M H,1001 Queen Street West,Unit 3, Room 446A,Toronto ON  M5T 1R8</t>
  </si>
  <si>
    <t>Psychiatry||Effective: 28 Apr 2017||CPSO Recognized Specialist
Forensic Psychiatry||Effective: 28 Apr 2017||CPSO Recognized Specialist</t>
  </si>
  <si>
    <t>First certificate of registration issued: Restricted certificate||Effective:   28 Apr 2017
Terms and conditions imposed on certificate by Registration Committee||Effective:   28 Apr 2017
Expiry date attached to certificate of registration.||Expiry Date: 12 Feb 2020</t>
  </si>
  <si>
    <t>59249</t>
  </si>
  <si>
    <t xml:space="preserve">Active Member as of 29 Mar 1988 </t>
  </si>
  <si>
    <t xml:space="preserve">Independent Practice as of 11 May 1990 </t>
  </si>
  <si>
    <t>University of Ibadan, 1967</t>
  </si>
  <si>
    <t>Windsor Medical Clinic,672O Hawthorne drive,Windsor ON  N8T 1J9</t>
  </si>
  <si>
    <t>(519) 944-2295</t>
  </si>
  <si>
    <t>(519) 944-7376</t>
  </si>
  <si>
    <t>First certificate of registration issued: Hospital Practice Certificate||Effective:   29 Mar 1988
Transfer of class of registration to: Independent Practice Certificate||Effective:   11 May 1990</t>
  </si>
  <si>
    <t>R.O. Jegede Medicine Professional Corporation</t>
  </si>
  <si>
    <t>Issued Date:  Nov 13 2007</t>
  </si>
  <si>
    <t>Dr. R. Jegede (CPSO# 59249)</t>
  </si>
  <si>
    <t>Windsor Medical Clinic,6720 Hawthorne Drive,Windsor ON  N8T 1J9,(519) 944-2295</t>
  </si>
  <si>
    <t>80544</t>
  </si>
  <si>
    <t xml:space="preserve">Active Member as of 23 Aug 2007 </t>
  </si>
  <si>
    <t xml:space="preserve">Restricted as of 23 Aug 2007 </t>
  </si>
  <si>
    <t>University of Buenos Aires, 1998</t>
  </si>
  <si>
    <t>PET Centre,CAMH College Street Site,250 College Street,Toronto ON  M5T 1R8</t>
  </si>
  <si>
    <t>(416) 535-8501 Ext. 34508</t>
  </si>
  <si>
    <t>Psychiatry||Effective: 23 Aug 2007||CPSO Recognized Specialist</t>
  </si>
  <si>
    <t>University of Toronto, 11 Mar 2004  to 31 May 2004|PEAP - Clinical Fellow - Psychiatry
University of Toronto, 01 Jun 2004  to 30 Jun 2004|Clinical Fellow - Psychiatry
University of Toronto, 01 Jul 2004  to 30 Jun 2005|Clinical Fellow - Psychiatry
University of Toronto, 01 Jul 2005  to 30 Jun 2006|Clinical Fellow - Psychiatry
University of Toronto, 01 Jul 2006  to 30 Jun 2007|Clinical Fellow - Psychiatry</t>
  </si>
  <si>
    <t>First certificate of registration issued: Pre Entry Assessment Program Certificate||Effective:   16 Mar 2004
Transfer of class of registration to: Postgraduate Education Certificate||Effective:   01 Jun 2004
Expired: Terms and conditions of certificate of registration||Expiry:      30 Jun 2007
Subsequent certificate of registration issued: Restricted certificate||Effective:   23 Aug 2007
Terms and conditions amended by Registration Committee||Effective:   13 Jul 2012
Expiry date removed from certificate of registration.||Effective:   20 Jul 2012</t>
  </si>
  <si>
    <t>Dr. Romina Mizrahi Medicine Professional Corporation</t>
  </si>
  <si>
    <t>Issued Date:  Jan 10 2017</t>
  </si>
  <si>
    <t>Dr. R. Mizrahi (CPSO# 80544)</t>
  </si>
  <si>
    <t>PET Centre,CAMH College Street Site,250 College Street,Toronto ON  M5T 1R8,(416) 535-8501</t>
  </si>
  <si>
    <t>64797</t>
  </si>
  <si>
    <t xml:space="preserve">Active Member as of 21 Jan 1992 </t>
  </si>
  <si>
    <t>Tel Aviv University, 1986</t>
  </si>
  <si>
    <t>Toronto Rehabilitation Institute,5 East 5-105-01,550 University Ave.,Toronto, ON,Toronto ON  M5G 2A2</t>
  </si>
  <si>
    <t>Toronto Western Hospital,5W439,399 Bathurst St.,Toronto, ON  M5T 2S8,Toronto ON  M5T 2S8,Canada,Phone:(416) 603-5667,Fax:(416) 603-6402,County:City of Toronto,Electoral District:10</t>
  </si>
  <si>
    <t>University Health Network,Toronto Rehabilitation Institute:Toronto
University Health Network,Toronto Western Hospital Site:Toronto</t>
  </si>
  <si>
    <t>First certificate of registration issued: Independent Practice Certificate||Effective:   21 Jan 1992</t>
  </si>
  <si>
    <t>32427</t>
  </si>
  <si>
    <t>554 Spadina Avenue,Toronto ON  M5S 2J9</t>
  </si>
  <si>
    <t>(416) 968-2656</t>
  </si>
  <si>
    <t>69939</t>
  </si>
  <si>
    <t xml:space="preserve">Active Member as of 02 Aug 2001 </t>
  </si>
  <si>
    <t>126 May Street South,Thunder Bay ON  P7E 1B3</t>
  </si>
  <si>
    <t>(807) 623-3929</t>
  </si>
  <si>
    <t>(807) 622-5633</t>
  </si>
  <si>
    <t>Thunder Bay Regional Health,Sciences Centre,980 Oliver Road,Thunder Bay ON  P7B 6V4,Canada,Phone:8076846453,County:District of Thunder Bay,Electoral District:09</t>
  </si>
  <si>
    <t>Psychiatry||Effective: 31 Jul 2001||RCPSC Specialist</t>
  </si>
  <si>
    <t>McMaster University, 01 Jul 1996  to 30 Jun 1997|PostGrad Yr 1 - Psychiatry
McMaster University, 01 Jul 1997  to 30 Jun 1998|PostGrad Yr 2 - Psychiatry
McMaster University, 01 Jul 1998  to 30 Jun 1999|PostGrad Yr 3 - Psychiatry
McMaster University, 01 Jul 1999  to 30 Jun 2000|PostGrad Yr 4 - Psychiatry
McMaster University, 01 Jul 2000  to 30 Jun 2001|PostGrad Yr 5 - Psychiatry
McMaster University, 01 Jul 2001  to 31 Jul 2001|PostGrad Yr 5 - Psychiatry</t>
  </si>
  <si>
    <t>First certificate of registration issued: Postgraduate Education Certificate||Effective:   01 Jul 1996
Expired: Terms and conditions of certificate of registration||Expiry:      31 Jul 2001
Subsequent certificate of registration Issued: Independent Practice Certificate||Effective:   02 Aug 2001</t>
  </si>
  <si>
    <t>Lailey Stewart Medicine Professional Corporation</t>
  </si>
  <si>
    <t>Issued Date:  Dec 03 2007</t>
  </si>
  <si>
    <t>Dr. J. Lailey (CPSO# 69949),Dr. R. Stewart (CPSO# 69939)</t>
  </si>
  <si>
    <t>Lakehead University Student Health,955 Oliver Road,Thunder Bay ON  P7B 5E1,(807) 343-8361
126 May Street South,126 May Street South,Thunder Bay ON  P7E 1B3,(807) 623-3929
980 Oliver Road,980 Oliver Road,Thunder Bay ON  P7B 6V4,(807) 684-6000</t>
  </si>
  <si>
    <t>28974</t>
  </si>
  <si>
    <t xml:space="preserve">Active Member as of 08 Mar 1977 </t>
  </si>
  <si>
    <t xml:space="preserve">Independent Practice as of 08 Mar 1977 </t>
  </si>
  <si>
    <t>(416) 928-0675</t>
  </si>
  <si>
    <t>(416) 928-0870</t>
  </si>
  <si>
    <t>Department of Psychiatry,Mount Sinai Hospital,600 University Avenue,Room 946,Toronto ON  M5G 1X5,Canada,Phone:(416) 586-8374,Fax:(416) 586-8654,County:City of Toronto,Electoral District:10</t>
  </si>
  <si>
    <t>First certificate of registration issued: Independent Practice Certificate||Effective:   08 Mar 1977</t>
  </si>
  <si>
    <t>61001</t>
  </si>
  <si>
    <t xml:space="preserve">Independent Practice as of 19 Oct 1990 </t>
  </si>
  <si>
    <t>Brantford General Hospital,Mental Health Services East Wing,200 Terrace Hill Street,Brantford ON  N3R 1G7</t>
  </si>
  <si>
    <t>McMaster University, 01 Jul 1989  to 30 Jun 1990|Other - Comprehensive Internship
McMaster University, 01 Jul 1990  to 30 Jun 1991|Resident 2 - Family Medicine
McMaster University, 01 Sep 1991  to 28 Feb 1992|Resident 3 - Family Medicine
McMaster University, 01 Jul 2001  to 30 Jun 2002|PostGrad Yr 2 - Psychiatry
McMaster University, 01 Jul 2002  to 30 Jun 2003|PostGrad Yr 3 - Psychiatry
McMaster University, 01 Jul 2003  to 30 Jun 2004|PostGrad Yr 4 - Psychiatry
McMaster University, 01 Jul 2004  to 30 Jun 2005|PostGrad Yr 5 - Psychiatry</t>
  </si>
  <si>
    <t>First certificate of registration issued: Postgraduate Education Certificate||Effective:   01 Jul 1989
Transfer of class of registration to: Independent Practice Certificate||Effective:   19 Oct 1990</t>
  </si>
  <si>
    <t>Ronald Book Medicine Professional Corporation</t>
  </si>
  <si>
    <t>Issued Date:  Jul 29 2010</t>
  </si>
  <si>
    <t>Dr. R. Book (CPSO# 61001)</t>
  </si>
  <si>
    <t>Brantford General Hospital,200 Terrace Hill Street,Brantford ON  N3R 1G9</t>
  </si>
  <si>
    <t>97547</t>
  </si>
  <si>
    <t>95446</t>
  </si>
  <si>
    <t>Mental Health and Addiction Service,St. Michael's Hospital,30 Bond Street,Toronto ON,Toronto ON  M5B 1W8</t>
  </si>
  <si>
    <t>416-864-5480</t>
  </si>
  <si>
    <t>Inner City Health Associates,59 Adelaide St. E. 2nd floor,Toronto ON,M5C 1K6,Toronto ON  M5C 1K6,Canada,County:City of Toronto,Electoral District:10</t>
  </si>
  <si>
    <t>Casey House Hospice:Toronto
St Joseph's Care Group,Thunder Bay:Thunder Bay
St Michael's Hospital:Toronto
Thunder Bay Regional Health Sciences Centre:Thunder Bay</t>
  </si>
  <si>
    <t>50192</t>
  </si>
  <si>
    <t xml:space="preserve">Independent Practice as of 18 Jun 1991 </t>
  </si>
  <si>
    <t>University of Florence, 1981</t>
  </si>
  <si>
    <t>Suite 510,2 Jane Street,Toronto ON  M6S 4W3</t>
  </si>
  <si>
    <t>(416) 766-7288</t>
  </si>
  <si>
    <t>First certificate of registration issued: Postgraduate Education Certificate||Effective:   25 Jun 1982
Expired: Terms and conditions of certificate of registration||Expiry:      13 Jun 1983
Subsequent certificate of registration Issued: Postgraduate Education Certificate||Effective:   01 Jul 1987
Transfer of class of registration to: Independent Practice Certificate||Effective:   18 Jun 1991</t>
  </si>
  <si>
    <t>28978</t>
  </si>
  <si>
    <t>(416) 813-7533</t>
  </si>
  <si>
    <t>First certificate of registration issued: Postgraduate Education Certificate||Effective:   18 Jun 1975
Transfer of class of registration to: Independent Practice Certificate||Effective:   08 Mar 1977</t>
  </si>
  <si>
    <t>101171</t>
  </si>
  <si>
    <t xml:space="preserve">Active Member as of 31 Aug 2018 </t>
  </si>
  <si>
    <t xml:space="preserve">Independent Practice as of 31 Aug 2018 </t>
  </si>
  <si>
    <t>Psychiatry||Effective: 28 Aug 2018||RCPSC Specialist</t>
  </si>
  <si>
    <t>McMaster University, 01 Jul 2013  to 30 Jun 2014|PostGrad Yr 1 - Psychiatry
McMaster University, 01 Jul 2014  to 30 Jun 2015|PostGrad Yr 2 - Psychiatry
McMaster University, 01 Jul 2015  to 30 Jun 2016|PostGrad Yr 3 - Psychiatry
McMaster University, 01 Jul 2016  to 30 Jun 2017|PostGrad Yr 4 - Psychiatry
McMaster University, 01 Jul 2017  to 28 Aug 2017|PostGrad Yr 4 - Psychiatry
McMaster University, 29 Aug 2017  to 30 Jun 2018|PostGrad Yr 5 - Psychiatry
McMaster University, 01 Jul 2018  to 28 Aug 2018|PostGrad Yr 5 - Psychiatry</t>
  </si>
  <si>
    <t>First certificate of registration issued: Postgraduate Education Certificate||Effective:   01 Jul 2013
Expired: Terms and conditions of certificate of registration||Expiry:      28 Aug 2018
Subsequent certificate of registration Issued: Independent Practice Certificate||Effective:   31 Aug 2018</t>
  </si>
  <si>
    <t>50558</t>
  </si>
  <si>
    <t>1849 Yonge Street Suite 703,Toronto ON  M4S 1Y2</t>
  </si>
  <si>
    <t>(416) 544-1999</t>
  </si>
  <si>
    <t>1849 Yonge Street,Suite 711,Toronto,Toronto ON  M4S 1Y2,Canada,Phone:(416) 304-1779,County:City of Toronto,Electoral District:10</t>
  </si>
  <si>
    <t>97699</t>
  </si>
  <si>
    <t>Chackery-Palmieri, Rosemary Crystal (used until: 07 Jun 2017 )</t>
  </si>
  <si>
    <t>201 Georgian Drive,Royal Victoria Hospital,Barrie ON  L4M6M2</t>
  </si>
  <si>
    <t>705-728-9090</t>
  </si>
  <si>
    <t>32775</t>
  </si>
  <si>
    <t xml:space="preserve">Independent Practice as of 07 Aug 1981 </t>
  </si>
  <si>
    <t>The University of Manitoba, 1980</t>
  </si>
  <si>
    <t>358 Ontario St,Toronto ON  M5A 2V7</t>
  </si>
  <si>
    <t>(416) 920-7355</t>
  </si>
  <si>
    <t>First certificate of registration issued: Postgraduate Education Certificate||Effective:   01 Jul 1980
Transfer of class of registration to: Independent Practice Certificate||Effective:   07 Aug 1981</t>
  </si>
  <si>
    <t>76840</t>
  </si>
  <si>
    <t xml:space="preserve">Active Member as of 10 Jul 2001 </t>
  </si>
  <si>
    <t xml:space="preserve">Independent Practice as of 10 Jul 2001 </t>
  </si>
  <si>
    <t>Medical Academy  Sofia, 1983</t>
  </si>
  <si>
    <t>Providence Care,Mental Health Services,Postal Bag 603,752 King Street West,Kingston ON  K7L 4X3</t>
  </si>
  <si>
    <t>(613) 548-5567 Ext. 5402</t>
  </si>
  <si>
    <t>(613) 540-6114</t>
  </si>
  <si>
    <t>First certificate of registration issued: Independent Practice Certificate||Effective:   10 Jul 2001</t>
  </si>
  <si>
    <t>Dr. Roumen Milev Medicine Professional Corporation</t>
  </si>
  <si>
    <t>Issued Date:  Jun 01 2006</t>
  </si>
  <si>
    <t>Dr. R. Milev (CPSO# 76840)</t>
  </si>
  <si>
    <t>Providence Care - Mental Health Services,752 King Street West,Kingston ON  K7L 4X3,(613) 546-1101
Providence Care - Mental Health Services,752 King Street West,Kingston ON  K7L 4X3,(613) 546-110</t>
  </si>
  <si>
    <t>Adil Al-Mousawi Medicine Professional Corporation</t>
  </si>
  <si>
    <t>Inactive: Sep 29 2016</t>
  </si>
  <si>
    <t>Yuhuan Xie Medicine Professional Corporation</t>
  </si>
  <si>
    <t>Inactive: Jan  6 2017</t>
  </si>
  <si>
    <t>111857</t>
  </si>
  <si>
    <t xml:space="preserve">Active Member as of 01 Jul 2018 </t>
  </si>
  <si>
    <t xml:space="preserve">Postgraduate Education as of 01 Jul 2018 </t>
  </si>
  <si>
    <t>C A M H,Department of Forensic Psychiatry,1001 Queens St W,Toronto ON  M6J 1H4</t>
  </si>
  <si>
    <t>University of Toronto, 04 Jul 2017  to 29 Sep 2017|Elective Trainee - Psychiatry
University of Toronto, 01 Jul 2018  to 30 Jun 2019|PostGrad Yr 6 - Forensic Psychiatry</t>
  </si>
  <si>
    <t>First certificate of registration issued: Postgraduate Education Certificate||Effective:   04 Jul 2017
Expired: Terms and conditions of certificate of registration||Expiry:      29 Sep 2017
Subsequent certificate of registration Issued: Postgraduate Education Certificate||Effective:   01 Jul 2018</t>
  </si>
  <si>
    <t>21563</t>
  </si>
  <si>
    <t xml:space="preserve">Active Member as of 29 Jul 1968 </t>
  </si>
  <si>
    <t xml:space="preserve">Independent Practice as of 29 Jul 1968 </t>
  </si>
  <si>
    <t>340 College Street,Suite 270,Toronto ON  M5T 3A9</t>
  </si>
  <si>
    <t>(416) 603-1435</t>
  </si>
  <si>
    <t>First certificate of registration issued: Postgraduate Education Certificate||Effective:   01 Jul 1963
Transfer of class of registration to: Independent Practice Certificate||Effective:   29 Jul 1968</t>
  </si>
  <si>
    <t>92276</t>
  </si>
  <si>
    <t xml:space="preserve">Active Member as of 17 Aug 2011 </t>
  </si>
  <si>
    <t xml:space="preserve">Independent Practice as of 17 Aug 2011 </t>
  </si>
  <si>
    <t>Baskirian State Medical University, 1996</t>
  </si>
  <si>
    <t>Rouge Valley Health System,Centenary Site,Shoniker Clinic,2877A Ellesmere Road,Scarborough ON  M1E 4C1</t>
  </si>
  <si>
    <t>First certificate of registration issued: Restricted certificate||Effective:   20 Nov 2009
Terms and conditions imposed on certificate by Registration Committee||Effective:   20 Nov 2009
Expiry date attached to certificate of registration.||Expiry Date: 19 Nov 2012
Expired: Terms and conditions imposed on certificate by Registration Committee||Effective:   17 Aug 2011
Subsequent certificate of registration Issued: Independent Practice Certificate||Effective:   17 Aug 2011</t>
  </si>
  <si>
    <t>Dr. Ruben Gagarin Medicine Professional Corporation</t>
  </si>
  <si>
    <t>Issued Date:  Jan 19 2012</t>
  </si>
  <si>
    <t>Dr. R. Gagarin (CPSO# 92276)</t>
  </si>
  <si>
    <t>Rouge Valley Health System,Centenary Site,Shoniker Clinic,2877A Ellesmere Road,Scarborough ON  M1E 4C1,(416) 281-7301</t>
  </si>
  <si>
    <t>42436</t>
  </si>
  <si>
    <t xml:space="preserve">Independent Practice as of 07 Feb 1992 </t>
  </si>
  <si>
    <t>English, Filipino, Ilocano, Tagalog</t>
  </si>
  <si>
    <t>University of The East Philippines, 1972</t>
  </si>
  <si>
    <t>Royal Ottawa Mental Health Center,Ottawa ON  K1Z 7K4</t>
  </si>
  <si>
    <t>St Lawrence Valley Correctional &amp;,Treatment Centre-Secure Treatment U,1804 Highway 2 East,PO Box 1050,Brockville ON  K6V 5W7,Canada,Phone:(613) 341-2870 Ext. 1328,Fax:(613) 341-2882,County:County of Leeds and Grenville,Electoral District:06</t>
  </si>
  <si>
    <t>First certificate of registration issued: Postgraduate Education Certificate||Effective:   01 Jul 1975
Expired: Terms and conditions of certificate of registration||Expiry:      30 Jun 1981
Subsequent certificate of registration Issued: Hospital Practice Certificate||Effective:   01 Jul 1981
Transfer of class of registration to: Independent Practice Certificate||Effective:   07 Feb 1992</t>
  </si>
  <si>
    <t>Balmaceda Medicine Professional Corporation</t>
  </si>
  <si>
    <t>Issued Date:  Aug 23 2007</t>
  </si>
  <si>
    <t>Dr. R. Balmaceda (CPSO# 42436)</t>
  </si>
  <si>
    <t>Royal Ottawa Hospital,1145 Carling Avenue,Ottawa ON  K1Z 7K4,(613) 722-6521
1804 Highway #2 East,1804 Highway #2 East,Brockville ON  K6V 7N2,(613) 341-2870</t>
  </si>
  <si>
    <t>32076</t>
  </si>
  <si>
    <t xml:space="preserve">Active Member as of 14 Nov 1980 </t>
  </si>
  <si>
    <t xml:space="preserve">Independent Practice as of 14 Nov 1980 </t>
  </si>
  <si>
    <t>Fatima Jinnah Medical College, 1973</t>
  </si>
  <si>
    <t>175 Glen Road,Toronto ON  M4W 2W8</t>
  </si>
  <si>
    <t>(416) 929-1510</t>
  </si>
  <si>
    <t>(416) 920-2230</t>
  </si>
  <si>
    <t>First certificate of registration issued: Postgraduate Education Certificate||Effective:   06 Jul 1979
Transfer of class of registration to: Independent Practice Certificate||Effective:   14 Nov 1980</t>
  </si>
  <si>
    <t>Rukhsana N. Bukhari Medicine Professional Corporation</t>
  </si>
  <si>
    <t>Issued Date:  Apr 23 2007</t>
  </si>
  <si>
    <t>Dr. R. Bukhari (CPSO# 32076)</t>
  </si>
  <si>
    <t>175 Glen Road,Toronto ON  M4W 2W8,(416) 929-1510</t>
  </si>
  <si>
    <t>53238</t>
  </si>
  <si>
    <t xml:space="preserve">Independent Practice as of 28 Sep 1987 </t>
  </si>
  <si>
    <t>Southwest Centre,401 Sunset Drive,St. Thomas, Ontario,N5R 3C6,St Thomas ON  N5P 3V9</t>
  </si>
  <si>
    <t>(519) 631-8510 Ext. 49467</t>
  </si>
  <si>
    <t>(519) 631-7527</t>
  </si>
  <si>
    <t>510 Southdale Road East,Suite 301,London ON  N6E 1A5,Canada,Phone:(519) 690-2806 Ext. 4,Fax:(519) 690-2807,County:County of Middlesex,Electoral District:02</t>
  </si>
  <si>
    <t>First certificate of registration issued: Postgraduate Education Certificate||Effective:   01 Jul 1983
Transfer of class of registration to: Hospital Practice Certificate||Effective:   02 Jul 1987
Transfer of class of registration to: Independent Practice Certificate||Effective:   28 Sep 1987</t>
  </si>
  <si>
    <t>Afzal Mohammed Medicine Professional Corporation</t>
  </si>
  <si>
    <t>Issued Date:  Dec 21 2005</t>
  </si>
  <si>
    <t>Dr. A. Mohammed (CPSO# 53110),Dr. R. Roopchand (CPSO# 53238)</t>
  </si>
  <si>
    <t>510 Southdale Road East,London ON  N6E 0B2,(519) 690-2808
401 Sunset Drive,401 Sunset Drive,St Thomas ON  N5P 3V9,(519) 631-8510</t>
  </si>
  <si>
    <t>94059</t>
  </si>
  <si>
    <t xml:space="preserve">Active Member as of 22 Jun 2016 </t>
  </si>
  <si>
    <t>Government Medical College, 2004</t>
  </si>
  <si>
    <t>(905) 895-4521</t>
  </si>
  <si>
    <t>390 STEELES AVE WEST,Suite # 208,Thornhill ON  L4J 6X2,Canada,Phone:9057099696,Fax:(905) 709-9764,County:Regional Municipality of York,Electoral District:05
2100 Bovaird Dr E,Brampton ON  L6R3J7,Canada,Phone:9054942120,County:Regional Municipality of Peel,Electoral District:05</t>
  </si>
  <si>
    <t>Southlake Regional Health Centre:Newmarket
William Osler Health Centre-Brampton Civic Hospital:Brampton</t>
  </si>
  <si>
    <t>Queen's University, 01 Jul 2010  to 22 Sep 2010|Assessment Verification Period - Psychiatry
Queen's University, 23 Sep 2010  to 30 Jun 2011|PostGrad Yr 1 - Psychiatry
Queen's University, 01 Jul 2011  to 30 Jun 2012|PostGrad Yr 2 - Psychiatry
Queen's University, 01 Jul 2012  to 11 Feb 2013|PostGrad Yr 2 - Psychiatry
Queen's University, 12 Feb 2013  to 30 Jun 2013|PostGrad Yr 3 - Psychiatry
Queen's University, 01 Jul 2013  to 11 Feb 2014|PostGrad Yr 3 - Psychiatry
Queen's University, 12 Feb 2014  to 30 Jun 2014|PostGrad Yr 4 - Psychiatry
Queen's University, 01 Jul 2014  to 11 Feb 2015|PostGrad Yr 4 - Psychiatry
Queen's University, 12 Feb 2015  to 30 Jun 2015|PostGrad Yr 5 - Psychiatry
Queen's University, 01 Jul 2015  to 11 Feb 2016|PostGrad Yr 5 - Psychiatry</t>
  </si>
  <si>
    <t>First certificate of registration issued: Pre Entry Assessment Program Certificate||Effective:   01 Jul 2010
Expired: Terms and conditions of certificate of registration||Expiry:      22 Sep 2010
Subsequent certificate of registration Issued: Postgraduate Education Certificate||Effective:   23 Sep 2010
Expired: Terms and conditions of certificate of registration||Expiry:      14 Nov 2014
Subsequent certificate of registration issued: Restricted certificate||Effective:   14 Nov 2014
Terms and conditions amended by Registration Committee||Effective:   12 Jun 2015
Expired: Terms and conditions imposed on certificate by Registration Committee||Effective:   11 Feb 2016
Subsequent certificate of registration Issued: Independent Practice Certificate||Effective:   22 Jun 2016</t>
  </si>
  <si>
    <t>Singh &amp; Johal Medicine Professional Corporation</t>
  </si>
  <si>
    <t>Issued Date:  Sep 06 2013</t>
  </si>
  <si>
    <t>Dr. R. Johal (CPSO# 94059),Dr. G. Singh (CPSO# 99651)</t>
  </si>
  <si>
    <t>2945 Sandalwood Parkway,Brampton ON  L6R 3J6,(905) 463-1337
90 Resolution Drive,90 Resolution Drive,Brampton ON  L6W 0A7,(416) 883-3877
107-10095 Bramalea Road,107-10095 Bramalea Road,Brampton ON  L6R 0K1,(905) 793-3311
596 Davis Drive,596 Davis Drive,Newmarket ON  L3Y 2P9</t>
  </si>
  <si>
    <t>52531</t>
  </si>
  <si>
    <t xml:space="preserve">Independent Practice as of 30 Aug 1984 </t>
  </si>
  <si>
    <t>Suite 400,36 King Street East,Toronto ON  M5C 3B2</t>
  </si>
  <si>
    <t>647-256-6710</t>
  </si>
  <si>
    <t>647-256-6601</t>
  </si>
  <si>
    <t>First certificate of registration issued: Postgraduate Education Certificate||Effective:   13 Jun 1983
Transfer of class of registration to: Independent Practice Certificate||Effective:   30 Aug 1984</t>
  </si>
  <si>
    <t>27759</t>
  </si>
  <si>
    <t xml:space="preserve">Active Member as of 28 Aug 1975 </t>
  </si>
  <si>
    <t xml:space="preserve">Independent Practice as of 28 Aug 1975 </t>
  </si>
  <si>
    <t>The Hospital for Sick Children,555 University Avenue,Department of Psychiatry,Toronto ON  M5G 1X8</t>
  </si>
  <si>
    <t>(416) 813-6564</t>
  </si>
  <si>
    <t>57 Castlewood Road,Toronto ON  M5N 2L1,Canada,Phone:(416) 894-2862,County:City of Toronto,Electoral District:10</t>
  </si>
  <si>
    <t>First certificate of registration issued: Postgraduate Education Certificate||Effective:   01 Jul 1971
Transfer of class of registration to: Independent Practice Certificate||Effective:   28 Aug 1975</t>
  </si>
  <si>
    <t>62134</t>
  </si>
  <si>
    <t>Scottsdale Insomnia and,Sleep Medicine,8149 North 87th Place,Suite 109,Scottsdale AZ  85258,United States</t>
  </si>
  <si>
    <t>(480) 467-0300</t>
  </si>
  <si>
    <t>British Columbia
USA - Arizona
USA - California</t>
  </si>
  <si>
    <t>University of Toronto, 11 Jun 1990  to 17 Jun 1991|Other - Comprehensive Internship
University of Toronto, 01 Jul 1991  to 30 Jun 1992|Resident 1 - Psychiatry
University of Toronto, 01 Jul 1992  to 30 Jun 1993|Resident 2 - Psychiatry
University of Toronto, 01 Jul 1993  to 30 Jun 1994|Resident 3 - Psychiatry
University of Toronto, 01 Jul 1994  to 30 Jun 1995|Resident 4 - Psychiatry</t>
  </si>
  <si>
    <t>First certificate of registration issued: Postgraduate Education Certificate||Effective:   11 Jun 1990
Transfer of class of registration to: Independent Practice Certificate||Effective:   11 Jul 1991</t>
  </si>
  <si>
    <t>100656</t>
  </si>
  <si>
    <t>City Centre Health Care,1400 Windsor Ave,Windsor ON  N9E 4K5</t>
  </si>
  <si>
    <t>(519) 971-0116</t>
  </si>
  <si>
    <t>The University of Western Ontario, 01 Jul 2013  to 30 Jun 2014|PostGrad Yr 1 - Psychiatry
The University of Western Ontario, 01 Jul 2014  to 30 Jun 2015|PostGrad Yr 2 - Psychiatry
The University of Western Ontario, 01 Jul 2015  to 30 Jun 2016|PostGrad Yr 3 - Psychiatry
The University of Western Ontario, 01 Jul 2016  to 30 Jun 2017|PostGrad Yr 4 - Psychiatry
The University of Western Ontario, 01 Jul 2017  to 30 Jun 2018|PostGrad Yr 5 - Psychiatry</t>
  </si>
  <si>
    <t>55275</t>
  </si>
  <si>
    <t xml:space="preserve">Independent Practice as of 20 Oct 1988 </t>
  </si>
  <si>
    <t>377 Church Street,Suite 408,Markham ON  L6B 1A1</t>
  </si>
  <si>
    <t>Markham Stouffville Hospital,381 Church Street,Markham ON  L6B 1A1,Canada,Phone:(905) 472-7000,County:Regional Municipality of York,Electoral District:05</t>
  </si>
  <si>
    <t>First certificate of registration issued: Postgraduate Education Certificate||Effective:   01 Jul 1985
Transfer of class of registration to: Independent Practice Certificate||Effective:   20 Oct 1988</t>
  </si>
  <si>
    <t>R. Sethna Medicine Professional Corporation</t>
  </si>
  <si>
    <t>Dr. R. Sethna (CPSO# 55275)</t>
  </si>
  <si>
    <t>43790</t>
  </si>
  <si>
    <t xml:space="preserve">Independent Practice as of 04 May 1987 </t>
  </si>
  <si>
    <t>Queen's University, 1980</t>
  </si>
  <si>
    <t>5488 Woodeden Drive,Manotick ON  K4M 1B4</t>
  </si>
  <si>
    <t>(613) 692-0610</t>
  </si>
  <si>
    <t>(613) 692-1402</t>
  </si>
  <si>
    <t>University of Toronto, 24 Jun 1980  to 23 Jun 1981|Other - Rotating Internship
University of Ottawa, 01 Jul 1986  to 30 Jun 1987|Resident 1 - Psychiatry
University of Ottawa, 01 Jul 1987  to 30 Jun 1988|Resident 2 - Psychiatry
University of Ottawa, 01 Jul 1988  to 30 Jun 1989|Resident 4 - Psychiatry</t>
  </si>
  <si>
    <t>First certificate of registration issued: Postgraduate Education Certificate||Effective:   24 Jun 1980
Expired: Terms and conditions of certificate of registration||Expiry:      24 Jun 1981
Subsequent certificate of registration Issued: Postgraduate Education Certificate||Effective:   01 Jul 1986
Transfer of class of registration to: Independent Practice Certificate||Effective:   04 May 1987</t>
  </si>
  <si>
    <t>Biggar Medicine Professional Corporation</t>
  </si>
  <si>
    <t>Issued Date:  Dec 17 2008</t>
  </si>
  <si>
    <t>Dr. R. Biggar (CPSO# 43790)</t>
  </si>
  <si>
    <t>5488 Woodeden Drive,Manotick ON  K4M 1B4,(613) 692-0610</t>
  </si>
  <si>
    <t>70520</t>
  </si>
  <si>
    <t>London Health Sciences Centre,University Hospital,339 Windermere Road,P O Box 5339,London ON  N6A 5A5</t>
  </si>
  <si>
    <t>(519) 663-3306</t>
  </si>
  <si>
    <t>(519) 663-3927</t>
  </si>
  <si>
    <t>Parkwood Institute,Arthur J Hobbins Bldg, Zone B Level,Room B2-155,550 Wellington Road,London ON  N6C 0A7,Canada,Phone:(519)685-4000 Ext. 42399,County:County of Middlesex,Electoral District:02</t>
  </si>
  <si>
    <t>The University of Western Ontario, 01 Jul 1996  to 31 Dec 1996|PostGrad Yr 1 - Neuropathology
The University of Western Ontario, 01 Jan 1997  to 30 Jun 1997|PostGrad Yr 1 - Psychiatry
The University of Western Ontario, 01 Jul 1997  to 30 Jun 1998|PostGrad Yr 2 - Psychiatry
The University of Western Ontario, 01 Jul 1998  to 30 Jun 1999|PostGrad Yr 3 - Psychiatry
The University of Western Ontario, 01 Jul 1999  to 30 Jun 2000|PostGrad Yr 4 - Psychiatry</t>
  </si>
  <si>
    <t>First certificate of registration issued: Postgraduate Education Certificate||Effective:   01 Jul 1996
Transfer of class of registration to: Independent Practice Certificate||Effective:   30 Jun 2000</t>
  </si>
  <si>
    <t>Dr. Ruth Lanius Medicine Professional Corporation</t>
  </si>
  <si>
    <t>Issued Date:  Oct 01 2003</t>
  </si>
  <si>
    <t>Dr. R. Lanius (CPSO# 70520)</t>
  </si>
  <si>
    <t>Parkwood Hospital OSI Clinic,Duite D3-016,550 Wellington Road,London ON  N6C 0A7,(519) 685-4292
London Health Sciences Centre - University Hospita,London Health Sciences Centre - University Hospita,Room C3-103,339 Windermere Road,London ON  N6A 5A5,(519) 663-3306</t>
  </si>
  <si>
    <t>30818</t>
  </si>
  <si>
    <t xml:space="preserve">Active Member as of 25 Jun 1979 </t>
  </si>
  <si>
    <t xml:space="preserve">Independent Practice as of 25 Jun 1979 </t>
  </si>
  <si>
    <t>English, Hebrew, Hungarian, Romanian</t>
  </si>
  <si>
    <t>(416) 469-6580 Ext. 6196</t>
  </si>
  <si>
    <t>Suite 6,208 Saint Clair Avenue West,Toronto ON  M4V 1R2,Canada,Phone:(416) 924-9837,Fax:(416) 782-1732,County:City of Toronto,Electoral District:10</t>
  </si>
  <si>
    <t>First certificate of registration issued: Postgraduate Education Certificate||Effective:   18 Jun 1976
Transfer of class of registration to: Independent Practice Certificate||Effective:   25 Jun 1979</t>
  </si>
  <si>
    <t>78016</t>
  </si>
  <si>
    <t xml:space="preserve">Active Member as of 02 Dec 2008 </t>
  </si>
  <si>
    <t xml:space="preserve">Independent Practice as of 02 Dec 2008 </t>
  </si>
  <si>
    <t>458 MacLaren Street, Ground floor,Ottawa ON  K1R 5K6</t>
  </si>
  <si>
    <t>(613) 230-0029</t>
  </si>
  <si>
    <t>Psychiatry||Effective: 30 Nov 2008||RCPSC Specialist</t>
  </si>
  <si>
    <t>University of Ottawa, 01 Jul 2002  to 30 Jun 2003|PostGrad Yr 1 - Psychiatry
University of Ottawa, 01 Jul 2003  to 10 Mar 2004|PostGrad Yr 1 - Psychiatry
University of Ottawa, 11 Mar 2004  to 30 Jun 2004|PostGrad Yr 2 - Psychiatry
University of Ottawa, 01 Jul 2004  to 04 Apr 2005|PostGrad Yr 2 - Psychiatry
University of Ottawa, 05 Apr 2005  to 30 Jun 2005|PostGrad Yr 3 - Psychiatry
University of Ottawa, 01 Jul 2005  to 30 Jun 2006|PostGrad Yr 3 - Psychiatry
University of Ottawa, 01 Jul 2006  to 04 Mar 2007|PostGrad Yr 3 - Psychiatry
University of Ottawa, 05 Mar 2007  to 30 Jun 2007|PostGrad Yr 4 - Psychiatry
University of Ottawa, 01 Jul 2007  to 30 Nov 2007|PostGrad Yr 4 - Psychiatry
University of Ottawa, 01 Dec 2007  to 30 Nov 2008|PostGrad Yr 5 - Psychiatry</t>
  </si>
  <si>
    <t>First certificate of registration issued: Postgraduate Education Certificate||Effective:   01 Jul 2002
Expired: Terms and conditions of certificate of registration||Expiry:      30 Nov 2008
Subsequent certificate of registration Issued: Independent Practice Certificate||Effective:   02 Dec 2008</t>
  </si>
  <si>
    <t>31022</t>
  </si>
  <si>
    <t xml:space="preserve">Active Member as of 31 Jul 1979 </t>
  </si>
  <si>
    <t>12 valleymede rd,Toronto ON  M6S 1G9</t>
  </si>
  <si>
    <t>416-769-3541</t>
  </si>
  <si>
    <t>First certificate of registration issued: Postgraduate Education Certificate||Effective:   23 Jun 1978
Transfer of class of registration to: Independent Practice Certificate||Effective:   31 Jul 1979</t>
  </si>
  <si>
    <t>72388</t>
  </si>
  <si>
    <t>Department of Psychiatry,Ottawa Hospital - General Campus,501 Smyth Road,Ottawa ON  K1H 8L6</t>
  </si>
  <si>
    <t>Royal Ottawa Hospital,1145 Carling Avenue,Ottawa ON  K1Z 7K4,Canada,County:Regional Municipality of Ottawa-Carleton,Electoral District:07
1053 Carling Avenue,Ottawa ON  K1Y4E9,Canada,Phone:6137227000,County:Regional Municipality of Ottawa-Carleton,Electoral District:07</t>
  </si>
  <si>
    <t>Antochi Medicine Professional Corporation</t>
  </si>
  <si>
    <t>Issued Date:  Jan 22 2009</t>
  </si>
  <si>
    <t>Dr. R. Antochi (CPSO# 72388)</t>
  </si>
  <si>
    <t>Ottawa Hospital- General Campus,Department of Psychiatry,501 Smyth Road,Ottawa ON  K1H 8L6,(613) 737-8899
1053 Carling Avenue,1053 Carling Avenue,Ottawa ON  K1Y 4E9,(613) 722-7000
Royal Ottawa Hospital,Royal Ottawa Hospital,1145 Carling Avenue,Ottawa ON  K1Z 7K4,(613) 722-6521</t>
  </si>
  <si>
    <t>81968</t>
  </si>
  <si>
    <t xml:space="preserve">Active Member as of 04 Oct 2004 </t>
  </si>
  <si>
    <t xml:space="preserve">Independent Practice as of 04 Oct 2004 </t>
  </si>
  <si>
    <t>University of Belgrade, 1983</t>
  </si>
  <si>
    <t>Mood Disorders Research and,Treatment Service - Providence Care,752 King Street West,P O Box 603,Kingston ON  K7L 4X3</t>
  </si>
  <si>
    <t>(613) 544 4900 Ext. 51196</t>
  </si>
  <si>
    <t>First certificate of registration issued: Independent Practice Certificate||Effective:   04 Oct 2004</t>
  </si>
  <si>
    <t>R. Jokic Medicine Professional Corporation</t>
  </si>
  <si>
    <t>Issued Date:  Aug 08 2006</t>
  </si>
  <si>
    <t>Dr. R. Jokic (CPSO# 81968)</t>
  </si>
  <si>
    <t>Providence Continuing Care Centre,Mental Health Services,752 King Street West,Kingston ON  K7L 4X3,(613) 546-1101</t>
  </si>
  <si>
    <t>91448</t>
  </si>
  <si>
    <t>CAMH Bell Gateway Building,Mood and Anxiety Services,100 Stokes Street,Toronto ON  M6J 1H4</t>
  </si>
  <si>
    <t>(416) 535-8501 Ext. 39148</t>
  </si>
  <si>
    <t>(416) 979-6821</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</si>
  <si>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Psychiatry
University of Toronto, 01 Jul 2014  to 15 Jul 2014|PostGrad Yr 5 - Psychiatry</t>
  </si>
  <si>
    <t>First certificate of registration issued: Postgraduate Education Certificate||Effective:   01 Jul 2009
Expired: Terms and conditions of certificate of registration||Expiry:      15 Jul 2014
Subsequent certificate of registration Issued: Independent Practice Certificate||Effective:   01 Aug 2014</t>
  </si>
  <si>
    <t>Ryan Klein Medicine Professional Corporation</t>
  </si>
  <si>
    <t>Issued Date:  Jul 24 2018</t>
  </si>
  <si>
    <t>Dr. R. Klein (CPSO# 91448)</t>
  </si>
  <si>
    <t>91142</t>
  </si>
  <si>
    <t>692 Euclid Avenue,Toronto ON  M6G 2T9</t>
  </si>
  <si>
    <t>647-478-9865</t>
  </si>
  <si>
    <t>Sault Area Hospital,750 Great Northern Road,Sault Ste Marie ON  P6B 0A8,Canada,Phone:705-759-3434,County:Territorial District of Algoma,Electoral District:08</t>
  </si>
  <si>
    <t>Peterborough Regional Health Centre:Peterborough
Sault Area Hospital:Sault Ste Marie
Timmins and District Hospital:Timmins</t>
  </si>
  <si>
    <t>80838</t>
  </si>
  <si>
    <t>Womens Health Concerns Clinic,St Josephs Healthcare Hamilton,100 West 5th Street, Room C142,Hamilton ON  L8N 3K7</t>
  </si>
  <si>
    <t>(905) 522-1155 Ext. 35123</t>
  </si>
  <si>
    <t>(905) 381-5629</t>
  </si>
  <si>
    <t>McMaster University, 01 Jul 2004  to 30 Jun 2005|PostGrad Yr 1 - Psychiatry
McMaster University, 01 Jul 2005  to 30 Jun 2006|PostGrad Yr 2 - Psychiatry
McMaster University, 01 Jul 2006  to 30 Jun 2007|PostGrad Yr 3 - Psychiatry
McMaster University, 01 Jul 2007  to 30 Jun 2008|PostGrad Yr 4 - Psychiatry
McMaster University, 01 Jul 2008  to 30 Jun 2009|PostGrad Yr 5 - Psychiatry
McMaster University, 01 Jul 2009  to 30 Jun 2010|Clinical Fellow - Psychiatry
McMaster University, 01 Jul 2010  to 30 Jun 2011|Clinical Fellow - Psychiatry
McMaster University, 01 Jul 2011  to 30 Jun 2012|Clinical Fellow - Psychiatry
McMaster University, 01 Jul 2012  to 30 Jun 2013|Clinical Fellow - Psychiatry</t>
  </si>
  <si>
    <t>R.J. Van Lieshout Medicine Professional Corporation</t>
  </si>
  <si>
    <t>Dr. R. Van Lieshout (CPSO# 80838)</t>
  </si>
  <si>
    <t>Women's Health Concerns Clinic,St. Joseph's Healthcare Hamilton,West 5th Campus-Room C142,100 West 5th Street,Hamilton ON  L8N 3K7,(905) 522-1155</t>
  </si>
  <si>
    <t>100535</t>
  </si>
  <si>
    <t xml:space="preserve">Active Member as of 30 May 2013 </t>
  </si>
  <si>
    <t xml:space="preserve">Restricted as of 30 May 2013 </t>
  </si>
  <si>
    <t>Rawalpindi Medical College, 2000</t>
  </si>
  <si>
    <t>Cambridge Memorial Hospital,Department of Psychiatry,700 Coronation Boulevard,Cambridge ON  N1R 3G2</t>
  </si>
  <si>
    <t>USA - Kansas
USA - Michigan</t>
  </si>
  <si>
    <t>Psychiatry||Effective: 30 May 2013||CPSO Recognized Specialist</t>
  </si>
  <si>
    <t>First certificate of registration issued: Restricted certificate||Effective:   30 May 2013
Terms and conditions imposed on certificate by Registration Committee||Effective:   30 May 2013
Expiry date attached to certificate of registration.||Expiry Date: 29 Nov 2014
Terms and conditions amended by Registration Committee||Effective:   16 Oct 2014
Terms and conditions amended by Registration Committee||Effective:   04 Feb 2015
Terms and conditions amended by Registration Committee||Effective:   08 Oct 2015
Expiry date removed from certificate of registration.||Effective:   08 Oct 2015</t>
  </si>
  <si>
    <t>87545</t>
  </si>
  <si>
    <t xml:space="preserve">Active Member as of 03 Aug 2007 </t>
  </si>
  <si>
    <t xml:space="preserve">Independent Practice as of 03 Aug 2007 </t>
  </si>
  <si>
    <t>Ryerson Medical Centre,Suite 181 West Key Hall,350 Victoria Street,Toronto ON  M5B 2K3</t>
  </si>
  <si>
    <t>(416) 979-5070</t>
  </si>
  <si>
    <t>First certificate of registration issued: Independent Practice Certificate||Effective:   03 Aug 2007</t>
  </si>
  <si>
    <t>Dr. Sabeena Chopra Medicine Professional Corporation</t>
  </si>
  <si>
    <t>Issued Date:  Jan 14 2014</t>
  </si>
  <si>
    <t>Dr. S. Chopra (CPSO# 87545)</t>
  </si>
  <si>
    <t>Ryerson Medical Centre,West Key Hall,181 - 350 Victoria Street,Toronto ON  M5B 2K3,(416) 979-5070</t>
  </si>
  <si>
    <t>59832</t>
  </si>
  <si>
    <t>University of Buenos Aires, 1978</t>
  </si>
  <si>
    <t>Canadian Forces Health,Services Centre,C F B Kingston,PO Box 17000 Station Forces,Kingston ON  K7K 7B4</t>
  </si>
  <si>
    <t>(613) 541-4465</t>
  </si>
  <si>
    <t>Brockville General Hospital,PO Box 1050,Brockville ON  K6V 5W7,Canada,Phone:(613) 345-5645,County:County of Leeds and Grenville,Electoral District:06</t>
  </si>
  <si>
    <t>First certificate of registration issued: Postgraduate Education Certificate||Effective:   01 Jul 1988
Transfer of class of registration to: Independent Practice Certificate||Effective:   19 Dec 1989</t>
  </si>
  <si>
    <t>Sabina Jadot Medicine Professional Corporation</t>
  </si>
  <si>
    <t>Issued Date:  Sep 07 2006</t>
  </si>
  <si>
    <t>Dr. S. Jadot (CPSO# 59832)</t>
  </si>
  <si>
    <t>Canadian Forces Health Services Centre,CFB Kingston 33CF,PO Box 17000 Station Forces,Kingston ON  K7K 7B4,(613) 541-5010</t>
  </si>
  <si>
    <t>111292</t>
  </si>
  <si>
    <t xml:space="preserve">Active Member as of 22 Dec 2016 </t>
  </si>
  <si>
    <t xml:space="preserve">Independent Practice as of 22 Dec 2016 </t>
  </si>
  <si>
    <t>100 West 5th Street,Women's Health Concerns Clinic,Hamilton ON  L9C 0E3</t>
  </si>
  <si>
    <t>778 321 4775</t>
  </si>
  <si>
    <t>First certificate of registration issued: Independent Practice Certificate||Effective:   22 Dec 2016</t>
  </si>
  <si>
    <t>83867</t>
  </si>
  <si>
    <t xml:space="preserve">Active Member as of 28 Nov 2005 </t>
  </si>
  <si>
    <t xml:space="preserve">Academic Practice as of 28 Nov 2005 </t>
  </si>
  <si>
    <t>University of Trieste, 1988</t>
  </si>
  <si>
    <t>Department of Psychiatry,Royal Ottawa Mental Health Centre,1145 Carling Avenue,Ottawa ON  K1Z 7K4</t>
  </si>
  <si>
    <t>Psychiatry||Effective: 20 Oct 2005||RCPSC Specialist</t>
  </si>
  <si>
    <t>First certificate of registration issued: Academic Practice Certificate||Effective:   28 Nov 2005
Expiry date removed from certificate of registration.||Effective:   07 Jul 2010</t>
  </si>
  <si>
    <t>77900</t>
  </si>
  <si>
    <t>1001 Queen Street West,Toronto ON  M6J 1H4</t>
  </si>
  <si>
    <t>Psychiatry||Effective: 15 Aug 2007||RCPSC Specialist</t>
  </si>
  <si>
    <t>McMaster University, 01 Jul 2002  to 30 Jun 2003|PostGrad Yr 1 - Psychiatry
McMaster University, 01 Jul 2003  to 30 Jun 2004|PostGrad Yr 2 - Psychiatry
McMaster University, 01 Jul 2004  to 30 Jun 2005|PostGrad Yr 3 - Psychiatry
McMaster University, 01 Jul 2005  to 30 Jun 2006|PostGrad Yr 4 - Psychiatry
McMaster University, 01 Jul 2006  to 30 Jun 2007|PostGrad Yr 5 - Psychiatry
McMaster University, 01 Jul 2007  to 15 Aug 2007|PostGrad Yr 5 - Psychiatry</t>
  </si>
  <si>
    <t>First certificate of registration issued: Postgraduate Education Certificate||Effective:   01 Jul 2002
Transfer of class of registration to: Independent Practice Certificate||Effective:   15 Aug 2007</t>
  </si>
  <si>
    <t>65979</t>
  </si>
  <si>
    <t xml:space="preserve">Active Member as of 09 Sep 1992 </t>
  </si>
  <si>
    <t xml:space="preserve">Independent Practice as of 09 Sep 1992 </t>
  </si>
  <si>
    <t>University of Madras, 1976</t>
  </si>
  <si>
    <t>Oshawa Clinic,117 King Street East,Oshawa ON  L1H 1B9</t>
  </si>
  <si>
    <t>(905) 721-3529</t>
  </si>
  <si>
    <t>(905) 721-3516</t>
  </si>
  <si>
    <t>First certificate of registration issued: Independent Practice Certificate||Effective:   09 Sep 1992</t>
  </si>
  <si>
    <t>Dr. Sachidanandam Udaya-Shankar Medicine Professional Corporation</t>
  </si>
  <si>
    <t>Issued Date:  Oct 31 2011</t>
  </si>
  <si>
    <t>Dr. S. Udaya Shankar (CPSO# 65979)</t>
  </si>
  <si>
    <t>Oshawa Clinic,117 King Street East,Oshawa ON  L1H 1B9,(905) 721-3529</t>
  </si>
  <si>
    <t>101177</t>
  </si>
  <si>
    <t>Niagara Health System,St Catharines Site,1200 Fourth Ave,St Catharines ON  L2S 0A9</t>
  </si>
  <si>
    <t>106925</t>
  </si>
  <si>
    <t>University of Baghdad, 1997</t>
  </si>
  <si>
    <t>Psychiatry||Effective: 01 Jul 2015||CPSO Recognized Specialist</t>
  </si>
  <si>
    <t>First certificate of registration issued: Restricted certificate||Effective:   01 Jul 2015
Terms and conditions imposed on certificate by Registration Committee||Effective:   01 Jul 2015
Expiry date attached to certificate of registration.||Expiry Date: 31 Dec 2016
Terms and conditions amended by Registration Committee||Effective:   13 Oct 2016
Terms and conditions amended by Registration Committee||Effective:   26 Jan 2017
Terms and conditions amended by Registration Committee||Effective:   19 Apr 2018</t>
  </si>
  <si>
    <t>Dr. Sadeq Al-Sarraf Medicine Professional Corporation</t>
  </si>
  <si>
    <t>Issued Date:  Aug 06 2015</t>
  </si>
  <si>
    <t>Dr. S. Al-Sarraf (CPSO# 106925)</t>
  </si>
  <si>
    <t>78712</t>
  </si>
  <si>
    <t xml:space="preserve">Active Member as of 03 Mar 2008 </t>
  </si>
  <si>
    <t xml:space="preserve">Independent Practice as of 03 Mar 2008 </t>
  </si>
  <si>
    <t>Punjab University, Pakistan, 1993</t>
  </si>
  <si>
    <t>668 Concession Street,Hamilton ON  L8V 4T9</t>
  </si>
  <si>
    <t>(905) 538-4146</t>
  </si>
  <si>
    <t>(905) 538-4147</t>
  </si>
  <si>
    <t>McMaster University, 16 Dec 2002  to 30 Jun 2003|Clinical Fellow - Psychiatry
McMaster University, 01 Jul 2003  to 30 Jun 2004|Clinical Fellow - Psychiatry
McMaster University, 01 Jul 2004  to 30 Jun 2005|Clinical Fellow - Psychiatry</t>
  </si>
  <si>
    <t>First certificate of registration issued: Postgraduate Education Certificate||Effective:   16 Dec 2002
Expired: Terms and conditions of certificate of registration||Expiry:      30 Jun 2005
Subsequent certificate of registration issued: Restricted certificate||Effective:   11 Nov 2005
Expired: Terms and conditions imposed on certificate by Registration Committee||Effective:   03 Mar 2008
Subsequent certificate of registration Issued: Independent Practice Certificate||Effective:   03 Mar 2008</t>
  </si>
  <si>
    <t>Dr. Ammar Gilani Medicine Professional Corporation</t>
  </si>
  <si>
    <t>Issued Date:  Mar 22 2012</t>
  </si>
  <si>
    <t>Dr. A. Gilani (CPSO# 78591),Dr. S. Gilani (CPSO# 78712)</t>
  </si>
  <si>
    <t>Juravinski Hospital,Department of Medicine,,McMaster University-Room A3-12,711 Concession Street,Hamilton ON  L8V 1C3,(905) 521-2100
668 Concession Street,668 Concession Street,Hamilton ON  L8V 4T9,(905) 538-4146</t>
  </si>
  <si>
    <t>77401</t>
  </si>
  <si>
    <t xml:space="preserve">Active Member as of 23 Apr 2002 </t>
  </si>
  <si>
    <t xml:space="preserve">Independent Practice as of 23 Apr 2002 </t>
  </si>
  <si>
    <t>Great Lakes Medical centre,25 Great Lakes drive,Brampton ON  L6R 0J8</t>
  </si>
  <si>
    <t>905-494-0302</t>
  </si>
  <si>
    <t>905-494-0754</t>
  </si>
  <si>
    <t>Mississauga health centre,101-3420 Hurontario street,Mississauga ON  L5B 4A9,Canada,Phone:(905) 272-0165,Fax:(905) 272-4082,County:Regional Municipality of Peel,Electoral District:05
palermo professional centre,suite 260,Oakville ON  L6M 4J2,Canada,Phone:289-837-1116,Fax:289-837-1117,County:Regional Municipality of Halton,Electoral District:04</t>
  </si>
  <si>
    <t>First certificate of registration issued: Independent Practice Certificate||Effective:   23 Apr 2002</t>
  </si>
  <si>
    <t>S. Hasan Medicine Professional Corporation</t>
  </si>
  <si>
    <t>Dr. S. Hasan (CPSO# 77401)</t>
  </si>
  <si>
    <t>Great Lakes Medical Centre,Suite B,25 Great Lakes Drive,Brampton ON  L6R 0J8,(905) 494-0302
Unit 260,Unit 260,2525 Old Bronte Road,Oakville ON  L6M 4J2,(289) 837-1116</t>
  </si>
  <si>
    <t>58880</t>
  </si>
  <si>
    <t>U of Michigan Depression Center,4250 Plymouth Road,Ann Arbor MI  48109-2700,United States</t>
  </si>
  <si>
    <t>(734) 232-0175</t>
  </si>
  <si>
    <t>(734) 763-2015</t>
  </si>
  <si>
    <t>Toronto Western Hospital,399 Bathurst Street,Toronto ON  M5T 2S8,Canada,Phone:(416) 603-5800 Ext. 6508,Fax:(416) 603-5368,County:City of Toronto,Electoral District:10</t>
  </si>
  <si>
    <t>Psychiatry||Effective: 28 Jun 1992||RCPSC Specialist</t>
  </si>
  <si>
    <t>63136</t>
  </si>
  <si>
    <t xml:space="preserve">Active Member as of 29 Jan 1997 </t>
  </si>
  <si>
    <t xml:space="preserve">Independent Practice as of 29 Jan 1997 </t>
  </si>
  <si>
    <t>Ain Shams University, 1982</t>
  </si>
  <si>
    <t>Psychiatry||Effective: 18 Sep 1994||RCPSC Specialist</t>
  </si>
  <si>
    <t>University of Toronto, 01 Jul 1990  to 30 Jun 1991|Resident 1 - Psychiatry
University of Toronto, 01 Jul 1991  to 30 Jun 1992|Resident 2 - Psychiatry
University of Toronto, 01 Jul 1992  to 30 Jun 1993|Resident 3 - Psychiatry
University of Toronto, 01 Jul 1993  to 17 Sep 1993|Resident 3 - Psychiatry
University of Toronto, 18 Sep 1993  to 30 Jun 1994|Resident 4 - Psychiatry
University of Toronto, 01 Jul 1994  to 31 Dec 1994|Resident 4 - Psychiatry</t>
  </si>
  <si>
    <t>First certificate of registration issued: Postgraduate Education Certificate||Effective:   17 Sep 1990
Expired: Terms and conditions of certificate of registration||Expiry:      31 Dec 1994
Subsequent certificate of registration issued: Restricted certificate||Effective:   14 Feb 1995
Expired: Terms and conditions imposed on certificate by Registration Committee||Effective:   13 Feb 1996
Subsequent certificate of registration Issued: Independent Practice Certificate||Effective:   29 Jan 1997</t>
  </si>
  <si>
    <t>110150</t>
  </si>
  <si>
    <t>Punjab University, Pakistan, 2000</t>
  </si>
  <si>
    <t>905-845-2571 Ext. 4660</t>
  </si>
  <si>
    <t>McMaster University, 01 Jul 2016  to 30 Sep 2016|Elective Trainee - Paediatric Psychiatry
McMaster University, 01 Oct 2016  to 30 Jun 2017|PostGrad Yr 6 - Paediatric Psychiatry
McMaster University, 01 Jul 2017  to 30 Sep 2017|PostGrad Yr 6 - Child and Adolescent Psychiatry</t>
  </si>
  <si>
    <t>First certificate of registration issued: Postgraduate Education Certificate||Effective:   01 Jul 2016
Expired: Terms and conditions of certificate of registration||Expiry:      30 Sep 2016
Subsequent certificate of registration Issued: Postgraduate Education Certificate||Effective:   01 Oct 2016
Expired: Terms and conditions of certificate of registration||Expiry:      30 Sep 2017
Subsequent certificate of registration issued: Restricted certificate||Effective:   09 Nov 2017
Expiry as per terms and conditions imposed on certificate||Expiry Date: 08 Nov 2020</t>
  </si>
  <si>
    <t>85752</t>
  </si>
  <si>
    <t xml:space="preserve">Active Member as of 15 Jul 2010 </t>
  </si>
  <si>
    <t xml:space="preserve">Independent Practice as of 15 Jul 2010 </t>
  </si>
  <si>
    <t>King Edward Medical College, 1995</t>
  </si>
  <si>
    <t>Hotel Dieu Grace Healthcare,Tayfour Campus:Windsor
Windsor Regional Hospital,Metropolitan Site:Windsor</t>
  </si>
  <si>
    <t>First certificate of registration issued: Restricted certificate||Effective:   01 Nov 2006
Terms and conditions imposed on certificate by Registration Committee||Effective:   01 Nov 2006
Expiry date attached to certificate of registration.||Expiry Date: 31 Oct 2009
Expired: Terms and conditions imposed on certificate by Registration Committee||Effective:   31 Oct 2009
Subsequent certificate of registration Issued: Independent Practice Certificate||Effective:   15 Jul 2010</t>
  </si>
  <si>
    <t>92542</t>
  </si>
  <si>
    <t xml:space="preserve">Active Member as of 01 Mar 2010 </t>
  </si>
  <si>
    <t xml:space="preserve">Restricted as of 01 Mar 2010 </t>
  </si>
  <si>
    <t>Kasturba Medical College, 1996</t>
  </si>
  <si>
    <t>Psychiatry||Effective: 01 Mar 2010||CPSO Recognized Specialist</t>
  </si>
  <si>
    <t>First certificate of registration issued: Restricted certificate||Effective:   01 Mar 2010
Terms and conditions imposed on certificate by Registration Committee||Effective:   01 Mar 2010
Expiry date attached to certificate of registration.||Expiry Date: 31 Aug 2011
Terms and conditions amended by Registration Committee||Effective:   25 Aug 2011
Terms and conditions amended by Registration Committee||Effective:   25 Aug 2011
Terms and conditions amended by member||Effective:   17 Jul 2015</t>
  </si>
  <si>
    <t>62836</t>
  </si>
  <si>
    <t xml:space="preserve">Active Member as of 22 Apr 1993 </t>
  </si>
  <si>
    <t xml:space="preserve">Independent Practice as of 22 Apr 1993 </t>
  </si>
  <si>
    <t>University of Calgary, 1990</t>
  </si>
  <si>
    <t>North York General Hospital,4001 Leslie Street,North York ON  M2K 1E1</t>
  </si>
  <si>
    <t>(416) 756-6951</t>
  </si>
  <si>
    <t>(416) 756-6080</t>
  </si>
  <si>
    <t>First certificate of registration issued: Postgraduate Education Certificate||Effective:   01 Jul 1990
Expired: Terms and conditions of certificate of registration||Expiry:      30 Jun 1991
Subsequent certificate of registration Issued: Independent Practice Certificate||Effective:   22 Apr 1993</t>
  </si>
  <si>
    <t>Sally Schofield Medicine Professional Corporation</t>
  </si>
  <si>
    <t>Issued Date:  Jun 02 2008</t>
  </si>
  <si>
    <t>Dr. S. Schofield (CPSO# 62836)</t>
  </si>
  <si>
    <t>North York General Hospital,4001 Leslie Street,Toronto ON  M2K 1E1,(416) 756-6951</t>
  </si>
  <si>
    <t>96900</t>
  </si>
  <si>
    <t xml:space="preserve">Active Member as of 12 Oct 2011 </t>
  </si>
  <si>
    <t xml:space="preserve">Restricted as of 12 Oct 2011 </t>
  </si>
  <si>
    <t>Dow Medical College, 1994</t>
  </si>
  <si>
    <t>Milton Pediatrics,Suite 101,450 Bronte Street,Milton ON  L9T 8T2</t>
  </si>
  <si>
    <t>(905) 878-9720</t>
  </si>
  <si>
    <t>(905) 878-3779</t>
  </si>
  <si>
    <t>Psychiatry||Effective: 12 Oct 2011||CPSO Recognized Specialist</t>
  </si>
  <si>
    <t>First certificate of registration issued: Restricted certificate||Effective:   12 Oct 2011
Terms and conditions imposed on certificate by Registration Committee||Effective:   12 Oct 2011
Expiry date attached to certificate of registration.||Expiry Date: 11 Apr 2013
Terms and conditions amended by Registration Committee||Effective:   11 Jul 2014
Expiry date removed from certificate of registration.||Effective:   11 Jul 2014</t>
  </si>
  <si>
    <t>Dr. Salman Wahid Medicine Professional Corporation</t>
  </si>
  <si>
    <t>Issued Date:  Feb 01 2012</t>
  </si>
  <si>
    <t>Dr. S. Wahid (CPSO# 96900)</t>
  </si>
  <si>
    <t>Milton Pediatrics,Suite 101,450 Bronte Street,Milton ON  L9T 8T2,(905) 878-9720
217 Main Street East,217 Main Street East,Milton ON  L9T 1N9,(905) 693-4240</t>
  </si>
  <si>
    <t>58613</t>
  </si>
  <si>
    <t>University of Palermo, 1978</t>
  </si>
  <si>
    <t>Costi Immigrant Services,Family and Mental Health Services,P O Box 90  Suite 105,1700 Wilson Avenue,Toronto ON  M3L 1B2</t>
  </si>
  <si>
    <t>(416) 244-7714</t>
  </si>
  <si>
    <t>(416) 244-7299</t>
  </si>
  <si>
    <t>First certificate of registration issued: Postgraduate Education Certificate||Effective:   01 Jul 1987
Transfer of class of registration to: Independent Practice Certificate||Effective:   30 Jun 1992</t>
  </si>
  <si>
    <t>33150</t>
  </si>
  <si>
    <t xml:space="preserve">Independent Practice as of 15 Apr 1982 </t>
  </si>
  <si>
    <t>Suite 309,2249 Carling Avenue,Ottawa ON  K2B 7E9</t>
  </si>
  <si>
    <t>(613) 236-3443</t>
  </si>
  <si>
    <t>University of Toronto, 16 Jun 1980  to 16 Jun 1981|Other - Comprehensive Internship
University of Toronto, 01 Jul 1981  to 30 Jun 1982|Resident 2 - Family Medicine
University of Ottawa, 01 Jul 1992  to 30 Jun 1993|Resident 1 - Psychiatry
University of Ottawa, 01 Jul 1993  to 30 Jun 1994|Resident 2 - Psychiatry
University of Ottawa, 01 Jul 1994  to 30 Jun 1995|Resident 3 - Psychiatry
University of Ottawa, 01 Jul 1995  to 30 Jun 1996|Resident 4 - Psychiatry</t>
  </si>
  <si>
    <t>First certificate of registration issued: Postgraduate Education Certificate||Effective:   16 Jun 1980
Transfer of class of registration to: Independent Practice Certificate||Effective:   15 Apr 1982</t>
  </si>
  <si>
    <t>65653</t>
  </si>
  <si>
    <t>Arabic, English, Spanish</t>
  </si>
  <si>
    <t>University Central Del Este, 1985</t>
  </si>
  <si>
    <t>University of Toronto, 01 Jul 1992  to 30 Jun 1993|Resident 1 - Psychiatry
University of Toronto, 01 Jul 1993  to 30 Jun 1994|Resident 2 - Psychiatry
University of Toronto, 01 Jul 1994  to 30 Jun 1995|Resident 3 - Psychiatry
University of Toronto, 01 Jul 1995  to 30 Jun 1996|Resident 4 - Psychiatry
University of Toronto, 01 Jul 1996  to 30 Jun 1997|Resident 4 - Psychiatry
University of Toronto, 01 Jul 1997  to 31 Dec 1997|Resident 4 - Psychiatry
The University of Western Ontario, 01 Aug 1999  to 31 Jul 2000|Clinical Fellow - Psychiatry
The University of Western Ontario, 01 Aug 2000  to 31 Jul 2001|Clinical Fellow - Psychiatry
University of Toronto, 01 Aug 2001  to 30 Jun 2002|PostGrad Yr 5 - Psychiatry
University of Toronto, 03 Jul 2002  to 31 Jul 2002|PostGrad Yr 5 - Psychiatry</t>
  </si>
  <si>
    <t>First certificate of registration issued: Postgraduate Education Certificate||Effective:   01 Jul 1992
Expired: Terms and conditions of certificate of registration||Expiry:      31 Dec 1997
Subsequent certificate of registration Issued: Postgraduate Education Certificate||Effective:   01 Aug 1999
Expired: Terms and conditions of certificate of registration||Expiry:      30 Jun 2002
Subsequent certificate of registration Issued: Independent Practice Certificate||Effective:   03 Jul 2002</t>
  </si>
  <si>
    <t>Dr. Sam Masri Medicine Professional Corporation</t>
  </si>
  <si>
    <t>Dr. S. Masri (CPSO# 65653)</t>
  </si>
  <si>
    <t>31678</t>
  </si>
  <si>
    <t xml:space="preserve">Active Member as of 27 Jun 1980 </t>
  </si>
  <si>
    <t xml:space="preserve">Independent Practice as of 27 Jun 1980 </t>
  </si>
  <si>
    <t>86 Glen Park Avenue,North York ON  M6B 2C4</t>
  </si>
  <si>
    <t>(416) 927-1901</t>
  </si>
  <si>
    <t>(416) 783-6000</t>
  </si>
  <si>
    <t>8 Eaton North 238,200 Elizabeth Street,Toronto ON  M5G 1J6,Canada,Phone:(416) 340-3747,Fax:(416) 340-4198,County:City of Toronto,Electoral District:10</t>
  </si>
  <si>
    <t>First certificate of registration issued: Independent Practice Certificate||Effective:   27 Jun 1980</t>
  </si>
  <si>
    <t>55175</t>
  </si>
  <si>
    <t xml:space="preserve">Active Member as of 13 Feb 1985 </t>
  </si>
  <si>
    <t>Swaminath, Rangasamudram Subramanyam (used until: 11 Jul 1999 )</t>
  </si>
  <si>
    <t>English, Hindi, Kannada, Tamil, Telugu</t>
  </si>
  <si>
    <t>Osmania University, 1972</t>
  </si>
  <si>
    <t>700 Christina Street North,Sarnia ON  N7V 3C2</t>
  </si>
  <si>
    <t>(519) 337-3261</t>
  </si>
  <si>
    <t>(519) 337-5898</t>
  </si>
  <si>
    <t>660 Ireland Road,Simcoe ON  N3Y 4L8,Canada,Phone:(519) 426-3561,Fax:519 426-8029,County:Regional Municipality of Haldimand-Norfolk,Electoral District:04</t>
  </si>
  <si>
    <t>First certificate of registration issued: Academic Practice Certificate||Effective:   13 Feb 1985
Transfer of class of certificate to: Restricted certificate||Effective:   15 Dec 1988
Terms and conditions imposed on certificate by Registration Committee||Effective:   15 Dec 1988</t>
  </si>
  <si>
    <t>Dr. Sam Swaminath Medicine Professional Corporation</t>
  </si>
  <si>
    <t>Issued Date:  Nov 26 2004</t>
  </si>
  <si>
    <t>Dr. S. Swaminath (CPSO# 55175)</t>
  </si>
  <si>
    <t>700 Christina Street North,Sarnia ON  N7V 3C2,(519) 337-3261
Sprucedale Youth Centre,Sprucedale Youth Centre,660 Ireland Road,Simcoe ON  N3Y 4L8,(519) 426-3581</t>
  </si>
  <si>
    <t>79485</t>
  </si>
  <si>
    <t>Derek Garniss Medicine Professional Corporation</t>
  </si>
  <si>
    <t>Issued Date:  Mar 12 2008</t>
  </si>
  <si>
    <t>Dr. D. Garniss (CPSO# 77690),Dr. S. Wallenius (CPSO# 79485)</t>
  </si>
  <si>
    <t>Sault Area Hospitals,750 Great Northern Road,Sault Ste Marie ON  P6B 5A3,(705) 759-3434</t>
  </si>
  <si>
    <t>111191</t>
  </si>
  <si>
    <t xml:space="preserve">Active Member as of 21 Nov 2016 </t>
  </si>
  <si>
    <t xml:space="preserve">Independent Practice as of 21 Nov 2016 </t>
  </si>
  <si>
    <t>University of Guelph,Student Wellness Services,J.T. Powell Building, 50 Stone Road,Guelph, Ontario N1G 2W1,Guelph ON  N1G 2W1</t>
  </si>
  <si>
    <t>5198244120</t>
  </si>
  <si>
    <t>Chancellors Way Medical Arts Centre,175 Chancellors Way,Guelph, Ontario,N1G 0E9,Guelph ON  N1G 0E9,Canada,Phone:5193419297,County:County of Wellington,Electoral District:03</t>
  </si>
  <si>
    <t>First certificate of registration issued: Independent Practice Certificate||Effective:   21 Nov 2016</t>
  </si>
  <si>
    <t>77817</t>
  </si>
  <si>
    <t xml:space="preserve">Active Member as of 09 Sep 2008 </t>
  </si>
  <si>
    <t xml:space="preserve">Independent Practice as of 09 Sep 2008 </t>
  </si>
  <si>
    <t>Humber River Hospital,1235 Wilson Ave.,Toronto ON  M3M 0B2</t>
  </si>
  <si>
    <t>University of Toronto, 01 Jul 2002  to 30 Jun 2003|PostGrad Yr 1 - Psychiatry
University of Toronto, 01 Jul 2003  to 30 Jun 2004|PostGrad Yr 2 - Psychiatry
University of Toronto, 01 Jul 2004  to 30 Jun 2005|PostGrad Yr 2 - Psychiatry
University of Toronto, 01 Jul 2005  to 30 Jun 2006|PostGrad Yr 3 - Psychiatry
University of Toronto, 01 Jul 2006  to 30 Jun 2007|PostGrad Yr 4 - Psychiatry
University of Toronto, 01 Jul 2007  to 30 Jun 2008|PostGrad Yr 5 - Psychiatry
University of Toronto, 01 Sep 2011  to 31 Aug 2012|Clinical Fellow - Psychiatry</t>
  </si>
  <si>
    <t>First certificate of registration issued: Postgraduate Education Certificate||Effective:   01 Jul 2002
Expired: Terms and conditions of certificate of registration||Expiry:      30 Jun 2008
Subsequent certificate of registration Issued: Independent Practice Certificate||Effective:   09 Sep 2008</t>
  </si>
  <si>
    <t>51014</t>
  </si>
  <si>
    <t xml:space="preserve">Independent Practice as of 07 Sep 1984 </t>
  </si>
  <si>
    <t>University of Aleppo, 1978</t>
  </si>
  <si>
    <t>3300 Yonge Street,Suite 201,Toronto ON  M4N 2L6</t>
  </si>
  <si>
    <t>(416) 481-2280</t>
  </si>
  <si>
    <t>(416) 481-0593</t>
  </si>
  <si>
    <t>First certificate of registration issued: Postgraduate Education Certificate||Effective:   01 Jul 1979
Expired: Terms and conditions of certificate of registration||Expiry:      30 Jun 1984
Subsequent certificate of registration Issued: Independent Practice Certificate||Effective:   07 Sep 1984</t>
  </si>
  <si>
    <t>S. Hassan Medicine Professional Corporation</t>
  </si>
  <si>
    <t>Issued Date:  Sep 28 2012</t>
  </si>
  <si>
    <t>Dr. S. Hassan (CPSO# 51014)</t>
  </si>
  <si>
    <t>Suite 201,3300 Yonge Street,Toronto ON  M4N 2L6,(416) 481-2280</t>
  </si>
  <si>
    <t>88312</t>
  </si>
  <si>
    <t>University of Damascus, 1995</t>
  </si>
  <si>
    <t>Royal Alexandra Hospital,10240 Kingsway Avenue,Edmonton AB  T5H 3V9</t>
  </si>
  <si>
    <t>(780) 735-4181</t>
  </si>
  <si>
    <t>University of Toronto, 02 Jun 2008  to 30 Jun 2008|Elective Trainee - Psychiatry
University of Toronto, 27 Jul 2009  to 24 Aug 2009|Elective Trainee - Psychiatry</t>
  </si>
  <si>
    <t>First certificate of registration issued: Postgraduate Education Certificate||Effective:   02 Jun 2008
Expired: Terms and conditions of certificate of registration||Expiry:      30 Jun 2008
Subsequent certificate of registration Issued: Postgraduate Education Certificate||Effective:   27 Jul 2009
Expired: Terms and conditions of certificate of registration||Expiry:      24 Aug 2009
Subsequent certificate of registration Issued: Independent Practice Certificate||Effective:   07 Jul 2016</t>
  </si>
  <si>
    <t>110585</t>
  </si>
  <si>
    <t xml:space="preserve">Restricted as of 22 Jul 2016 </t>
  </si>
  <si>
    <t>University of Baghdad, 2000</t>
  </si>
  <si>
    <t>Adult Mental Health,Thunder Bay Regional Health Science,980 Oliver Road,Thunder Bay ON  P7B 6V4</t>
  </si>
  <si>
    <t>(807) 684-6425</t>
  </si>
  <si>
    <t>St. Joseph Health Group,St. Joseph's Hospital,35 Algoma Street North,Thunder Bay ON  P7B 5G7,Canada,Phone:8073432431,County:District of Thunder Bay,Electoral District:09
St. Joseph's Health Centre,710 Victoria Avenue East,Thunder Bay ON  P7C 5P7,Canada,Phone:(807) 343-4300,County:District of Thunder Bay,Electoral District:09</t>
  </si>
  <si>
    <t>First certificate of registration issued: Restricted certificate||Effective:   22 Jul 2016
Terms and conditions imposed on certificate by Registration Committee||Effective:   22 Jul 2016
Expiry date attached to certificate of registration.||Expiry Date: 07 Jul 2018
Terms and conditions amended by Registration Committee||Effective:   15 Sep 2016
Expiry date attached to certificate of registration.||Expiry Date: 21 Jul 2019</t>
  </si>
  <si>
    <t>S. Khalil Medicine Professional Corporation</t>
  </si>
  <si>
    <t>Issued Date:  Sep 27 2017</t>
  </si>
  <si>
    <t>Dr. S. Khalil (CPSO# 110585)</t>
  </si>
  <si>
    <t>35 Algoma Street North,Thunder Bay ON  P7B 5G7
Thunder Bay Regional Health Sciences Centre,Thunder Bay Regional Health Sciences Centre,Adult Mental Health,980 Oliver Road,Thunder Bay ON  P7B 6V4,(807) 684-6425</t>
  </si>
  <si>
    <t>61955</t>
  </si>
  <si>
    <t>Ain Shams University, 1978</t>
  </si>
  <si>
    <t>Provindence Continuing Care Centre,Mental  Health Services,752 King Street West,P O Box 603,Kingston ON  K7L 4X3</t>
  </si>
  <si>
    <t>(613) 540-6166</t>
  </si>
  <si>
    <t>613 540 6169</t>
  </si>
  <si>
    <t>429 Briarwood Dr,,Kingston ON  K7M 7V5,Canada,Phone:(613) 634-7380,County:County of Frontenac,Electoral District:06</t>
  </si>
  <si>
    <t>First certificate of registration issued: Postgraduate Education Certificate||Effective:   13 Mar 1990
Expired: Terms and conditions of certificate of registration||Expiry:      30 Jun 1993
Subsequent certificate of registration Issued: Independent Practice Certificate||Effective:   09 Jul 1993</t>
  </si>
  <si>
    <t>Dr. Samia Hanna Medicine Professional Corporation</t>
  </si>
  <si>
    <t>Inactive: May 18 2018</t>
  </si>
  <si>
    <t>111641</t>
  </si>
  <si>
    <t xml:space="preserve">Active Member as of 05 Oct 2018 </t>
  </si>
  <si>
    <t xml:space="preserve">Independent Practice as of 05 Oct 2018 </t>
  </si>
  <si>
    <t>Kingston General Hospital,Burr 4,76 Stuart Street,Kingston ON  K7L 2V7</t>
  </si>
  <si>
    <t>(613) 548-3232 Ext. 7820</t>
  </si>
  <si>
    <t>First certificate of registration issued: Restricted certificate||Effective:   03 Apr 2017
Terms and conditions imposed on certificate by Registration Committee||Effective:   03 Apr 2017
Expiry date attached to certificate of registration.||Expiry Date: 15 Mar 2020
Expired: Terms and conditions imposed on certificate by Registration Committee||Effective:   05 Oct 2018
Subsequent certificate of registration Issued: Independent Practice Certificate||Effective:   05 Oct 2018</t>
  </si>
  <si>
    <t>73539</t>
  </si>
  <si>
    <t xml:space="preserve">Active Member as of 07 Jul 2004 </t>
  </si>
  <si>
    <t xml:space="preserve">Independent Practice as of 07 Jul 2004 </t>
  </si>
  <si>
    <t>Oakville Trafalgar Memorial,Hospital,Outpatient Mental Health,3001 Hospital Gate,Oakville ON  L6M 0L8</t>
  </si>
  <si>
    <t>(905)845-2571 Ext. 4800</t>
  </si>
  <si>
    <t>First certificate of registration issued: Postgraduate Education Certificate||Effective:   01 Jul 1999
Expired: Terms and conditions of certificate of registration||Expiry:      30 Jun 2004
Subsequent certificate of registration Issued: Independent Practice Certificate||Effective:   07 Jul 2004</t>
  </si>
  <si>
    <t>Barakat Rajani Medicine Professional Corporation</t>
  </si>
  <si>
    <t>Issued Date:  Feb 17 2011</t>
  </si>
  <si>
    <t>Dr. S. Barakat (CPSO# 73539),Dr. P. Rajani (CPSO# 74687)</t>
  </si>
  <si>
    <t>Appleby College Medical,540 Lakeshore Road West,Oakville ON  L6K 3P1,(905) 845-1544
Oakville-Trafalgar Memorial Hospital,Oakville-Trafalgar Memorial Hospital,Outpatient Mental Health,3001 Hospital Gate,Oakville ON  L6M 0L8,(905) 845-2571</t>
  </si>
  <si>
    <t>31115</t>
  </si>
  <si>
    <t xml:space="preserve">Active Member as of 21 Dec 1976 </t>
  </si>
  <si>
    <t xml:space="preserve">Independent Practice as of 31 Aug 1979 </t>
  </si>
  <si>
    <t>National Autonomous University of Mexico, 1971</t>
  </si>
  <si>
    <t>(905) 527-7990</t>
  </si>
  <si>
    <t>First certificate of registration issued: Hospital Practice Certificate||Effective:   21 Dec 1976
Transfer of class of registration to: Independent Practice Certificate||Effective:   31 Aug 1979</t>
  </si>
  <si>
    <t>68275</t>
  </si>
  <si>
    <t>St. Michael's Hospital,Department of Psychiatry,17th Floor Cardinal Carter Wing,30 Bond Street,Toronto ON  M5B 1W8</t>
  </si>
  <si>
    <t>(416) 864-6060 Ext. 2415</t>
  </si>
  <si>
    <t>Dr. Samuel Law Medicine Professional Corporation</t>
  </si>
  <si>
    <t>Issued Date:  Nov 15 2011</t>
  </si>
  <si>
    <t>Dr. S. Law (CPSO# 68275)</t>
  </si>
  <si>
    <t>St. Michael's Hospital,Department of Psychiatry,17th Floor Cardinal Carter Wing,30 Bond Street,Toronto ON  M5B 1W8,(416) 864-6060</t>
  </si>
  <si>
    <t>52331</t>
  </si>
  <si>
    <t xml:space="preserve">Active Member as of 11 Apr 1983 </t>
  </si>
  <si>
    <t xml:space="preserve">Independent Practice as of 11 Apr 1983 </t>
  </si>
  <si>
    <t>Finch University of Health Sciences, 1972</t>
  </si>
  <si>
    <t>Humber River Hospital,Mental Health Program,1235 Wilson Ave. W.,Toronto ON  M3M 0B2</t>
  </si>
  <si>
    <t>(416) 242-1000 Ext. 43030</t>
  </si>
  <si>
    <t>Humber River Hospital,Wilson Site:Toronto
West Parry Sound Health Centre:Parry Sound</t>
  </si>
  <si>
    <t>First certificate of registration issued: Independent Practice Certificate||Effective:   11 Apr 1983</t>
  </si>
  <si>
    <t>26853</t>
  </si>
  <si>
    <t xml:space="preserve">Active Member as of 07 Aug 1974 </t>
  </si>
  <si>
    <t xml:space="preserve">Independent Practice as of 07 Aug 1974 </t>
  </si>
  <si>
    <t>University of London, 1963</t>
  </si>
  <si>
    <t>First certificate of registration issued: Independent Practice Certificate||Effective:   07 Aug 1974</t>
  </si>
  <si>
    <t>S.S. Waldenberg Medicine Professional Corporation</t>
  </si>
  <si>
    <t>Inactive: Jun  8 2017</t>
  </si>
  <si>
    <t>26897</t>
  </si>
  <si>
    <t xml:space="preserve">Active Member as of 14 Aug 1974 </t>
  </si>
  <si>
    <t xml:space="preserve">Independent Practice as of 14 Aug 1974 </t>
  </si>
  <si>
    <t>University of Saigon, 1960</t>
  </si>
  <si>
    <t>2238 Dundas Street West,Suite 306,Toronto ON  M6R 3A9</t>
  </si>
  <si>
    <t>(416) 588-3700</t>
  </si>
  <si>
    <t>(416) 588-6368</t>
  </si>
  <si>
    <t>87 Golfwood Heights,Toronto ON  M9P 3L8,Canada,Phone:(416) 730-8865,Fax:(416) 588-6368,County:City of Toronto,Electoral District:10</t>
  </si>
  <si>
    <t>First certificate of registration issued: Independent Practice Certificate||Effective:   14 Aug 1974</t>
  </si>
  <si>
    <t>San Nguyen Medicine Professional Corporation</t>
  </si>
  <si>
    <t>Issued Date:  Jan 08 2016</t>
  </si>
  <si>
    <t>Dr. S. Nguyen (CPSO# 26897)</t>
  </si>
  <si>
    <t>2238 Dundas Street West,Suite 306,Toronto ON  M6R 3A9,(416) 588-3700</t>
  </si>
  <si>
    <t>87164</t>
  </si>
  <si>
    <t>Ain Shams University, 1988</t>
  </si>
  <si>
    <t>William Osler Health System,Brampton Civic Hospital,2100 Bovaird Drive East,Brampton ON  L6R 3J7</t>
  </si>
  <si>
    <t>Peel Memorial Centre for integrated,health and wellness,20 Lynch st.,Brampton ON  L6W 2Z8,Canada,Phone:905-494-2120,County:Regional Municipality of Peel,Electoral District:05</t>
  </si>
  <si>
    <t>First certificate of registration issued: Restricted certificate||Effective:   01 Jul 2007
Terms and conditions imposed on certificate by Registration Committee||Effective:   01 Jul 2007
Expiry date attached to certificate of registration.||Expiry Date: 30 Jun 2010
Expired: Terms and conditions imposed on certificate by Registration Committee||Effective:   15 Sep 2010
Subsequent certificate of registration Issued: Independent Practice Certificate||Effective:   15 Sep 2010</t>
  </si>
  <si>
    <t>77879</t>
  </si>
  <si>
    <t xml:space="preserve">Active Member as of 24 Sep 2007 </t>
  </si>
  <si>
    <t xml:space="preserve">Independent Practice as of 24 Sep 2007 </t>
  </si>
  <si>
    <t>Wadhawan, Sandhaya (used until: 04 Jul 2002 )</t>
  </si>
  <si>
    <t>Ottawa Hospital Dept of Psychiatry,Box 400,501 Smyth Road,Ottawa ON  K1H 8L6</t>
  </si>
  <si>
    <t>613 795 5555</t>
  </si>
  <si>
    <t>Psychiatry||Effective: 22 Sep 2007||RCPSC Specialist</t>
  </si>
  <si>
    <t>University of Ottawa, 01 Jul 2002  to 30 Jun 2003|PostGrad Yr 1 - Psychiatry
University of Ottawa, 01 Jul 2003  to 30 Jun 2004|PostGrad Yr 2 - Psychiatry
University of Ottawa, 01 Jul 2004  to 30 Jun 2005|PostGrad Yr 3 - Psychiatry
University of Ottawa, 01 Jul 2005  to 30 Jun 2006|PostGrad Yr 4 - Psychiatry
University of Ottawa, 01 Jul 2006  to 30 Oct 2006|PostGrad Yr 4 - Psychiatry
University of Ottawa, 31 Oct 2006  to 22 Sep 2007|PostGrad Yr 5 - Psychiatry</t>
  </si>
  <si>
    <t>First certificate of registration issued: Postgraduate Education Certificate||Effective:   01 Jul 2002
Expired: Terms and conditions of certificate of registration||Expiry:      22 Sep 2007
Subsequent certificate of registration Issued: Independent Practice Certificate||Effective:   24 Sep 2007</t>
  </si>
  <si>
    <t>S Norris Medicine Professional Corporation</t>
  </si>
  <si>
    <t>Issued Date:  Apr 06 2010</t>
  </si>
  <si>
    <t>Dr. S. Norris (CPSO# 77879)</t>
  </si>
  <si>
    <t>Ottawa Hospital,Box 400,501 Smyth Road,Ottawa ON  K1H 8L6,(613) 795-5555</t>
  </si>
  <si>
    <t>59375</t>
  </si>
  <si>
    <t>692 euclid avenue,Toronto ON  M6G 2T9</t>
  </si>
  <si>
    <t>(416) 483-3144</t>
  </si>
  <si>
    <t>First certificate of registration issued: Postgraduate Education Certificate||Effective:   13 Jun 1988
Transfer of class of registration to: Independent Practice Certificate||Effective:   05 Jul 1989</t>
  </si>
  <si>
    <t>67917</t>
  </si>
  <si>
    <t xml:space="preserve">Independent Practice as of 20 Aug 1999 </t>
  </si>
  <si>
    <t>Room F4-218,550 Wellington Road,Parkwood Institute -Mental Health,P.O. Box 5777, Station B,London ON  N6A 4V2</t>
  </si>
  <si>
    <t>(519) 455-5110 Ext. 47686</t>
  </si>
  <si>
    <t>(519) 455-4392</t>
  </si>
  <si>
    <t>Psychiatry||Effective: 20 Aug 1999||RCPSC Specialist</t>
  </si>
  <si>
    <t>The University of Western Ontario, 01 Jul 1994  to 30 Jun 1995|PostGrad Yr 1 - Psychiatry
The University of Western Ontario, 01 Jul 1995  to 30 Jun 1996|Resident 1 - Psychiatry
The University of Western Ontario, 01 Jul 1996  to 30 Jun 1997|PostGrad Yr 3 - Psychiatry
The University of Western Ontario, 01 Jul 1997  to 30 Jun 1998|PostGrad Yr 4 - Psychiatry
The University of Western Ontario, 01 Jul 1998  to 11 Aug 1998|PostGrad Yr 4 - Psychiatry
The University of Western Ontario, 12 Aug 1998  to 30 Jun 1999|PostGrad Yr 5 - Psychiatry
The University of Western Ontario, 01 Jul 1999  to 20 Aug 1999|PostGrad Yr 5 - Psychiatry</t>
  </si>
  <si>
    <t>First certificate of registration issued: Postgraduate Education Certificate||Effective:   01 Jul 1994
Transfer of class of registration to: Independent Practice Certificate||Effective:   20 Aug 1999</t>
  </si>
  <si>
    <t>30365</t>
  </si>
  <si>
    <t xml:space="preserve">Active Member as of 18 Aug 1978 </t>
  </si>
  <si>
    <t xml:space="preserve">Independent Practice as of 18 Aug 1978 </t>
  </si>
  <si>
    <t>University of Witwatersrand, 1967</t>
  </si>
  <si>
    <t>Parkwood Insitute-London,H5,550 Wellington Rd,London,London ON  N6C 0A7</t>
  </si>
  <si>
    <t>(519) 646-6100 Ext. 47778</t>
  </si>
  <si>
    <t>London Health Sciences Centre,Room# B8-148,800 Commissioners Road,London ON  N6A 5W9,Canada,Phone:(519) 667-6671,Fax:(519) 685-8595,County:County of Middlesex,Electoral District:02</t>
  </si>
  <si>
    <t>London Health Sciences Centre,Children's Hospital of Western Ontario:London
St Joseph Health Care,London- Mental Health:London</t>
  </si>
  <si>
    <t>First certificate of registration issued: Independent Practice Certificate||Effective:   18 Aug 1978</t>
  </si>
  <si>
    <t>Sandra N. Fisman Medicine Professional Corporation</t>
  </si>
  <si>
    <t>Issued Date:  Sep 12 2008</t>
  </si>
  <si>
    <t>Dr. M. Fisman (CPSO# 28813),Dr. S. Fisman (CPSO# 30365)</t>
  </si>
  <si>
    <t>London Health Sciences Centre,800 Commissioners Road East,B8-150,London ON  N6A 5W9,(519) 667-6671
Parkwood Institute,Parkwood Institute,H5 - 550 Wellington Road,London ON  N6C 0A7,(519) 646-6100</t>
  </si>
  <si>
    <t>102066</t>
  </si>
  <si>
    <t xml:space="preserve">Active Member as of 30 Mar 2016 </t>
  </si>
  <si>
    <t xml:space="preserve">Restricted as of 30 Mar 2016 </t>
  </si>
  <si>
    <t>Government Medical College, 2000</t>
  </si>
  <si>
    <t>Centre for Addiction And Mental,Health,Suite 6324,80 Workman Way,Toronto ON  M6J 1H4</t>
  </si>
  <si>
    <t>(416) 535-8501 Ext. 39384</t>
  </si>
  <si>
    <t>India
USA - Pennsylvania</t>
  </si>
  <si>
    <t>University of Toronto, 01 Jul 2013  to 30 Jun 2014|Clinical Fellow - Psychiatry
University of Toronto, 01 Jul 2014  to 30 Jun 2015|Clinical Fellow - Psychiatry
University of Toronto, 01 Jul 2015  to 31 Dec 2015|Clinical Fellow - Psychiatry</t>
  </si>
  <si>
    <t>First certificate of registration issued: Postgraduate Education Certificate||Effective:   05 Sep 2013
Expired: Terms and conditions of certificate of registration||Expiry:      26 Aug 2014
Subsequent certificate of registration issued: Restricted certificate||Effective:   26 Aug 2014
Terms and conditions amended by Registration Committee||Effective:   04 Dec 2015
Expired: Terms and conditions imposed on certificate by Registration Committee||Effective:   30 Mar 2016
Subsequent certificate of registration issued: Restricted certificate||Effective:   30 Mar 2016
Expiry as per terms and conditions imposed on certificate||Expiry Date: 29 Mar 2023</t>
  </si>
  <si>
    <t>Sanjeev Kumar Medicine Professional Corporation</t>
  </si>
  <si>
    <t>Dr. S. Kumar (CPSO# 102066)</t>
  </si>
  <si>
    <t>Centre for Addiction and Mental Health,Suite 6321,80 Workman Way,Toronto ON  M6J 1H4,(416) 535-8501</t>
  </si>
  <si>
    <t>114561</t>
  </si>
  <si>
    <t xml:space="preserve">Active Member as of 13 Mar 2018 </t>
  </si>
  <si>
    <t xml:space="preserve">Restricted as of 13 Mar 2018 </t>
  </si>
  <si>
    <t>R. G. Kar Medical College, 1994</t>
  </si>
  <si>
    <t>Queen's University,Div Child &amp; Adolescent Psychiatry,752 King St W, Postal Bag 60,Kingston ON  K7L 7X3</t>
  </si>
  <si>
    <t>Child and Adolescent Psychiatry||Effective: 13 Mar 2018||CPSO Recognized Specialist</t>
  </si>
  <si>
    <t>First certificate of registration issued: Restricted certificate||Effective:   13 Mar 2018
Terms and conditions imposed on certificate by Registration Committee||Effective:   13 Mar 2018
Expiry date attached to certificate of registration.||Expiry Date: 28 Jan 2020</t>
  </si>
  <si>
    <t>79231</t>
  </si>
  <si>
    <t>The University of Manitoba, 2003</t>
  </si>
  <si>
    <t>UHN Toronto General Hospital,Department of Psychiatry,8 Eaton North Room 228,200 Elizabeth Street,Toronto ON  M5G 2C4</t>
  </si>
  <si>
    <t>(416) 340-3762</t>
  </si>
  <si>
    <t>Centre for Addiction &amp; Mental Health,- Russell Street Site:Toronto
Centre for Addiction &amp; Mental Health,Queen Street Site:Toronto
Centre of Addiction &amp; Mental Health,- College Street Site:Toronto
University Health Network,Princess Margaret Hospital-Ontario Cancer Institute:Toronto
University Health Network,Toronto General Hospital Site:Toronto
University Health Network,Toronto Rehabilitation Institute:Toronto
University Health Network,Toronto Western Hospital Site:Toronto</t>
  </si>
  <si>
    <t>Sockalingam Medicine Professional Corporation</t>
  </si>
  <si>
    <t>Dr. S. Sockalingam (CPSO# 79231)</t>
  </si>
  <si>
    <t>Toronto General Hospital,Room 228, Eaton North,200 Elizabeth Street,Toronto ON  M5G 2C4,(416) 340-3762</t>
  </si>
  <si>
    <t>92682</t>
  </si>
  <si>
    <t xml:space="preserve">Active Member as of 01 May 2010 </t>
  </si>
  <si>
    <t xml:space="preserve">Restricted as of 01 May 2010 </t>
  </si>
  <si>
    <t>Himachal Pradesh University, 1996</t>
  </si>
  <si>
    <t>FORENSIC TREATMENT UNIT (FTU),Brockville ON  K6V 5W7</t>
  </si>
  <si>
    <t>(613) 345-1461 Ext. 2688</t>
  </si>
  <si>
    <t>613-345-7276</t>
  </si>
  <si>
    <t>Forensic Psychiatry||Effective: 01 May 2010||CPSO Recognized Specialist
Psychiatry||Effective: 14 Jul 2016||CPSO Recognized Specialist</t>
  </si>
  <si>
    <t>First certificate of registration issued: Restricted certificate||Effective:   01 May 2010
Terms and conditions imposed on certificate by Registration Committee||Effective:   01 May 2010
Expiry date attached to certificate of registration.||Expiry Date: 01 May 2013
Terms and conditions amended by Registration Committee||Effective:   27 Nov 2015
Expiry date removed from certificate of registration.||Effective:   27 Nov 2015
Terms and conditions amended by Registration Committee||Effective:   14 Jul 2016</t>
  </si>
  <si>
    <t>Dr. Sanjiv Gulati Medicine Professional Corporation</t>
  </si>
  <si>
    <t>Issued Date:  Feb 25 2011</t>
  </si>
  <si>
    <t>Dr. S. Gulati (CPSO# 92682)</t>
  </si>
  <si>
    <t>St Lawrence Valley Correctional,and Treatment Centre,Secure Treatment Unit,P O Box 1050  1804 Highway 2 East,Brockville ON  K6V 5W7,(613) 341-2870</t>
  </si>
  <si>
    <t>91773</t>
  </si>
  <si>
    <t xml:space="preserve">Active Member as of 22 Oct 2014 </t>
  </si>
  <si>
    <t xml:space="preserve">Independent Practice as of 22 Oct 2014 </t>
  </si>
  <si>
    <t>Upstate Medical Center State Univ of N Y, 2004</t>
  </si>
  <si>
    <t>Child &amp; Parent Resource Institute,600 Sanatorium Road,London ON  N6H 3W7</t>
  </si>
  <si>
    <t>860 Richmond Street,London ON  N6A 3H8,Canada,Phone:519-646-6000,County:County of Middlesex,Electoral District:02</t>
  </si>
  <si>
    <t>Psychiatry||Effective: 14 May 2014||RCPSC Specialist
Child and Adolescent Psychiatry||Effective: 21 Sep 2015||RCPSC Specialist</t>
  </si>
  <si>
    <t>First certificate of registration issued: Restricted certificate||Effective:   06 Jul 2009
Terms and conditions imposed on certificate by Registration Committee||Effective:   06 Jul 2009
Expiry date attached to certificate of registration.||Expiry Date: 23 Jun 2012
Terms and conditions amended by Registration Committee||Effective:   18 Mar 2014
Expired: Terms and conditions imposed on certificate by Registration Committee||Effective:   22 Oct 2014
Subsequent certificate of registration Issued: Independent Practice Certificate||Effective:   22 Oct 2014</t>
  </si>
  <si>
    <t>84644</t>
  </si>
  <si>
    <t>Psychiatry||Effective: 30 Jun 2013||RCPSC Specialist
Geriatric Psychiatry||Effective: 27 Sep 2016||RCPSC Specialist</t>
  </si>
  <si>
    <t>University of Toronto, 01 Jul 2006  to 30 Jun 2007|PostGrad Yr 1 - Psychiatry
University of Toronto, 01 Jul 2007  to 30 Jun 2008|PostGrad Yr 2 - Psychiatry
University of Toronto, 01 Jul 2008  to 30 Jun 2009|PostGrad Yr 2 - Psychiatry
University of Toronto, 01 Jul 2009  to 30 Jun 2010|PostGrad Yr 3 - Psychiatry
University of Toronto, 01 Jul 2010  to 17 Apr 2011|PostGrad Yr 3 - Psychiatry
University of Toronto, 18 Apr 2011  to 30 Jun 2011|PostGrad Yr 4 - Psychiatry
University of Toronto, 01 Jul 2011  to 30 Jun 2012|PostGrad Yr 4 - Psychiatry
University of Toronto, 01 Jul 2012  to 30 Jun 2013|PostGrad Yr 5 - Psychiatry
University of Toronto, 01 Jul 2013  to 30 Jun 2014|Clinical Fellow - Psychiatry</t>
  </si>
  <si>
    <t>75297</t>
  </si>
  <si>
    <t>Princess Margret Hospital,Room 16 747,610 University Avenue,Toronto ON  M5G 2M9</t>
  </si>
  <si>
    <t>(416) 946-4501 Ext. 2551</t>
  </si>
  <si>
    <t>University of Toronto, 01 Jul 2000  to 30 Jun 2001|PostGrad Yr 1 - Psychiatry
University of Toronto, 01 Jul 2001  to 30 Jun 2002|PostGrad Yr 2 - Psychiatry
University of Toronto, 01 Jul 2002  to 30 Jun 2003|PostGrad Yr 3 - Psychiatry
University of Toronto, 01 Jul 2003  to 30 Jun 2004|PostGrad Yr 4 - Psychiatry
University of Toronto, 01 Jul 2004  to 30 Jun 2005|PostGrad Yr 5 - Psychiatry
University of Toronto, 01 Jul 2005  to 30 Jun 2006|Clinical Fellow - Psychiatry
University of Toronto, 01 Jul 2006  to 30 Jun 2007|Clinical Fellow - Psychiatry
University of Toronto, 01 Jul 2007  to 30 Jun 2008|Clinical Fellow - Psychiatry</t>
  </si>
  <si>
    <t>101101</t>
  </si>
  <si>
    <t>The University of Manitoba, 2013</t>
  </si>
  <si>
    <t>65770</t>
  </si>
  <si>
    <t>Danial-Iqbal, Sarah Badar (used until: 02 Feb 1997 )
Danial, Sarah Badar (used until: 27 Feb 1995 )</t>
  </si>
  <si>
    <t>Suite 2,5668 Main Street,Niagara Falls ON  L2G 5Z4</t>
  </si>
  <si>
    <t>(905) 357-2360</t>
  </si>
  <si>
    <t>(905) 357-4714</t>
  </si>
  <si>
    <t>5662 Main Street,Niagara Falls ON  L2G 7W9,Canada,Phone:905-357-2360,Fax:905-357-4714,County:Regional Municipality of Niagara,Electoral District:04</t>
  </si>
  <si>
    <t>University of Toronto, 01 Jul 1992  to 30 Jun 1993|Resident 1 - Plastic Surgery
University of Toronto, 01 Jul 1994  to 30 Jun 1995|Resident 1 - Psychiatry
University of Toronto, 01 Jul 1995  to 30 Jun 1996|Resident 2 - Psychiatry
University of Toronto, 01 Jul 1996  to 30 Jun 1997|Resident 3 - Psychiatry
University of Toronto, 01 Jul 1997  to 30 Jun 1998|Resident 4 - Psychiatry
University of Toronto, 01 Jul 2000  to 31 Aug 2000|Clinical Fellow - Psychiatry</t>
  </si>
  <si>
    <t>Dr. S. B. Danial Medicine Professional Corporation</t>
  </si>
  <si>
    <t>Inactive: Jul 17 2009</t>
  </si>
  <si>
    <t>97974</t>
  </si>
  <si>
    <t>North Bay Regional Health Centre,Department of Psychiatry,50 College Drive,North Bay, ON,North Bay ON  P1B 5A1</t>
  </si>
  <si>
    <t>Northern Ontario School Of Medicine, 01 Jul 2012  to 30 Jun 2013|PostGrad Yr 1 - Psychiatry
Queen's University, 01 Jul 2013  to 30 Jun 2014|PostGrad Yr 2 - Psychiatry
Queen's University, 01 Jul 2014  to 30 Jun 2015|PostGrad Yr 3 - Psychiatry
Queen's University, 01 Jul 2015  to 30 Jun 2016|PostGrad Yr 4 - Psychiatry
Queen's University, 01 Jul 2016  to 30 Jun 2017|PostGrad Yr 5 - Psychiatry</t>
  </si>
  <si>
    <t>66684</t>
  </si>
  <si>
    <t>St. Joseph's Health Care London,PO Box 5777 Stn B,London, ON,London ON  N6A 4V2</t>
  </si>
  <si>
    <t>(519) 455-5110 Ext. 47250</t>
  </si>
  <si>
    <t>(519) 452-4392</t>
  </si>
  <si>
    <t>Parkwood Mental Health Care,550 Wellington Road,London ON  N6C 0A7,Canada,Phone:519-455-5110 Ext. 48408,Fax:519-452-4392,County:County of Middlesex,Electoral District:02
LHSC Victoria Hospital,Mental Health Care Program,800 Commissioners Road East,London ON  N6A 5W9,Canada,Phone:519-455-5110 Ext. 48408,County:County of Middlesex,Electoral District:02
294 Talbot Street, Unit 1,St Thomas ON  N5P 4E3,Canada,Phone:(519) 455-5110 Ext. 48408,County:County of Elgin,Electoral District:02</t>
  </si>
  <si>
    <t>London Health Sciences Centre Victoria Hospital:London
St Joseph Health Care,London- Mental Health:London
St Joseph's Health Care,St Thomas Mental Health Site:St Thomas</t>
  </si>
  <si>
    <t>69333</t>
  </si>
  <si>
    <t>185 Robinson St. Suite 240,Simcoe ON  N3Y5L6</t>
  </si>
  <si>
    <t>18667684818</t>
  </si>
  <si>
    <t>5194260971</t>
  </si>
  <si>
    <t>2757 King St E,Hamilton ON  L8G 5E4,Canada,Phone:(905) 573-4801,County:Regional Municipality of Hamilton-Wentworth,Electoral District:04</t>
  </si>
  <si>
    <t>Hamilton Health Sciences Centre McMaster &amp; Childrens Hosp,McMaster &amp; Children's Hospital:Hamilton
Hamilton Health Sciences Corporation,St. Peter's Hospital:Hamilton
Hamilton Health Sciences,Chedoke Hospital Site:Hamilton
Hamilton Health Sciences,General Site:Hamilton
Hamilton Health Sciences,Juravinski Hospital and Cancer Centre:Hamilton
St Joseph's Centre for Mountain Health Services:Hamilton
St Joseph's Healthcare System,Hamilton:Hamilton
West Haldimand,General Hospital:Hagersville</t>
  </si>
  <si>
    <t>McMaster University, 01 Jul 1995  to 30 Jun 1996|PostGrad Yr 1 - Psychiatry
McMaster University, 01 Jul 1996  to 30 Jun 1997|PostGrad Yr 2 - Psychiatry
McMaster University, 01 Jul 1997  to 30 Jun 1998|PostGrad Yr 3 - Psychiatry
McMaster University, 01 Jul 1998  to 31 Jan 1999|PostGrad Yr 3 - Psychiatry
McMaster University, 01 Feb 1999  to 31 Jan 2000|PostGrad Yr 4 - Psychiatry
McMaster University, 01 Feb 2000  to 31 Jan 2001|PostGrad Yr 5 - Psychiatry
McMaster University, 01 Feb 2001  to 30 Jun 2001|PostGrad Yr 5 - Psychiatry</t>
  </si>
  <si>
    <t>First certificate of registration issued: Postgraduate Education Certificate||Effective:   01 Jul 1995
Expired: Terms and conditions of certificate of registration||Expiry:      30 Jun 2001
Subsequent certificate of registration issued: Restricted certificate||Effective:   25 Jul 2001
Expired: Terms and conditions imposed on certificate by Registration Committee||Effective:   11 Jul 2002
Subsequent certificate of registration Issued: Independent Practice Certificate||Effective:   11 Jul 2002</t>
  </si>
  <si>
    <t>Garside Medicine Professional Corporation</t>
  </si>
  <si>
    <t>Dr. S. Garside (CPSO# 69333)</t>
  </si>
  <si>
    <t>Norfolk General Hospital,365 West Street,Simcoe ON  N3Y 1T7,(519) 426-0750
St. Joseph's Hospital,St. Joseph's Hospital,50 Charlton Avenue East,Hamilton ON  L8N 4A6,(905) 522-1155
100 West 5th Street,100 West 5th Street,Hamilton ON  L9C 3N6,(905) 388-2511
2757 King Street East,2757 King Street East,Hamilton ON  L8G 1J4,(905) 573-4801
1280 Main Street West,1280 Main Street West,Hamilton ON  L8S 4L8,(905) 525-9140
240 - 185 Robinson Street,240 - 185 Robinson Street,Simcoe ON  N3Y 5L6,(519) 587-2441</t>
  </si>
  <si>
    <t>97492</t>
  </si>
  <si>
    <t xml:space="preserve">Active Member as of 16 May 2012 </t>
  </si>
  <si>
    <t xml:space="preserve">Postgraduate Education as of 08 Aug 2012 </t>
  </si>
  <si>
    <t>Kuwait University, 2009</t>
  </si>
  <si>
    <t>416 978-6976</t>
  </si>
  <si>
    <t>University of Toronto, 16 May 2012  to 07 Aug 2012|PEAP - Resident - Psychiatry
University of Toronto, 08 Aug 2012  to 30 Jun 2013|PostGrad Yr 1 - Psychiatry
University of Toronto, 01 Jul 2013  to 07 Aug 2013|PostGrad Yr 1 - Psychiatry
University of Toronto, 08 Aug 2013  to 30 Jun 2014|PostGrad Yr 2 - Psychiatry
University of Toronto, 01 Jul 2014  to 07 Aug 2014|PostGrad Yr 2 - Psychiatry
University of Toronto, 08 Aug 2014  to 30 Jun 2015|PostGrad Yr 3 - Psychiatry
University of Toronto, 01 Jul 2015  to 07 Aug 2015|PostGrad Yr 3 - Psychiatry
University of Toronto, 08 Aug 2015  to 30 Jun 2016|PostGrad Yr 4 - Psychiatry
University of Toronto, 01 Jul 2016  to 31 Aug 2016|PostGrad Yr 4 - Psychiatry
University of Toronto, 01 Sep 2016  to 30 Jun 2017|PostGrad Yr 5 - Psychiatry
University of Toronto, 01 Jul 2017  to 31 Aug 2017|PostGrad Yr 5 - Psychiatry
University of Toronto, 01 Sep 2017  to 30 Jun 2018|Clinical Fellow - Psychiatry
University of Toronto, 01 Jul 2018  to 04 Sep 2018|Clinical Fellow - Psychiatry
University of Toronto, 05 Sep 2018  to 30 Jun 2019|Clinical Fellow - Psychiatry</t>
  </si>
  <si>
    <t>First certificate of registration issued: Pre Entry Assessment Program Certificate||Effective:   16 May 2012
Transfer of class of registration to: Postgraduate Education Certificate||Effective:   08 Aug 2012
Expiry date attached to certificate of registration.||Expiry Date: 30 Jun 2019</t>
  </si>
  <si>
    <t>76256</t>
  </si>
  <si>
    <t xml:space="preserve">Active Member as of 02 Jul 2008 </t>
  </si>
  <si>
    <t xml:space="preserve">Independent Practice as of 02 Jul 2008 </t>
  </si>
  <si>
    <t>Ottawa Hospital,Civic Site:Ottawa
Ottawa Hospital,General Site:Ottawa
Royal Ottawa Health Care Group:Ottawa
Winchester District Memorial Hospital:Winchester</t>
  </si>
  <si>
    <t>Psychiatry||Effective: 10 Jul 2007||RCPSC Specialist
Geriatric Psychiatry||Effective: 27 Sep 2016||RCPSC Specialist</t>
  </si>
  <si>
    <t>University of Ottawa, 01 Jul 2001  to 30 Jun 2002|PostGrad Yr 1 - Psychiatry
University of Ottawa, 01 Jul 2002  to 30 Jun 2003|PostGrad Yr 2 - Psychiatry
University of Ottawa, 01 Jul 2003  to 22 Nov 2003|PostGrad Yr 2 - Psychiatry
University of Ottawa, 23 Nov 2003  to 30 Jun 2004|PostGrad Yr 3 - Psychiatry
University of Ottawa, 01 Jul 2004  to 30 Jun 2005|PostGrad Yr 3 - Psychiatry
University of Ottawa, 01 Jul 2005  to 10 Jul 2005|PostGrad Yr 3 - Psychiatry
University of Ottawa, 11 Jul 2005  to 10 Jul 2006|PostGrad Yr 4 - Psychiatry
University of Ottawa, 11 Jul 2006  to 30 Jun 2007|PostGrad Yr 5 - Psychiatry
University of Ottawa, 01 Jul 2007  to 31 Dec 2007|PostGrad Yr 5 - Psychiatry
University of Ottawa, 01 Aug 2008  to 31 Jan 2009|Clinical Fellow - Psychiatry</t>
  </si>
  <si>
    <t>First certificate of registration issued: Postgraduate Education Certificate||Effective:   01 Jul 2001
Expired: Terms and conditions of certificate of registration||Expiry:      31 Dec 2007
Subsequent certificate of registration Issued: Independent Practice Certificate||Effective:   02 Jul 2008</t>
  </si>
  <si>
    <t>Sarah Halliday Medicine Professional Corporation</t>
  </si>
  <si>
    <t>Dr. S. Halliday (CPSO# 76256)</t>
  </si>
  <si>
    <t>90605</t>
  </si>
  <si>
    <t xml:space="preserve">Active Member as of 02 Sep 2016 </t>
  </si>
  <si>
    <t xml:space="preserve">Independent Practice as of 02 Sep 2016 </t>
  </si>
  <si>
    <t>CAMH,250 College St.,Toronto ON  M5T 1R8</t>
  </si>
  <si>
    <t>2234 Queen St. East,Toronto ON  M4E 1G2,Canada,County:City of Toronto,Electoral District:10</t>
  </si>
  <si>
    <t>Psychiatry||Effective: 05 Aug 2016||RCPSC Specialist</t>
  </si>
  <si>
    <t>University of Toronto, 01 Jul 2009  to 30 Jun 2010|PostGrad Yr 1 - Family Medicine
University of Toronto, 01 Jul 2010  to 30 Jun 2011|PostGrad Yr 2 -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4 - Psychiatry
University of Toronto, 01 Jul 2015  to 30 Jun 2016|PostGrad Yr 5 - Psychiatry
University of Toronto, 01 Jul 2016  to 01 Aug 2016|PostGrad Yr 5 - Psychiatry</t>
  </si>
  <si>
    <t>First certificate of registration issued: Postgraduate Education Certificate||Effective:   01 Jul 2009
Expired: Terms and conditions of certificate of registration||Expiry:      01 Aug 2016
Subsequent certificate of registration Issued: Independent Practice Certificate||Effective:   02 Sep 2016</t>
  </si>
  <si>
    <t>102746</t>
  </si>
  <si>
    <t>The Ottawa Hospital General Campus,501 Smyth Road,4Th Floor,Ottawa ON  K1H 8L6</t>
  </si>
  <si>
    <t>613-798-5555</t>
  </si>
  <si>
    <t>1355 Bank Street, Suite 208,Ottawa ON  K1H 8K7,Canada,Phone:613-737-8069,County:Regional Municipality of Ottawa-Carleton,Electoral District:07</t>
  </si>
  <si>
    <t>University of Ottawa, 01 Apr 2014  to 31 May 2014|Elective Trainee - Psychiatry</t>
  </si>
  <si>
    <t>First certificate of registration issued: Postgraduate Education Certificate||Effective:   01 Apr 2014
Expired: Terms and conditions of certificate of registration||Expiry:      31 May 2014
Subsequent certificate of registration Issued: Independent Practice Certificate||Effective:   03 Nov 2017</t>
  </si>
  <si>
    <t>Dr. Sarah Chan Medicine Professional Corporation</t>
  </si>
  <si>
    <t>Issued Date:  Jan 08 2018</t>
  </si>
  <si>
    <t>Dr. S. Chan (CPSO# 102746)</t>
  </si>
  <si>
    <t>208 - 1355 Bank Street,Ottawa ON  K1H 8K7,(613) 806-2188
The Ottawa Hospital General Campus,The Ottawa Hospital General Campus,501 Smyth Road,4th Floor,Ottawa ON  K1H 8L6</t>
  </si>
  <si>
    <t>64175</t>
  </si>
  <si>
    <t xml:space="preserve">Active Member as of 25 Jun 1993 </t>
  </si>
  <si>
    <t xml:space="preserve">Independent Practice as of 25 Jun 1993 </t>
  </si>
  <si>
    <t>Suite 302,1915 Baseline Road,Ottawa ON  K2C 0C7</t>
  </si>
  <si>
    <t>(613) 233-3976</t>
  </si>
  <si>
    <t>6136951996</t>
  </si>
  <si>
    <t>Psychiatry||Effective: 30 Nov 2009||RCPSC Specialist</t>
  </si>
  <si>
    <t>University of Ottawa, 01 Jul 2005  to 30 Jun 2006|PostGrad Yr 2 - Psychiatry
University of Ottawa, 01 Jul 2006  to 30 Jun 2007|PostGrad Yr 3 - Psychiatry
University of Ottawa, 01 Jul 2007  to 30 Nov 2007|PostGrad Yr 3 - Psychiatry
University of Ottawa, 01 Dec 2007  to 30 Nov 2008|PostGrad Yr 4 - Psychiatry
University of Ottawa, 01 Dec 2008  to 30 Nov 2009|PostGrad Yr 5 - Psychiatry</t>
  </si>
  <si>
    <t>First certificate of registration issued: Postgraduate Education Certificate||Effective:   18 Jun 1991
Expired: Terms and conditions of certificate of registration||Expiry:      14 Jun 1993
Subsequent certificate of registration Issued: Independent Practice Certificate||Effective:   25 Jun 1993</t>
  </si>
  <si>
    <t>Messina Medicine Professional Corporation</t>
  </si>
  <si>
    <t>Issued Date:  Dec 24 2009</t>
  </si>
  <si>
    <t>Dr. S. Messina (CPSO# 64175)</t>
  </si>
  <si>
    <t>Suite 302,1915 Baseline Road,Ottawa ON  K2C 0C7,(613) 233-3976</t>
  </si>
  <si>
    <t>88256</t>
  </si>
  <si>
    <t xml:space="preserve">Active Member as of 22 Dec 2017 </t>
  </si>
  <si>
    <t xml:space="preserve">Independent Practice as of 22 Dec 2017 </t>
  </si>
  <si>
    <t>Dow Medical College, 1989</t>
  </si>
  <si>
    <t>Hotel Dieu Hospital,Department of Psychiatry,Division of Child/Adol. Psychiatry,166 Brock Street, Brock 5;  #562,Kingston ON  K7L 5G2</t>
  </si>
  <si>
    <t>First certificate of registration issued: Restricted certificate||Effective:   01 Jun 2008
Terms and conditions imposed on certificate by Registration Committee||Effective:   01 Jun 2008
Expiry date attached to certificate of registration.||Expiry Date: 30 Jun 2011
Terms and conditions amended by Registration Committee||Effective:   03 May 2013
Terms and conditions amended by Registration Committee||Effective:   03 May 2013
Expired: Terms and conditions imposed on certificate by Registration Committee||Effective:   22 Dec 2017
Subsequent certificate of registration Issued: Independent Practice Certificate||Effective:   22 Dec 2017</t>
  </si>
  <si>
    <t>S. Khalid-Khan Medicine Professional Corporation</t>
  </si>
  <si>
    <t>Issued Date:  Sep 16 2014</t>
  </si>
  <si>
    <t>Dr. S. Khalid-Khan (CPSO# 88256)</t>
  </si>
  <si>
    <t>Hotel Dieu Hospital,Department of Psychiatry,Suite B5-025,166 Brock Street,Kingston ON  K7L 5G2,(613) 544-3400</t>
  </si>
  <si>
    <t>63130</t>
  </si>
  <si>
    <t xml:space="preserve">Active Member as of 08 Feb 1996 </t>
  </si>
  <si>
    <t xml:space="preserve">Independent Practice as of 08 Feb 1996 </t>
  </si>
  <si>
    <t>University of Jaffna, 1983</t>
  </si>
  <si>
    <t>Trillium Health Centre,100 Queensway West,Mississauga ON  L5B 1B8</t>
  </si>
  <si>
    <t>(905) 848-7586</t>
  </si>
  <si>
    <t>(905) 848-7602</t>
  </si>
  <si>
    <t>Suite 711,600 Sherbourne Street,Toronto ON  M4X 1W4,Canada,Phone:(416) 929-0929,County:City of Toronto,Electoral District:10</t>
  </si>
  <si>
    <t>Psychiatry||Effective: 27 Aug 1994||RCPSC Specialist</t>
  </si>
  <si>
    <t>University of Toronto, 01 Jul 1990  to 30 Jun 1991|Resident 1 - Psychiatry
University of Toronto, 01 Jul 1991  to 30 Jun 1992|Resident 2 - Psychiatry
University of Toronto, 01 Jul 1992  to 30 Jun 1993|Resident 3 - Psychiatry
University of Toronto, 01 Jul 1993  to 28 Aug 1993|Resident 3 - Psychiatry
University of Toronto, 29 Aug 1993  to 30 Jun 1994|Resident 4 - Psychiatry
University of Toronto, 01 Jul 1994  to 30 Jun 1995|Resident 4 - Psychiatry
University of Toronto, 01 Jul 1995  to 31 Dec 1995|Resident 4 - Psychiatry</t>
  </si>
  <si>
    <t>First certificate of registration issued: Postgraduate Education Certificate||Effective:   13 Sep 1990
Expired: Terms and conditions of certificate of registration||Expiry:      31 Dec 1995
Subsequent certificate of registration Issued: Independent Practice Certificate||Effective:   08 Feb 1996</t>
  </si>
  <si>
    <t>Sashikala Senthelal Medicine Professional Corporation</t>
  </si>
  <si>
    <t>Issued Date:  Jul 14 2005</t>
  </si>
  <si>
    <t>Dr. S. Senthelal (CPSO# 63130)</t>
  </si>
  <si>
    <t>711 - 600 Sherbourne Street,Toronto ON  M4X 1W4,(416) 929-0929
Trillium Health Centre,Trillium Health Centre,100 Queensway West,Mississauga ON  L5B 1B8,(905) 848-7586
Suite 300,Suite 300,2085 Hurontario Street,Mississauga ON  L5A 4G1,(905) 848-7586</t>
  </si>
  <si>
    <t>56693</t>
  </si>
  <si>
    <t xml:space="preserve">Active Member as of 13 May 1986 </t>
  </si>
  <si>
    <t xml:space="preserve">Independent Practice as of 14 Apr 1989 </t>
  </si>
  <si>
    <t>Singh, Sat Pal (used until: 14 Oct 1987 )</t>
  </si>
  <si>
    <t>University of Delhi, 1979</t>
  </si>
  <si>
    <t>Unit 35,1495 Cornwall Road,Oakville ON  L6J 0B2</t>
  </si>
  <si>
    <t>(905) 339-3211</t>
  </si>
  <si>
    <t>(905) 339-3246</t>
  </si>
  <si>
    <t>First certificate of registration issued: Academic Practice Certificate||Effective:   13 May 1986
Transfer of class of registration to: Independent Practice Certificate||Effective:   14 Apr 1989</t>
  </si>
  <si>
    <t>Dr. Satpal Girgla Medicine Professional Corporation</t>
  </si>
  <si>
    <t>Issued Date:  Sep 01 2005</t>
  </si>
  <si>
    <t>Dr. S. Girgla (CPSO# 56693)</t>
  </si>
  <si>
    <t>Unit 35,1495 Cornwall Road,Oakville ON  L6J 0B2,(905) 339-3211</t>
  </si>
  <si>
    <t>68881</t>
  </si>
  <si>
    <t>University of Western Ontario,Student Health Services,1120 - 1151 Richmond St,London ON  N6A 3K7</t>
  </si>
  <si>
    <t>54 Riverview Avenue,London ON  N6J 1A2,Canada,Phone:(519) 685-8500 Ext. 74801,Fax:519-433-4412,County:County of Middlesex,Electoral District:02</t>
  </si>
  <si>
    <t>University of Toronto, 01 Jul 1995  to 30 Jun 1996|PostGrad Yr 1 - Psychiatry
University of Toronto, 01 Jul 1996  to 30 Jun 1997|PostGrad Yr 2 - Psychiatry
University of Toronto, 01 Jul 1997  to 31 Dec 1997|PostGrad Yr 3 - Psychiatry
University of Toronto, 01 Jan 1998  to 30 Jun 1998|PostGrad Yr 3 - Psychiatry
University of Toronto, 01 Jul 1998  to 30 Jun 1999|PostGrad Yr 4 - Psychiatry
University of Toronto, 01 Jul 1999  to 30 Jun 2000|PostGrad Yr 5 - Psychiatry
University of Toronto, 01 Jul 2000  to 30 Jun 2001|Clinical Fellow - Psychiatry
University of Toronto, 01 Jul 2001  to 30 Jun 2002|Clinical Fellow - Psychiatry</t>
  </si>
  <si>
    <t>102268</t>
  </si>
  <si>
    <t xml:space="preserve">Active Member as of 05 Feb 2016 </t>
  </si>
  <si>
    <t xml:space="preserve">Restricted as of 05 Feb 2016 </t>
  </si>
  <si>
    <t>Kasturba Medical College, 2001</t>
  </si>
  <si>
    <t>Forensic Psychiatry Program,St. Joseph's Healthcare Hamilton,100 West 5th Street,Hamilton ON  L8N 3K7</t>
  </si>
  <si>
    <t>905 522 1155 Ext. 39383</t>
  </si>
  <si>
    <t>905 381 5605</t>
  </si>
  <si>
    <t>North Bay Regional Health Centre:North Bay
St Joseph's Healthcare System,Hamilton:Hamilton</t>
  </si>
  <si>
    <t>McMaster University, 01 Sep 2013  to 21 Nov 2013|PEAP - Clinical Fellow - Psychiatry
McMaster University, 22 Nov 2013  to 30 Jun 2014|Clinical Fellow - Psychiatry
McMaster University, 01 Jul 2014  to 03 Nov 2014|Clinical Fellow - Psychiatry
McMaster University, 04 Nov 2014  to 30 Jun 2015|Clinical Fellow - Psychiatry
McMaster University, 01 Jul 2015  to 04 Sep 2015|Clinical Fellow - Psychiatry</t>
  </si>
  <si>
    <t>First certificate of registration issued: Pre Entry Assessment Program Certificate||Effective:   21 Oct 2013
Transfer of class of registration to: Postgraduate Education Certificate||Effective:   22 Nov 2013
Expired: Terms and conditions of certificate of registration||Expiry:      04 Sep 2015
Subsequent certificate of registration issued: Restricted certificate||Effective:   05 Feb 2016</t>
  </si>
  <si>
    <t>S.Nagari Nandieshwar Medicine Professional Corporation</t>
  </si>
  <si>
    <t>Issued Date:  Aug 26 2016</t>
  </si>
  <si>
    <t>Dr. S. Nagari Nandieshwar (CPSO# 102268)</t>
  </si>
  <si>
    <t>Forensic Psychiatry Program,St. Joseph's Healthcare Hamilton,100 West 5th Street,Hamilton ON  L8N 3K7,(905) 522-1155
North Bay Regional Health Centre,North Bay Regional Health Centre,50 College Drive,North Bay ON  P1B 5A4,(705) 474-8600</t>
  </si>
  <si>
    <t>76334</t>
  </si>
  <si>
    <t xml:space="preserve">Active Member as of 19 Jan 2015 </t>
  </si>
  <si>
    <t xml:space="preserve">Independent Practice as of 19 Jan 2015 </t>
  </si>
  <si>
    <t>Dalhousie University, 2001</t>
  </si>
  <si>
    <t>Suite 207,199 Chesley Drive,Saint John NB  E2K 4S9</t>
  </si>
  <si>
    <t>(506) 658-0029</t>
  </si>
  <si>
    <t>New Brunswick
Nova Scotia</t>
  </si>
  <si>
    <t>University of Ottawa, 01 Jul 2001  to 30 Jun 2002|PostGrad Yr 1 - Psychiatry</t>
  </si>
  <si>
    <t>First certificate of registration issued: Postgraduate Education Certificate||Effective:   01 Jul 2001
Expired: Terms and conditions of certificate of registration||Expiry:      30 Jun 2002
Subsequent certificate of registration Issued: Independent Practice Certificate||Effective:   30 Jun 2007
Expired: Resigned from membership.||Expiry:      12 Jun 2009
Subsequent certificate of registration Issued: Independent Practice Certificate||Effective:   19 Jan 2015</t>
  </si>
  <si>
    <t>62203</t>
  </si>
  <si>
    <t>Queen's University, 1990</t>
  </si>
  <si>
    <t>301 - 1055 Yonge St,Toronto ON  M4W 2L2</t>
  </si>
  <si>
    <t>(416) 962-6704</t>
  </si>
  <si>
    <t>(855) 251-6222</t>
  </si>
  <si>
    <t>University of Toronto, 11 Jun 1990  to 17 Jun 1991|Other - Comprehensive Internship
University of Toronto, 01 Jul 1991  to 30 Jun 1992|Resident 1 - Psychiatry
University of Toronto, 01 Jul 1992  to 30 Jun 1993|Resident 2 - Psychiatry
University of Toronto, 01 Jan 1994  to 30 Jun 1994|Resident 3 - Psychiatry
University of Toronto, 01 Jul 1994  to 31 Dec 1994|Resident 3 - Psychiatry
University of Toronto, 01 Jan 1995  to 31 Dec 1995|Resident 4 - Psychiatry</t>
  </si>
  <si>
    <t>First certificate of registration issued: Postgraduate Education Certificate||Effective:   11 Jun 1990
Transfer of class of registration to: Independent Practice Certificate||Effective:   26 Feb 1992</t>
  </si>
  <si>
    <t>78732</t>
  </si>
  <si>
    <t>Sunnybrook Health Sciences Centre,2075 Bayview Avenue, FG43a,Toronto ON  M4N 3M5</t>
  </si>
  <si>
    <t>(416) 480-4202</t>
  </si>
  <si>
    <t>University of Toronto, 30 Dec 2002  to 30 Jun 2003|International Specialist Physician - Psychiatry</t>
  </si>
  <si>
    <t>First certificate of registration issued: Postgraduate Education Certificate||Effective:   30 Dec 2002
Expired: Terms and conditions of certificate of registration||Expiry:      30 Jun 2003
Subsequent certificate of registration issued: Restricted certificate||Effective:   15 Jul 2003
Terms and conditions amended by Registration Committee||Effective:   12 Oct 2006
Expired: Terms and conditions imposed on certificate by Registration Committee||Effective:   24 Mar 2008
Subsequent certificate of registration Issued: Independent Practice Certificate||Effective:   24 Mar 2008</t>
  </si>
  <si>
    <t>Castel Medicine Professional Corporation</t>
  </si>
  <si>
    <t>Issued Date:  Oct 16 2013</t>
  </si>
  <si>
    <t>Dr. S. Castel (CPSO# 78732)</t>
  </si>
  <si>
    <t>Sunnybrook Health Sciences Centre,Suite F603,2075 Bayview Avenue,Toronto ON  M4N 3M5,(416) 480-4202</t>
  </si>
  <si>
    <t>62793</t>
  </si>
  <si>
    <t xml:space="preserve">Active Member as of 27 Jun 1990 </t>
  </si>
  <si>
    <t xml:space="preserve">Independent Practice as of 27 Jun 1990 </t>
  </si>
  <si>
    <t>Mysore University, 1977</t>
  </si>
  <si>
    <t>170 The Queensway West,Suite 106,Mississauga ON  L5B 3A8</t>
  </si>
  <si>
    <t>Timmins and District Hospital:Timmins
Trillium Health Partners,Mississauga Hospital:Mississauga</t>
  </si>
  <si>
    <t>First certificate of registration issued: Independent Practice Certificate||Effective:   27 Jun 1990</t>
  </si>
  <si>
    <t>97930</t>
  </si>
  <si>
    <t>Dr. Scott Carmichael Medicine Professional Corporation</t>
  </si>
  <si>
    <t>Issued Date:  Apr 04 2018</t>
  </si>
  <si>
    <t>Dr. S. Carmichael (CPSO# 97930)</t>
  </si>
  <si>
    <t>The Ottawa Hospital Civic Campus,Department of Psychiatry,1053 Carling Avenue,Ottawa ON  K1Y 4E9,(613) 722-7000</t>
  </si>
  <si>
    <t>108768</t>
  </si>
  <si>
    <t xml:space="preserve">Independent Practice as of 22 Apr 2016 </t>
  </si>
  <si>
    <t>North Bay Regional Health Centre,50 College Drive,North Bay,North Bay ON  P1B 0A4</t>
  </si>
  <si>
    <t>705 474 8600</t>
  </si>
  <si>
    <t>PO Box 197,Qualicum Beach BC  V9K 1S7,Canada,Phone:2509271039,County:Electoral District</t>
  </si>
  <si>
    <t>Psychiatry||Effective: 30 Jun 2003||RCPSC Specialist
Forensic Psychiatry||Effective: 23 Sep 2014||RCPSC Specialist
Child and Adolescent Psychiatry||Effective: 21 Sep 2015||RCPSC Specialist</t>
  </si>
  <si>
    <t>First certificate of registration issued: Independent Practice Certificate||Effective:   22 Apr 2016</t>
  </si>
  <si>
    <t>Dr. Scott Prior Medicine Professional Corporation</t>
  </si>
  <si>
    <t>Issued Date:  Jun 20 2016</t>
  </si>
  <si>
    <t>Dr. S. Prior (CPSO# 108768)</t>
  </si>
  <si>
    <t>North Bay Regional Health Center,50 College Drive,North Bay ON  P1B 5A4,(705) 474-8600</t>
  </si>
  <si>
    <t>65338</t>
  </si>
  <si>
    <t>Sexual Behaviours Clinic,Centre for Addiciton and Mental,Health, Unit 2, First Floor,1001 Queen Street East,Toronto ON  M6J 1H4</t>
  </si>
  <si>
    <t>(416) 535-8501 Ext. 34708</t>
  </si>
  <si>
    <t>Queen Street Treatment Clinic,Toronto ON  M6J 1J4,Canada,Phone:(416) 538-3839,Fax:(416) 538-8738,County:City of Toronto,Electoral District:10</t>
  </si>
  <si>
    <t>University of Toronto, 15 Jun 1992  to 14 Jun 1993|Other - Family Medicine
University of Toronto, 01 Jul 1993  to 30 Jun 1994|Resident 1 - Psychiatry
University of Toronto, 01 Jul 1995  to 30 Jun 1996|Resident 3 - Psychiatry</t>
  </si>
  <si>
    <t>Scott Woodside Medicine Professional Corporation</t>
  </si>
  <si>
    <t>Issued Date:  Mar 16 2017</t>
  </si>
  <si>
    <t>Dr. S. Woodside (CPSO# 65338)</t>
  </si>
  <si>
    <t>Sexual Behaviours Clinic,Centre for Addiction and Mental Health,250 College Street,Toronto ON  M5T 1R8,(416) 979-4708
Queen Street Treatment Clinic,Queen Street Treatment Clinic,1194 Queen Street West,Toronto ON  M6J 1J6,(416) 538-3839</t>
  </si>
  <si>
    <t>62581</t>
  </si>
  <si>
    <t xml:space="preserve">Independent Practice as of 04 Dec 1991 </t>
  </si>
  <si>
    <t>Regional Rehabilitation Centre,300 Wellington St. North,Hamilton ON  L8L 0A4</t>
  </si>
  <si>
    <t>(905) 521-2100 Ext. 40813</t>
  </si>
  <si>
    <t>(905) 577-8233</t>
  </si>
  <si>
    <t>St. Joseph's Health Care Hamilton,50 Charlton Avenue East,Hamilton ON  L8N 4A6,Canada,Phone:905-522-2941,County:Regional Municipality of Hamilton-Wentworth,Electoral District:04</t>
  </si>
  <si>
    <t>McMaster University, 01 Jul 1994  to 30 Jun 1995|Resident 4 - Psychiatry
University of Toronto, 01 Aug 1997  to 30 Jun 1998|Clinical Fellow - Psychiatry
University of Toronto, 01 Jul 1998  to 01 Sep 1998|Clinical Fellow - Psychiatry</t>
  </si>
  <si>
    <t>First certificate of registration issued: Postgraduate Education Certificate||Effective:   01 Jul 1990
Transfer of class of registration to: Independent Practice Certificate||Effective:   04 Dec 1991</t>
  </si>
  <si>
    <t>110504</t>
  </si>
  <si>
    <t xml:space="preserve">Restricted as of 18 Jul 2016 </t>
  </si>
  <si>
    <t>St George's University of Grenada, 2010</t>
  </si>
  <si>
    <t>2525 Rose Ville Garden Drive,Suite 203,Windsor ON  N8T 3J8</t>
  </si>
  <si>
    <t>519-944-0283</t>
  </si>
  <si>
    <t>519-944-5383</t>
  </si>
  <si>
    <t>Hotel Dieu Grace Healthcare,1453 Prince Rd,Windsor ON  N9C 3Z4,Canada,Phone:5192575111,County:County of Essex,Electoral District:01</t>
  </si>
  <si>
    <t>Psychiatry||Effective: 18 Jul 2016||CPSO Recognized Specialist</t>
  </si>
  <si>
    <t>First certificate of registration issued: Restricted certificate||Effective:   18 Jul 2016
Terms and conditions imposed on certificate by Registration Committee||Effective:   18 Jul 2016
Expiry date attached to certificate of registration.||Expiry Date: 17 Jan 2018
Terms and conditions amended by Registration Committee||Effective:   02 Jan 2018</t>
  </si>
  <si>
    <t>Dr. Sean Prabhu Medicine Professional Corporation</t>
  </si>
  <si>
    <t>Issued Date:  Aug 22 2016</t>
  </si>
  <si>
    <t>Dr. S. Prabhu (CPSO# 110504)</t>
  </si>
  <si>
    <t>2525 Roseville Gardens Drive,Suite 203,Windsor ON  N8T 3J8,(519) 944-0283
1453 Prince Road,1453 Prince Road,Windsor ON  N9C 3Z4,(519) 257-5111</t>
  </si>
  <si>
    <t>31339</t>
  </si>
  <si>
    <t xml:space="preserve">Active Member as of 08 Feb 1980 </t>
  </si>
  <si>
    <t xml:space="preserve">Independent Practice as of 08 Feb 1980 </t>
  </si>
  <si>
    <t>University of Dublin, 1966</t>
  </si>
  <si>
    <t>Psychiatry||Effective: 27 Nov 1979||RCPSC Specialist</t>
  </si>
  <si>
    <t>First certificate of registration issued: Independent Practice Certificate||Effective:   08 Feb 1980</t>
  </si>
  <si>
    <t>84672</t>
  </si>
  <si>
    <t xml:space="preserve">Independent Practice as of 05 Nov 2012 </t>
  </si>
  <si>
    <t>Bridgepoint Hospital,1 Bridgepoint Drive,Toronto ON  M4M 2B5</t>
  </si>
  <si>
    <t>(416) 461-2089</t>
  </si>
  <si>
    <t>Anishnawbe Health Toronto,179 Gerrard St E,Toronto ON  M5A 2E5,Canada,Phone:(416) 920-2605,Fax:(416) 920-8876,County:City of Toronto,Electoral District:10</t>
  </si>
  <si>
    <t>Bridgepoint Hospital:Toronto
Mount Sinai Hospital:Toronto
St Michael's Hospital:Toronto</t>
  </si>
  <si>
    <t>Psychiatry||Effective: 05 Nov 2012||RCPSC Specialist</t>
  </si>
  <si>
    <t>University of Toronto, 01 Jul 2006  to 30 Jun 2007|PostGrad Yr 1 - Psychiatry
University of Toronto, 01 Jul 2007  to 30 Jun 2008|PostGrad Yr 2 - Psychiatry
University of Toronto, 01 Jul 2008  to 30 Jun 2009|PostGrad Yr 3 - Psychiatry
University of Toronto, 01 Jul 2009  to 04 May 2010|PostGrad Yr 3 - Psychiatry
University of Toronto, 05 May 2010  to 30 Jun 2010|PostGrad Yr 4 - Psychiatry
University of Toronto, 01 Jul 2010  to 30 Jun 2011|PostGrad Yr 4 - Psychiatry
University of Toronto, 01 Jul 2011  to 05 Nov 2011|PostGrad Yr 4 - Psychiatry
University of Toronto, 06 Nov 2011  to 05 Nov 2012|PostGrad Yr 5 - Psychiatry</t>
  </si>
  <si>
    <t>First certificate of registration issued: Postgraduate Education Certificate||Effective:   01 Jul 2006
Transfer of class of registration to: Independent Practice Certificate||Effective:   05 Nov 2012</t>
  </si>
  <si>
    <t>S. A. Khan Medicine Professional Corporation</t>
  </si>
  <si>
    <t>Issued Date:  Sep 28 2016</t>
  </si>
  <si>
    <t>Dr. S. Khan (CPSO# 84672)</t>
  </si>
  <si>
    <t>1 Bridgepoint Drive,Toronto ON  M4M 2B5,(416) 461-8252
179 Gerrard Street East,179 Gerrard Street East,Toronto ON  M5A 2E5,(416) 920-2605</t>
  </si>
  <si>
    <t>76496</t>
  </si>
  <si>
    <t>Hospital for Sick Children,555 University Avenue,Toronto ON  M5G 1X8</t>
  </si>
  <si>
    <t>(416) 813-7654</t>
  </si>
  <si>
    <t>North York General - Branson,555 Finch Avenue West,5th floor,Toronto ON  M2R 1N5,Canada,Phone:(416) 635-2400,County:City of Toronto,Electoral District:10</t>
  </si>
  <si>
    <t>Hospital For Sick Children:Toronto
North York General Hospital,Branson Hospital Site:Toronto</t>
  </si>
  <si>
    <t>University of Toronto, 01 Jul 2001  to 30 Jun 2002|PostGrad Yr 1 - Psychiatry
University of Toronto, 01 Jul 2002  to 30 Jun 2003|PostGrad Yr 2 - Psychiatry
University of Toronto, 01 Jul 2003  to 30 Jun 2004|PostGrad Yr 3 - Psychiatry
University of Toronto, 01 Jul 2004  to 30 Jun 2005|PostGrad Yr 4 - Psychiatry
University of Toronto, 01 Jul 2005  to 30 Jun 2006|PostGrad Yr 5 - Psychiatry
University of Toronto, 01 Sep 2006  to 30 Jun 2007|Clinical Fellow - Psychiatry
University of Toronto, 01 Jul 2007  to 30 Jun 2008|Clinical Fellow - Psychiatry
University of Toronto, 01 Jul 2008  to 01 Sep 2008|Clinical Fellow - Psychiatry</t>
  </si>
  <si>
    <t>Dr. Seena Grewal Medicine Professional Corporation</t>
  </si>
  <si>
    <t>Dr. S. Grewal (CPSO# 76496)</t>
  </si>
  <si>
    <t>555 Finch Avenue West,Toronto ON  M2R 1N5,(416) 632-8703
555 University Avenue,555 University Avenue,Toronto ON  M5G 1X8,(416) 813-7456</t>
  </si>
  <si>
    <t>102307</t>
  </si>
  <si>
    <t xml:space="preserve">Active Member as of 01 Jan 2016 </t>
  </si>
  <si>
    <t xml:space="preserve">Restricted as of 01 Jan 2016 </t>
  </si>
  <si>
    <t>Arabic, English, French, Hebrew</t>
  </si>
  <si>
    <t>(416) 813-7654 Ext. 201122</t>
  </si>
  <si>
    <t>Child and Adolescent Psychiatry||Effective: 01 Jan 2016||CPSO Recognized Specialist</t>
  </si>
  <si>
    <t>University of Toronto, 01 Nov 2013  to 23 Jan 2014|PEAP - Clinical Fellow - Psychiatry
University of Toronto, 24 Jan 2014  to 30 Jun 2014|Clinical Fellow - Psychiatry
University of Toronto, 01 Jul 2014  to 30 Jun 2015|Clinical Fellow - Psychiatry
University of Toronto, 01 Jul 2015  to 31 Oct 2015|Clinical Fellow - Psychiatry
University of Toronto, 01 Nov 2015  to 31 Dec 2015|Clinical Fellow - Psychiatry</t>
  </si>
  <si>
    <t>First certificate of registration issued: Pre Entry Assessment Program Certificate||Effective:   01 Nov 2013
Transfer of class of registration to: Postgraduate Education Certificate||Effective:   24 Jan 2014
Expired: Terms and conditions of certificate of registration||Expiry:      31 Dec 2015
Subsequent certificate of registration issued: Restricted certificate||Effective:   01 Jan 2016
Expiry date attached to certificate of registration.||Expiry Date: 31 Dec 2022</t>
  </si>
  <si>
    <t>Sefi Kronenberg Medicine Professional Corporation</t>
  </si>
  <si>
    <t>Dr. S. Kronenberg (CPSO# 102307)</t>
  </si>
  <si>
    <t>The Hospital for Sick Children,Department of Psychiatry,555 University Avenue,Toronto ON  M5G 1X8,(416) 813-7654</t>
  </si>
  <si>
    <t>96051</t>
  </si>
  <si>
    <t>University of Jaffna, 2008</t>
  </si>
  <si>
    <t>Scarborough and Rouge Hospital,Department of Psychiatry,2867 Ellesmere Road,Scarborough ON  M1E 4B9</t>
  </si>
  <si>
    <t>4162848131 Ext. 5330</t>
  </si>
  <si>
    <t>The University of Western Ontario, 01 Jul 2011  to 24 Oct 2011|Assessment Verification Period - Psychiatry
The University of Western Ontario, 25 Oct 2011  to 30 Jun 2012|PostGrad Yr 1 - Psychiatry
The University of Western Ontario, 01 Jul 2012  to 30 Jun 2013|PostGrad Yr 2 - Psychiatry
The University of Western Ontario, 01 Jul 2013  to 18 Jul 2013|PostGrad Yr 2 - Psychiatry
The University of Western Ontario, 19 Jul 2013  to 30 Jun 2014|PostGrad Yr 3 - Psychiatry
The University of Western Ontario, 01 Jul 2014  to 28 Mar 2015|PostGrad Yr 3 - Psychiatry
The University of Western Ontario, 29 Mar 2015  to 30 Jun 2015|PostGrad Yr 4 - Psychiatry
The University of Western Ontario, 01 Jul 2015  to 28 Mar 2016|PostGrad Yr 4 - Psychiatry
The University of Western Ontario, 29 Mar 2016  to 30 Jun 2016|PostGrad Yr 5 - Psychiatry
The University of Western Ontario, 01 Jul 2016  to 25 May 2017|PostGrad Yr 5 - Psychiatry</t>
  </si>
  <si>
    <t>First certificate of registration issued: Pre Entry Assessment Program Certificate||Effective:   01 Jul 2011
Transfer of class of registration to: Postgraduate Education Certificate||Effective:   25 Oct 2011
Expired: Terms and conditions of certificate of registration||Expiry:      25 May 2017
Subsequent certificate of registration issued: Restricted certificate||Effective:   16 Aug 2017
Expiry as per terms and conditions imposed on certificate||Expiry Date: 15 Aug 2020</t>
  </si>
  <si>
    <t>Senthuran Gunaratnam Medicine Professional Corporation</t>
  </si>
  <si>
    <t>Issued Date:  Aug 24 2017</t>
  </si>
  <si>
    <t>Dr. S. Gunaratnam (CPSO# 96051)</t>
  </si>
  <si>
    <t>Scarborough and Rouge Hospital,Department of Psychiatry,616-2867 Ellesmere Road,Scarborough ON  M1E 4B9,(416) 284-8131
Durham Mental Health Services,Durham Mental Health Services,519 Brock Street South,Whitby ON  L1N 4K8,(905) 666-0831</t>
  </si>
  <si>
    <t>93990</t>
  </si>
  <si>
    <t>The Ottawa Hospital General Campus,Department of Mental Health,501 Smyth Road,Ottawa ON  K1H 8L6</t>
  </si>
  <si>
    <t>Sephora Tang Medicine Professional Corporation</t>
  </si>
  <si>
    <t>Dr. S. Tang (CPSO# 93990)</t>
  </si>
  <si>
    <t>The Ottawa Hospital,General Campus,Department of Psychiatry,501 Smyth Road,Ottawa ON  K1H 8L6,(613) 737-8010</t>
  </si>
  <si>
    <t>70271</t>
  </si>
  <si>
    <t>3591 Innes Rd,Ottawa ON  K1C 1T1</t>
  </si>
  <si>
    <t>(613) 834 3444</t>
  </si>
  <si>
    <t>(613) 824-5538</t>
  </si>
  <si>
    <t>Psychiatry||Effective: 05 Jun 2003||RCPSC Specialist</t>
  </si>
  <si>
    <t>University of Ottawa, 01 Jul 1996  to 30 Jun 1997|PostGrad Yr 1 - Psychiatry
University of Ottawa, 01 Jul 1997  to 30 Jun 1998|PostGrad Yr 2 - Psychiatry
University of Ottawa, 01 Jul 1998  to 30 Jun 1999|PostGrad Yr 3 - Psychiatry
University of Ottawa, 01 Jul 1999  to 30 Jun 2000|PostGrad Yr 4 - Psychiatry
University of Ottawa, 01 Jul 2000  to 30 Jun 2001|PostGrad Yr 5 - Psychiatry</t>
  </si>
  <si>
    <t>First certificate of registration issued: Postgraduate Education Certificate||Effective:   01 Jul 1996
Expired: Terms and conditions of certificate of registration||Expiry:      30 Jun 2001
Subsequent certificate of registration issued: Restricted certificate||Effective:   03 Aug 2001
Terms and conditions amended by Registration Committee||Effective:   25 Jul 2002
Expired: Terms and conditions imposed on certificate by Registration Committee||Effective:   10 Jul 2003
Subsequent certificate of registration Issued: Independent Practice Certificate||Effective:   10 Jul 2003</t>
  </si>
  <si>
    <t>Dr. S. Lessard Medicine Professional Corporation</t>
  </si>
  <si>
    <t>Inactive: Sep 19 2008</t>
  </si>
  <si>
    <t>Serge Lessard Medicine Professional Corporation</t>
  </si>
  <si>
    <t>Dr. S. Lessard (CPSO# 70271)</t>
  </si>
  <si>
    <t>3591 Innes Road,Ottawa ON  K1C 1T1,(613) 834-3444</t>
  </si>
  <si>
    <t>86260</t>
  </si>
  <si>
    <t>Downtown West Clinic / Archway,CAMH,1451 Queen Street West,Toronto ON  M6R 1A1</t>
  </si>
  <si>
    <t>(416) 535-8501 Ext. 77500</t>
  </si>
  <si>
    <t>(416) 539-9771</t>
  </si>
  <si>
    <t>Mood and Anxiety Unit - (MAUI),CAMH,1001 Queen Street West,Toronto ON  M6J 1H1,Canada,Phone:(416) 535-8501 Ext. 32499,Fax:(416) 583-1334,County:City of Toronto,Electoral District:10</t>
  </si>
  <si>
    <t>21786</t>
  </si>
  <si>
    <t xml:space="preserve">Active Member as of 18 Mar 1983 </t>
  </si>
  <si>
    <t xml:space="preserve">Independent Practice as of 18 Mar 1983 </t>
  </si>
  <si>
    <t>The Colonnade,Suite 609,131 Bloor Street West,Toronto ON  M5S 1S3</t>
  </si>
  <si>
    <t>(416) 921-0315</t>
  </si>
  <si>
    <t>(416) 921-9437</t>
  </si>
  <si>
    <t>Psychiatry||Effective: 13 May 2010||CPSO Recognized Specialist</t>
  </si>
  <si>
    <t>First certificate of registration issued: Independent Practice Certificate||Effective:   28 Jan 1969
Expired: Resigned from membership.||Expiry:      24 Feb 1971
Subsequent certificate of registration Issued: Independent Practice Certificate||Effective:   18 Mar 1983</t>
  </si>
  <si>
    <t>97496</t>
  </si>
  <si>
    <t xml:space="preserve">Active Member as of 10 May 2012 </t>
  </si>
  <si>
    <t xml:space="preserve">Restricted as of 10 May 2012 </t>
  </si>
  <si>
    <t>Mysore University, 1994</t>
  </si>
  <si>
    <t>Woodstock General Hospital,Department of Psychiatry,310 Juliana Drive,Woodstock ON  N4V 0A4</t>
  </si>
  <si>
    <t>(519) 421-4223</t>
  </si>
  <si>
    <t>India
Manitoba
Northwest Territories
Prince Edward Island</t>
  </si>
  <si>
    <t>Thunder Bay Regional Health Sciences Centre:Thunder Bay
Woodstock General Hospital:Woodstock</t>
  </si>
  <si>
    <t>Psychiatry||Effective: 16 Apr 2008||RCPSC Specialist</t>
  </si>
  <si>
    <t>First certificate of registration issued: Restricted certificate||Effective:   10 May 2012
Terms and conditions imposed on certificate by Registration Committee||Effective:   10 May 2012
Expiry date attached to certificate of registration.||Expiry Date: 09 May 2015
Terms and conditions amended by Registration Committee||Effective:   03 Feb 2015
Expiry date removed from certificate of registration.||Effective:   03 Feb 2015</t>
  </si>
  <si>
    <t>Dr. Shabbir Amanullah Medicine Professional Corporation</t>
  </si>
  <si>
    <t>Dr. S. Amanullah (CPSO# 97496)</t>
  </si>
  <si>
    <t>Woodstock General Hospital,Department of Psychiatry,310 Juliana Drive,Woodstock ON  N4V 0A4,(519) 421-4233</t>
  </si>
  <si>
    <t>51016</t>
  </si>
  <si>
    <t xml:space="preserve">Active Member as of 15 Aug 2014 </t>
  </si>
  <si>
    <t xml:space="preserve">Independent Practice as of 15 Aug 2014 </t>
  </si>
  <si>
    <t>Royal College of Surgeons in Ireland, 1976</t>
  </si>
  <si>
    <t>13-15 Scott Street,Waverley,Benmore Gauteng 2010,South Africa</t>
  </si>
  <si>
    <t>+27114404425</t>
  </si>
  <si>
    <t>+27114404414</t>
  </si>
  <si>
    <t>16 goldring crescent,Markham ON  L6C 1Y6,Canada,Phone:(416) 540-1212,Fax:9054030323,County:Regional Municipality of York,Electoral District:05</t>
  </si>
  <si>
    <t>South Africa</t>
  </si>
  <si>
    <t>First certificate of registration issued: Postgraduate Education Certificate||Effective:   01 Jul 1979
Expired: Terms and conditions of certificate of registration||Expiry:      30 Jun 1983
Subsequent certificate of registration Issued: Hospital Practice Certificate||Effective:   09 May 1985
Transfer of class of registration to: Independent Practice Certificate||Effective:   30 Dec 1985
Expired: Failure to Renew Membership||Expiry:      14 Aug 2014
Subsequent certificate of registration Issued: Independent Practice Certificate||Effective:   15 Aug 2014</t>
  </si>
  <si>
    <t>75313</t>
  </si>
  <si>
    <t xml:space="preserve">Active Member as of 11 Aug 2006 </t>
  </si>
  <si>
    <t xml:space="preserve">Independent Practice as of 11 Aug 2006 </t>
  </si>
  <si>
    <t>C A M H,Forensic Division,Unit 3-4,1001 Queen Street West,Toronto ON  M6J 1H4</t>
  </si>
  <si>
    <t>(416) 535-8501 Ext. 32984</t>
  </si>
  <si>
    <t>Psychiatry||Effective: 30 Jun 2005||RCPSC Specialist
Forensic Psychiatry||Effective: 23 Sep 2014||RCPSC Specialist</t>
  </si>
  <si>
    <t>First certificate of registration issued: Postgraduate Education Certificate||Effective:   01 Jul 2000
Expired: Terms and conditions of certificate of registration||Expiry:      30 Jun 2005
Subsequent certificate of registration Issued: Independent Practice Certificate||Effective:   11 Aug 2006</t>
  </si>
  <si>
    <t>Dr. Shaheen Darani Medicine Professional Corporation</t>
  </si>
  <si>
    <t>Issued Date:  Sep 16 2010</t>
  </si>
  <si>
    <t>Dr. S. Darani (CPSO# 75313)</t>
  </si>
  <si>
    <t>C A M H,Law and Mental Health Program,Unit 3-4,1001 Queen Street West,Toronto ON  M6J 1H4,(416) 535-8501</t>
  </si>
  <si>
    <t>75612</t>
  </si>
  <si>
    <t xml:space="preserve">Active Member as of 26 May 2011 </t>
  </si>
  <si>
    <t xml:space="preserve">Restricted as of 26 May 2011 </t>
  </si>
  <si>
    <t>University of Karachi, 1989</t>
  </si>
  <si>
    <t>Psychiatry||Effective: 26 May 2011||CPSO Recognized Specialist</t>
  </si>
  <si>
    <t>McMaster University, 01 Aug 2000  to 30 Jun 2001|Clinical Fellow - Psychiatry
McMaster University, 01 Jul 2001  to 30 Jun 2002|Clinical Fellow - Psychiatry</t>
  </si>
  <si>
    <t>First certificate of registration issued: Postgraduate Education Certificate||Effective:   25 Aug 2000
Expired: Terms and conditions of certificate of registration||Expiry:      30 Jun 2002
Subsequent certificate of registration issued: Restricted certificate||Effective:   26 May 2011
Terms and conditions amended by Registration Committee||Effective:   01 Oct 2012
Expiry date removed from certificate of registration.||Effective:   01 Oct 2012</t>
  </si>
  <si>
    <t>Shahzad Shahmalak Medicine Professional Corporation</t>
  </si>
  <si>
    <t>Issued Date:  Sep 27 2011</t>
  </si>
  <si>
    <t>Dr. S. Shahmalak (CPSO# 75612)</t>
  </si>
  <si>
    <t>Cambridge Memorial Hospital,700 Coronation Boulevard,Cambridge ON  N1R 3G2,(519) 740-4900</t>
  </si>
  <si>
    <t>88735</t>
  </si>
  <si>
    <t>American University of the Caribbean, 2006</t>
  </si>
  <si>
    <t>Brockville General Hospital,75 Charles ST,Brockville ON  K6V 1S8</t>
  </si>
  <si>
    <t>(613) 345-4600</t>
  </si>
  <si>
    <t>75 Charles St,Brockville ON  K6V 1S8,Canada,Phone:613-345-4600,County:County of Leeds and Grenville,Electoral District:06</t>
  </si>
  <si>
    <t>Queen's University, 01 Jul 2008  to 22 Sep 2008|Assessment Verification Period - Psychiatry
Queen's University, 23 Sep 2008  to 30 Jun 2009|PostGrad Yr 1 - Psychiatry
Queen's University, 01 Jul 2009  to 30 Jun 2010|PostGrad Yr 2 - Psychiatry
Queen's University, 01 Jul 2010  to 12 Jan 2011|PostGrad Yr 2 - Psychiatry
Queen's University, 13 Jan 2011  to 12 Jan 2012|PostGrad Yr 3 - Psychiatry
Queen's University, 13 Jan 2012  to 12 Jan 2013|PostGrad Yr 4 - Psychiatry
Queen's University, 13 Jan 2013  to 30 Jun 2013|PostGrad Yr 5 - Psychiatry
Queen's University, 01 Jul 2013  to 30 Jun 2014|PostGrad Yr 5 - Psychiatry</t>
  </si>
  <si>
    <t>First certificate of registration issued: Pre Entry Assessment Program Certificate||Effective:   01 Jul 2008
Transfer of class of registration to: Postgraduate Education Certificate||Effective:   23 Sep 2008
Transfer of class of registration to: Independent Practice Certificate||Effective:   30 May 2014</t>
  </si>
  <si>
    <t>Shaimaa Abo-El Ella Medicine Professional Corporation</t>
  </si>
  <si>
    <t>Issued Date:  Nov 18 2014</t>
  </si>
  <si>
    <t>Dr. S. Abo-El Ella (CPSO# 88735)</t>
  </si>
  <si>
    <t>Brockville General Hospital,75 Charles Street,Brockville ON  K6V 1S8,(613) 345-4600</t>
  </si>
  <si>
    <t>80752</t>
  </si>
  <si>
    <t>Centre for Addiction &amp; Mental Health,Queen Street Site:Toronto
Markham Stouffville Hospital:Markham</t>
  </si>
  <si>
    <t>University of Toronto, 01 Jul 2004  to 30 Jun 2005|PostGrad Yr 1 - Psychiatry
University of Toronto, 01 Jul 2005  to 30 Jun 2006|PostGrad Yr 2 - Psychiatry
University of Toronto, 01 Jul 2006  to 30 Jun 2007|PostGrad Yr 3 - Psychiatry
University of Toronto, 01 Jul 2007  to 30 Jun 2008|PostGrad Yr 4 - Psychiatry
University of Toronto, 01 Jul 2008  to 30 Jun 2009|PostGrad Yr 5 - Psychiatry
University of Toronto, 01 Jul 2009  to 30 Jun 2010|Clinical Fellow - Psychiatry</t>
  </si>
  <si>
    <t>Shameet N. Bakshi Medicine Professional Corporation</t>
  </si>
  <si>
    <t>Dr. S. Bakshi (CPSO# 80752)</t>
  </si>
  <si>
    <t>101422</t>
  </si>
  <si>
    <t xml:space="preserve">Active Member as of 30 Nov 2015 </t>
  </si>
  <si>
    <t xml:space="preserve">Restricted as of 30 Nov 2015 </t>
  </si>
  <si>
    <t>National University of Ireland, 2005</t>
  </si>
  <si>
    <t>St. Michael's Hospital,Suicide and Depression Studies,6-003 - 193 Yonge St,Toronto ON  M5B 1W8</t>
  </si>
  <si>
    <t>(416) 864 6099</t>
  </si>
  <si>
    <t>(416) 864-5996</t>
  </si>
  <si>
    <t>399 Bathurst Street, M9-324,Mood Disorder Unit,Toronto ON  M5T2S8,Canada,Phone:(416) 6035760,Fax:4166035368,County:City of Toronto,Electoral District:10</t>
  </si>
  <si>
    <t>St Michael's Hospital:Toronto
University Health Network,Toronto Western Hospital Site:Toronto</t>
  </si>
  <si>
    <t>Psychiatry||Effective: 30 Nov 2015||CPSO Recognized Specialist</t>
  </si>
  <si>
    <t>University of Toronto, 01 Jul 2013  to 18 Sep 2013|PEAP - Clinical Fellow - Psychiatry
University of Toronto, 19 Sep 2013  to 30 Jun 2014|Clinical Fellow - Psychiatry
University of Toronto, 01 Jul 2014  to 30 Jun 2015|Clinical Fellow - Psychiatry
University of Toronto, 01 Jul 2015  to 30 Nov 2015|Clinical Fellow - Psychiatry</t>
  </si>
  <si>
    <t>First certificate of registration issued: Pre Entry Assessment Program Certificate||Effective:   01 Jul 2013
Transfer of class of registration to: Postgraduate Education Certificate||Effective:   19 Sep 2013
Expired: Terms and conditions of certificate of registration||Expiry:      30 Nov 2015
Subsequent certificate of registration issued: Restricted certificate||Effective:   30 Nov 2015
Expiry date attached to certificate of registration.||Expiry Date: 29 Nov 2022</t>
  </si>
  <si>
    <t>Dr. Shane Mc Inerney Medicine Professional Corporation</t>
  </si>
  <si>
    <t>Issued Date:  Apr 25 2016</t>
  </si>
  <si>
    <t>Dr. S. Mc Inerney (CPSO# 101422)</t>
  </si>
  <si>
    <t>St Michael's Hospital,Suicide and Depression Studies,193 Yonge Street,Suite 6-003,Toronto ON  M5B 1W8,(416) 864-6099
Toronto Western Hospital,Toronto Western Hospital,399 Bathurst Street,Suite M9-324,Toronto ON  M5T 2S8,(416) 603-5800
30 Bond Street,30 Bond Street,Toronto ON  M5B 1W8,(416) 864-6060</t>
  </si>
  <si>
    <t>91698</t>
  </si>
  <si>
    <t xml:space="preserve">Active Member as of 04 Feb 2015 </t>
  </si>
  <si>
    <t xml:space="preserve">Independent Practice as of 04 Feb 2015 </t>
  </si>
  <si>
    <t>Scarborough and Rouge Hospital,6th Floor,2867 Ellesmere Road,Scarborough ON  M1E 4B9</t>
  </si>
  <si>
    <t>(416) 284-8131 Ext. 5330</t>
  </si>
  <si>
    <t>Psychiatry||Effective: 20 Nov 2014||RCPSC Specialist</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</si>
  <si>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5 - Psychiatry
University of Toronto, 01 Jul 2014  to 20 Nov 2014|PostGrad Yr 5 - Psychiatry
University of Toronto, 21 Nov 2014  to 31 Dec 2014|PostGrad Yr 5 - Psychiatry</t>
  </si>
  <si>
    <t>First certificate of registration issued: Postgraduate Education Certificate||Effective:   01 Jul 2009
Expired: Terms and conditions of certificate of registration||Expiry:      31 Dec 2014
Subsequent certificate of registration Issued: Independent Practice Certificate||Effective:   04 Feb 2015</t>
  </si>
  <si>
    <t>95348</t>
  </si>
  <si>
    <t>Centre for Addiction and,Mental Health,Queen Street Site,1001 Queen Street West,Toronto ON  M6J 1H4</t>
  </si>
  <si>
    <t>52482</t>
  </si>
  <si>
    <t>37 Bramley St. North,37 Bramley St. North,Toronto ON  L1A 3L1</t>
  </si>
  <si>
    <t>6472019404</t>
  </si>
  <si>
    <t>First certificate of registration issued: Postgraduate Education Certificate||Effective:   13 Jun 1983
Transfer of class of registration to: Independent Practice Certificate||Effective:   10 Jun 1986</t>
  </si>
  <si>
    <t>114164</t>
  </si>
  <si>
    <t xml:space="preserve">Active Member as of 11 Jul 2018 </t>
  </si>
  <si>
    <t>C A M H,841 - 250 College St,Toronto ON  M5T 1R8</t>
  </si>
  <si>
    <t>Northern Ontario School Of Medicine, 01 Dec 2017  to 31 Dec 2017|Elective Trainee - Psychiatry
University of Toronto, 01 Jul 2018  to 30 Jun 2019|PostGrad Yr 6 - Geriatric Psychiatry</t>
  </si>
  <si>
    <t>First certificate of registration issued: Postgraduate Education Certificate||Effective:   01 Dec 2017
Expired: Terms and conditions of certificate of registration||Expiry:      31 Dec 2017
Subsequent certificate of registration Issued: Independent Practice Certificate||Effective:   11 Jul 2018</t>
  </si>
  <si>
    <t>67951</t>
  </si>
  <si>
    <t xml:space="preserve">Independent Practice as of 31 Jul 2000 </t>
  </si>
  <si>
    <t>Canadian Medical Protective,Association,875 Carling Ave Ottawa On,K1S 5 P1,Ottawa ON  K1S 5P1</t>
  </si>
  <si>
    <t>613-725-2000</t>
  </si>
  <si>
    <t>1145 Carling Ave,Ottawa On,Consulting privileges only,Ottawa ON  K1Z 7K4,Canada,Phone:613-882-2865,County:Regional Municipality of Ottawa-Carleton,Electoral District:07
The Ottawa Hospital,501 Smyth Rd,Ottawa ON,Consulting privileges only,Ottawa ON  K1H 8L6,Canada,County:Regional Municipality of Ottawa-Carleton,Electoral District:07</t>
  </si>
  <si>
    <t>Psychiatry||Effective: 31 Jul 2000||RCPSC Specialist</t>
  </si>
  <si>
    <t>University of Ottawa, 01 Jul 1994  to 30 Jun 1995|PostGrad Yr 1 - Psychiatry
University of Ottawa, 01 Jul 1995  to 30 Jun 1996|Resident 1 - Psychiatry
University of Ottawa, 01 Jul 1996  to 31 Dec 1996|PostGrad Yr 2 - Psychiatry
University of Ottawa, 01 Jan 1997  to 30 Jun 1997|PostGrad Yr 3 - Psychiatry
University of Ottawa, 01 Jul 1997  to 31 Dec 1997|PostGrad Yr 3 - Psychiatry
University of Ottawa, 01 Jan 1998  to 30 Jun 1998|PostGrad Yr 4 - Psychiatry
University of Ottawa, 01 Jul 1998  to 30 Jun 1999|PostGrad Yr 4 - Psychiatry
University of Ottawa, 01 Jul 1999  to 30 Jun 2000|PostGrad Yr 5 - Psychiatry
University of Ottawa, 01 Jul 2000  to 31 Jul 2000|PostGrad Yr 5 - Psychiatry
University of Ottawa, 01 Aug 2000  to 31 Jul 2001|Clinical Fellow - Psychiatry</t>
  </si>
  <si>
    <t>First certificate of registration issued: Postgraduate Education Certificate||Effective:   01 Jul 1994
Transfer of class of registration to: Independent Practice Certificate||Effective:   31 Jul 2000</t>
  </si>
  <si>
    <t>Sharman J. Robertson Medicine Professional Corporation</t>
  </si>
  <si>
    <t>Dr. S. Robertson (CPSO# 67951)</t>
  </si>
  <si>
    <t>Department of Psychiatry,Schizophrenia Program,Royal Ottawa Hospital,1145 Carling Avenue,Ottawa ON  K1Z 7K4,(613) 722-6521
501 Smyth Road,501 Smyth Road,Ottawa ON  K1H 8L6</t>
  </si>
  <si>
    <t>64153</t>
  </si>
  <si>
    <t xml:space="preserve">Independent Practice as of 02 Nov 1992 </t>
  </si>
  <si>
    <t>Psychiatry||Effective: 30 Sep 1997||RCPSC Specialist</t>
  </si>
  <si>
    <t>University of Toronto, 01 Jul 1995  to 30 Jun 1996|Resident 3 - Psychiatry
University of Toronto, 01 Jul 1996  to 30 Jun 1997|Resident 4 - Psychiatry
University of Toronto, 01 Jul 1997  to 30 Sep 1997|Resident 4 - Psychiatry</t>
  </si>
  <si>
    <t>First certificate of registration issued: Postgraduate Education Certificate||Effective:   17 Jun 1991
Transfer of class of registration to: Independent Practice Certificate||Effective:   02 Nov 1992</t>
  </si>
  <si>
    <t>95516</t>
  </si>
  <si>
    <t xml:space="preserve">Independent Practice as of 30 Sep 2016 </t>
  </si>
  <si>
    <t>Woodstock Hospital,310 Juliana Drive,Woodstock ON  N4S 6N6</t>
  </si>
  <si>
    <t>Psychiatry||Effective: 30 Sep 2016||RCPSC Specialist</t>
  </si>
  <si>
    <t>The University of Western Ontario, 01 Jul 2011  to 24 Oct 2011|Assessment Verification Period - Psychiatry
The University of Western Ontario, 25 Oct 2011  to 30 Jun 2012|PostGrad Yr 1 - Psychiatry
The University of Western Ontario, 01 Jul 2012  to 30 Jun 2013|PostGrad Yr 2 - Psychiatry
The University of Western Ontario, 01 Jul 2013  to 30 Jun 2014|PostGrad Yr 3 - Psychiatry
The University of Western Ontario, 01 Jul 2014  to 30 Jun 2015|PostGrad Yr 4 - Psychiatry
The University of Western Ontario, 01 Jul 2015  to 31 Dec 2015|PostGrad Yr 4 - Psychiatry
The University of Western Ontario, 01 Jan 2016  to 30 Jun 2016|PostGrad Yr 5 - Psychiatry
The University of Western Ontario, 01 Jul 2016  to 30 Sep 2016|PostGrad Yr 5 - Psychiatry</t>
  </si>
  <si>
    <t>First certificate of registration issued: Pre Entry Assessment Program Certificate||Effective:   01 Jul 2011
Transfer of class of registration to: Postgraduate Education Certificate||Effective:   25 Oct 2011
Transfer of class of registration to: Independent Practice Certificate||Effective:   30 Sep 2016</t>
  </si>
  <si>
    <t>S. G. Ferreria Medicine Professional Corporation</t>
  </si>
  <si>
    <t>Issued Date:  Oct 03 2016</t>
  </si>
  <si>
    <t>Dr. S. Ferreria (CPSO# 95516)</t>
  </si>
  <si>
    <t>Woodstock Hospital,310 Juliana Drive,Woodstock ON  N4V 0A4,(519) 421-4223</t>
  </si>
  <si>
    <t>64965</t>
  </si>
  <si>
    <t xml:space="preserve">Independent Practice as of 18 Jun 1993 </t>
  </si>
  <si>
    <t>939 Mt Pleasant Road,Toronto ON  M4P 2L7</t>
  </si>
  <si>
    <t>(416) 949-3041</t>
  </si>
  <si>
    <t>(416) 323-1925</t>
  </si>
  <si>
    <t>University of Toronto, 01 Jul 1995  to 30 Jun 1996|Resident 3 - Psychiatry
University of Toronto, 01 Jul 1996  to 31 Dec 1996|Resident 3 - Psychiatry
University of Toronto, 01 Jan 1997  to 30 Jun 1997|Resident 4 - Psychiatry
University of Toronto, 01 Jul 1997  to 31 Dec 1997|Resident 4 - Psychiatry</t>
  </si>
  <si>
    <t>First certificate of registration issued: Postgraduate Education Certificate||Effective:   15 Jun 1992
Transfer of class of registration to: Independent Practice Certificate||Effective:   18 Jun 1993</t>
  </si>
  <si>
    <t>Sharon Zikman Medicine Professional Corporation</t>
  </si>
  <si>
    <t>Issued Date:  Feb 07 2013</t>
  </si>
  <si>
    <t>Dr. S. Zikman (CPSO# 64965)</t>
  </si>
  <si>
    <t>Suite 305,533 College Street,Toronto ON  M6G 1A8,(416) 949-3041
500 Church Street,500 Church Street,Penetanguishene ON  L9M 1G3,(705) 549-3181</t>
  </si>
  <si>
    <t>54224</t>
  </si>
  <si>
    <t>Department of Psychiatry,2075 Bayview Avenue,North York ON  M4N 3M5</t>
  </si>
  <si>
    <t>Sunnybrook Health Sciences Centre:Toronto
Sunnybrook Health Sciences Centre,Holland Orthopaedic &amp; Arthritic Centre:Toronto</t>
  </si>
  <si>
    <t>University of Toronto, 11 Jun 1984  to 17 Jun 1985|Other - Rotating Internship
University of Toronto, 01 Jul 1985  to 30 Jun 1986|Resident 1 - Psychiatry
University of Toronto, 01 Jul 1986  to 30 Jun 1987|Resident 2 - Psychiatry
University of Toronto, 01 Jul 1987  to 30 Jun 1988|Resident 3 - Psychiatry
University of Toronto, 01 Jul 1988  to 30 Jun 1989|Resident 4 - Psychiatry
University of Toronto, 01 Jul 1990  to 30 Jun 1991|Clinical Fellow - Psychiatry</t>
  </si>
  <si>
    <t>First certificate of registration issued: Postgraduate Education Certificate||Effective:   11 Jun 1984
Transfer of class of registration to: Independent Practice Certificate||Effective:   09 Jul 1985</t>
  </si>
  <si>
    <t>81162</t>
  </si>
  <si>
    <t xml:space="preserve">Independent Practice as of 30 Sep 2010 </t>
  </si>
  <si>
    <t>Seniors Mental Health Program,St. Joseph's Healthcare Hamilton,100 West 5th St.,Hamilton Ontario, L8N 3K7,Hamilton ON  L8N 3K7</t>
  </si>
  <si>
    <t>(905) 522-1155 Ext. 36396</t>
  </si>
  <si>
    <t>Psychiatry||Effective: 30 Sep 2010||RCPSC Specialist</t>
  </si>
  <si>
    <t>McMaster University, 01 Jul 2004  to 30 Jun 2005|PostGrad Yr 1 - Psychiatry
McMaster University, 01 Jul 2005  to 30 Jun 2006|PostGrad Yr 2 - Psychiatry
McMaster University, 01 Jul 2006  to 31 Dec 2006|PostGrad Yr 2 - Psychiatry
McMaster University, 01 Jan 2007  to 31 Dec 2007|PostGrad Yr 3 - Psychiatry
McMaster University, 01 Jan 2008  to 30 Jun 2008|PostGrad Yr 4 - Psychiatry
McMaster University, 01 Jul 2008  to 30 Sep 2009|PostGrad Yr 4 - Psychiatry
McMaster University, 01 Oct 2009  to 30 Sep 2010|PostGrad Yr 5 - Psychiatry</t>
  </si>
  <si>
    <t>First certificate of registration issued: Postgraduate Education Certificate||Effective:   01 Jul 2004
Transfer of class of registration to: Independent Practice Certificate||Effective:   30 Sep 2010</t>
  </si>
  <si>
    <t>Dr. S.R. Duff Medicine Professional Corporation</t>
  </si>
  <si>
    <t>Dr. S. Duff (CPSO# 81162)</t>
  </si>
  <si>
    <t>St Joseph's Healthcare,Seniors Mental Health,100 West 5th Street,Hamilton ON  L8N 3K7,(905) 522-1155</t>
  </si>
  <si>
    <t>53155</t>
  </si>
  <si>
    <t xml:space="preserve">Active Member as of 27 Jun 1983 </t>
  </si>
  <si>
    <t xml:space="preserve">Independent Practice as of 27 Jun 1983 </t>
  </si>
  <si>
    <t>Psychiatry||Effective: 30 Jun 1998||RCPSC Specialist
Geriatric Psychiatry||Effective: 26 Sep 2013||RCPSC Specialist</t>
  </si>
  <si>
    <t>University of Ottawa, 01 Jul 1994  to 30 Jun 1995|Resident 1 - Psychiatry
University of Ottawa, 01 Jul 1995  to 30 Jun 1996|Resident 2 - Psychiatry
University of Ottawa, 01 Jul 1996  to 30 Jun 1997|Resident 3 - Psychiatry
University of Ottawa, 01 Jul 1997  to 30 Jun 1998|PostGrad Yr 5 - Psychiatry
University of Ottawa, 01 Sep 1998  to 31 Aug 1999|Clinical Fellow - Psychiatry</t>
  </si>
  <si>
    <t>First certificate of registration issued: Independent Practice Certificate||Effective:   27 Jun 1983</t>
  </si>
  <si>
    <t>81050</t>
  </si>
  <si>
    <t xml:space="preserve">Active Member as of 28 May 2010 </t>
  </si>
  <si>
    <t xml:space="preserve">Independent Practice as of 28 May 2010 </t>
  </si>
  <si>
    <t>Mount Sinai Hospital,Department of Psychiatry,600 University Avenue,Room 937,Toronto ON  M5G 1X5</t>
  </si>
  <si>
    <t>(416) 586-4800 Ext. 5348</t>
  </si>
  <si>
    <t>First certificate of registration issued: Postgraduate Education Certificate||Effective:   01 Jul 2004
Expired: Terms and conditions of certificate of registration||Expiry:      30 Jun 2009
Subsequent certificate of registration Issued: Independent Practice Certificate||Effective:   28 May 2010</t>
  </si>
  <si>
    <t>S. Szmuilowicz Medicine Professional Corporation</t>
  </si>
  <si>
    <t>Dr. S. Szmuilowicz (CPSO# 81050)</t>
  </si>
  <si>
    <t>Mount Sinai Hospital,Department of Psychiatry,600 University Avenue,9th Floor, Room 937,Toronto ON  M5G 1X5,(416) 586-4800</t>
  </si>
  <si>
    <t>86279</t>
  </si>
  <si>
    <t>89 Queensway West Suite 226,Mississauga ON  L5B 2V2</t>
  </si>
  <si>
    <t>9052327001</t>
  </si>
  <si>
    <t>9052328002</t>
  </si>
  <si>
    <t>First certificate of registration issued: Postgraduate Education Certificate||Effective:   01 Jul 2007
Expired: Terms and conditions of certificate of registration||Expiry:      12 Jul 2010
Subsequent certificate of registration issued: Restricted certificate||Effective:   12 Jul 2010
Expired: Terms and conditions imposed on certificate by Registration Committee||Effective:   30 Jun 2011
Subsequent certificate of registration Issued: Postgraduate Education Certificate||Effective:   01 Jul 2011
Transfer of class of registration to: Independent Practice Certificate||Effective:   30 Jun 2012</t>
  </si>
  <si>
    <t>Dr. Shawn Vasdev Medicine Professional Corporation</t>
  </si>
  <si>
    <t>Issued Date:  Apr 14 2015</t>
  </si>
  <si>
    <t>Dr. S. Vasdev (CPSO# 86279)</t>
  </si>
  <si>
    <t>Suite 226,89 Queensway West,Mississauga ON  L5B 2V2,(905) 232-7001</t>
  </si>
  <si>
    <t>79075</t>
  </si>
  <si>
    <t>McMaster Children's Hospital,3G-104 Child &amp; Youth Mental Health,1200 Main St. West,Hamilton ON  L8N 3Z5</t>
  </si>
  <si>
    <t>(905) 521-2100 Ext. 77327</t>
  </si>
  <si>
    <t>(905) 577-8499</t>
  </si>
  <si>
    <t>Dr. Sheila Harms Medicine Professional Corporation</t>
  </si>
  <si>
    <t>Dr. S. Harms (CPSO# 79075)</t>
  </si>
  <si>
    <t>McMaster Children's Hospital,3G Child and Youth Mental Health,1200 Main Street West,Hamilton ON  L8N 3Z5,(905) 521-2100</t>
  </si>
  <si>
    <t>97857</t>
  </si>
  <si>
    <t>Punjabi University, 1999</t>
  </si>
  <si>
    <t>Dept. of Child and Youth Psychiatry,Queen's University,,Kingston Health Sciences Centre,166, Brock St., Kingston K7L 5G2,Kingston ON  K7L 2V7</t>
  </si>
  <si>
    <t>Psychiatry||Effective: 16 Dec 2017||RCPSC Specialist</t>
  </si>
  <si>
    <t>Queen's University, 01 Jul 2012  to 22 Sep 2012|Assessment Verification Period - Psychiatry
Queen's University, 23 Sep 2012  to 30 Jun 2013|PostGrad Yr 1 - Psychiatry
Queen's University, 01 Jul 2013  to 16 Dec 2013|PostGrad Yr 1 - Psychiatry
Queen's University, 17 Dec 2013  to 30 Jun 2014|PostGrad Yr 2 - Psychiatry
Queen's University, 01 Jul 2014  to 16 Dec 2014|PostGrad Yr 2 - Psychiatry
Queen's University, 17 Dec 2014  to 30 Jun 2015|PostGrad Yr 3 - Psychiatry
Queen's University, 01 Jul 2015  to 16 Dec 2015|PostGrad Yr 3 - Psychiatry
Queen's University, 17 Dec 2015  to 30 Jun 2016|PostGrad Yr 4 - Psychiatry
Queen's University, 01 Jul 2016  to 16 Dec 2016|PostGrad Yr 4 - Psychiatry
Queen's University, 17 Dec 2016  to 30 Jun 2017|PostGrad Yr 5 - Psychiatry
Queen's University, 01 Jul 2017  to 16 Dec 2017|PostGrad Yr 5 - Psychiatry
Queen's University, 17 Dec 2017  to 30 Jun 2018|PostGrad Yr 6 - Child and Adolescent Psychiatry
Queen's University, 01 Jul 2018  to 16 Dec 2018|PostGrad Yr 6 - Child and Adolescent Psychiatry</t>
  </si>
  <si>
    <t>First certificate of registration issued: Pre Entry Assessment Program Certificate||Effective:   01 Jul 2012
Transfer of class of registration to: Postgraduate Education Certificate||Effective:   23 Sep 2012
Expired: Terms and conditions of certificate of registration||Expiry:      22 Jan 2016
Subsequent certificate of registration issued: Restricted certificate||Effective:   22 Jan 2016
Terms and conditions amended by Registration Committee||Effective:   30 May 2016
Terms and conditions amended by Registration Committee||Effective:   31 May 2017
Expired: Terms and conditions imposed on certificate by Registration Committee||Effective:   16 Dec 2017
Subsequent certificate of registration Issued: Independent Practice Certificate||Effective:   22 Dec 2017</t>
  </si>
  <si>
    <t>Shelinderjit Dhaliwal Medicine Professional Corporation</t>
  </si>
  <si>
    <t>Dr. S. Dhaliwal (CPSO# 97857)</t>
  </si>
  <si>
    <t>Kingston Health Sciences Centre, Queen University,Department of Youth and Psychiatry,166 Brock Street,Kingston ON  K7L 5G2,(613) 544-3400</t>
  </si>
  <si>
    <t>53188</t>
  </si>
  <si>
    <t xml:space="preserve">Independent Practice as of 24 Nov 1983 </t>
  </si>
  <si>
    <t>St Michael's Hospital,17th Floor Room 17056,30 Bond Street,Toronto ON  M5B 1W8</t>
  </si>
  <si>
    <t>(416) 864-6060 Ext. 3859</t>
  </si>
  <si>
    <t>Timmins &amp; District Hospital,700 Ross Street East,Timmins ON  P4N 8P2,Canada,Phone:(705) 267-6315,County:Territorial District of Cochrane,Electoral District:08</t>
  </si>
  <si>
    <t>St Michael's Hospital:Toronto
Timmins and District Hospital:Timmins</t>
  </si>
  <si>
    <t>First certificate of registration issued: Postgraduate Education Certificate||Effective:   01 Jul 1983
Transfer of class of registration to: Independent Practice Certificate||Effective:   24 Nov 1983</t>
  </si>
  <si>
    <t>S. Brook Medicine Professional Corporation</t>
  </si>
  <si>
    <t>Issued Date:  Jul 29 2008</t>
  </si>
  <si>
    <t>Dr. S. Brook (CPSO# 53188)</t>
  </si>
  <si>
    <t>St. Michael's Hospital,30 Bond Street, 17th Floor,Room 17056,Toronto ON  M5B 1W8,(416) 864-6060
St. Michael's Hospital,30 Bond Street, 17th Floor,Room 17056,Toronto ON  M5B 1W8,(416) 864-606</t>
  </si>
  <si>
    <t>33517</t>
  </si>
  <si>
    <t xml:space="preserve">Active Member as of 14 Jul 1982 </t>
  </si>
  <si>
    <t>English, French, Hebrew</t>
  </si>
  <si>
    <t>253 Forest Hill Rd,Toronto ON  M5P 2N3</t>
  </si>
  <si>
    <t>(416) 960-3817</t>
  </si>
  <si>
    <t>(647) 342-2700</t>
  </si>
  <si>
    <t>First certificate of registration issued: Independent Practice Certificate||Effective:   14 Jul 1982</t>
  </si>
  <si>
    <t>87566</t>
  </si>
  <si>
    <t xml:space="preserve">Active Member as of 12 Nov 2008 </t>
  </si>
  <si>
    <t xml:space="preserve">Independent Practice as of 12 Nov 2008 </t>
  </si>
  <si>
    <t>University of Peshawar, 1990</t>
  </si>
  <si>
    <t>Mackenzie Health,Department of Psychiatry,10 Trench Street,Richmond Hill,Richmond Hill ON  L4C4Z3</t>
  </si>
  <si>
    <t>First certificate of registration issued: Independent Practice Certificate||Effective:   08 Aug 2007
Expired: Resigned from membership.||Expiry:      01 Jun 2008
Subsequent certificate of registration Issued: Independent Practice Certificate||Effective:   12 Nov 2008</t>
  </si>
  <si>
    <t>Sher Khan Medicine Professional Corporation</t>
  </si>
  <si>
    <t>Issued Date:  Dec 18 2009</t>
  </si>
  <si>
    <t>Dr. S. Khan (CPSO# 87566)</t>
  </si>
  <si>
    <t>Royal Victoria Hospital,Department of Psychiatry,201 Georgian Drive,Barrie ON  L4M 6M2,(705) 728-9090</t>
  </si>
  <si>
    <t>74742</t>
  </si>
  <si>
    <t xml:space="preserve">Active Member as of 15 Apr 2014 </t>
  </si>
  <si>
    <t xml:space="preserve">Independent Practice as of 15 Apr 2014 </t>
  </si>
  <si>
    <t>University of Calgary, 2000</t>
  </si>
  <si>
    <t>Suite 509,439 University Avenue,Toronto ON  M5G 1Y8</t>
  </si>
  <si>
    <t>(416) 938-1278</t>
  </si>
  <si>
    <t>(647) 277-9010</t>
  </si>
  <si>
    <t>First certificate of registration issued: Postgraduate Education Certificate||Effective:   01 Jul 2000
Expired: Terms and conditions of certificate of registration||Expiry:      30 Jun 2005
Subsequent certificate of registration Issued: Independent Practice Certificate||Effective:   10 Jul 2006
Expired: Resigned from membership.||Expiry:      01 Jun 2013
Subsequent certificate of registration Issued: Independent Practice Certificate||Effective:   15 Apr 2014</t>
  </si>
  <si>
    <t>88163</t>
  </si>
  <si>
    <t>Royal College of Surgeons in Ireland, 2005</t>
  </si>
  <si>
    <t>CAMH,1001 Queen St West,Toronto, ON,M6J 1H4,Toronto ON  M6J1H4</t>
  </si>
  <si>
    <t>Family Medicine||Effective: 12 Sep 2007||CFPC Specialist
Psychiatry||Effective: 14 Oct 2016||RCPSC Specialist</t>
  </si>
  <si>
    <t>University of Toronto, 01 Jul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Psychiatry
University of Toronto, 01 Jul 2016  to 14 Oct 2016|PostGrad Yr 5 - Psychiatry</t>
  </si>
  <si>
    <t>87115</t>
  </si>
  <si>
    <t xml:space="preserve">Independent Practice as of 06 Sep 2012 </t>
  </si>
  <si>
    <t>University of Alexandria, 1999</t>
  </si>
  <si>
    <t>Mackenzie Health, Richmond Hill,Richmond Hill ON  L4C 4Z3,Canada,Phone:(905) 883-1212,County:Regional Municipality of York,Electoral District:05</t>
  </si>
  <si>
    <t>Mackenzie Health,Richmond Hill:Richmond Hill
University Health Network,Toronto Western Hospital Site:Toronto</t>
  </si>
  <si>
    <t>University of Ottawa, 01 Jul 2007  to 22 Sep 2007|Assessment Verification Period - Psychiatry
University of Ottawa, 23 Sep 2007  to 30 Jun 2008|PostGrad Yr 1 - Psychiatry
University of Ottawa, 01 Jul 2008  to 30 Jun 2009|PostGrad Yr 2 - Psychiatry
University of Ottawa, 01 Jul 2009  to 14 Jul 2009|PostGrad Yr 2 - Psychiatry
University of Ottawa, 15 Jul 2009  to 14 Jul 2010|PostGrad Yr 3 - Psychiatry
University of Ottawa, 15 Jul 2010  to 30 Jun 2011|PostGrad Yr 4 - Psychiatry
University of Ottawa, 01 Jul 2011  to 30 Jun 2012|PostGrad Yr 5 - Psychiatry
University of Toronto, 01 Jul 2012  to 30 Jun 2013|Clinical Fellow - Psychiatry
University of Toronto, 01 Jul 2013  to 20 Dec 2013|Clinical Fellow - Psychiatry</t>
  </si>
  <si>
    <t>First certificate of registration issued: Pre Entry Assessment Program Certificate||Effective:   01 Jul 2007
Transfer of class of registration to: Postgraduate Education Certificate||Effective:   23 Sep 2007
Transfer of class of registration to: Independent Practice Certificate||Effective:   06 Sep 2012</t>
  </si>
  <si>
    <t>Dr. Sherief Marzouk Medicine Professional Corporation</t>
  </si>
  <si>
    <t>Issued Date:  Apr 03 2014</t>
  </si>
  <si>
    <t>Dr. S. Marzouk (CPSO# 87115)</t>
  </si>
  <si>
    <t>UHN Toronto Western Hospital,399 Bathurst Street,Toronto ON  M5T 2S8,(416) 603-2581
10 Trench Street,10 Trench Street,Richmond Hill ON  L4C 4Z3,(905) 883-1212</t>
  </si>
  <si>
    <t>64633</t>
  </si>
  <si>
    <t xml:space="preserve">Active Member as of 30 Sep 1991 </t>
  </si>
  <si>
    <t xml:space="preserve">Independent Practice as of 25 Jun 1998 </t>
  </si>
  <si>
    <t>Fairview Mall,Suite 334,PO Box 239,1800 Sheppard Avenue East,Toronto ON  M2J 5A7</t>
  </si>
  <si>
    <t>(416) 499-7337</t>
  </si>
  <si>
    <t>(416) 499-7339</t>
  </si>
  <si>
    <t>North York General Hospital,Leslie Site,Department of Psychiatry,4001 Leslie Street,Toronto ON  M2K 1E1,Canada,Phone:(416) 756-6655,Fax:(416) 756-6671,County:City of Toronto,Electoral District:10</t>
  </si>
  <si>
    <t>University of Toronto, 01 Jul 1991  to 30 Jun 1992|Resident 1 - Psychiatry
University of Toronto, 01 Jul 1992  to 30 Jun 1993|Resident 2 - Psychiatry
University of Toronto, 01 Jul 1993  to 13 Sep 1993|Resident 2 - Psychiatry
University of Toronto, 14 Sep 1993  to 30 Jun 1994|Resident 3 - Psychiatry
University of Toronto, 01 Jul 1994  to 13 Sep 1994|Resident 3 - Psychiatry
University of Toronto, 14 Sep 1994  to 30 Jun 1995|Resident 4 - Psychiatry
University of Toronto, 01 Jul 1995  to 30 Jun 1996|Resident 4 - Psychiatry
University of Toronto, 01 Jul 1996  to 30 Jun 1997|Clinical Fellow - Psychiatry
University of Toronto, 01 Jul 1997  to 30 Jun 1998|Clinical Fellow - Psychiatry</t>
  </si>
  <si>
    <t>First certificate of registration issued: Postgraduate Education Certificate||Effective:   30 Sep 1991
Transfer of class of registration to: Independent Practice Certificate||Effective:   25 Jun 1998</t>
  </si>
  <si>
    <t>Dr. Sherif Tewfik Medicine Professional Corporation</t>
  </si>
  <si>
    <t>Dr. S. Tewfik (CPSO# 64633)</t>
  </si>
  <si>
    <t>Fairview Mall,Suite 334,1800 Sheppard Avenue East,P.O. Box 239,Toronto ON  M2J 5A7,(416) 499-7337
North York General Hospital,North York General Hospital,8th Floor - 4001 Leslie Street,Toronto ON  M2K 1E1,(416) 756-6655</t>
  </si>
  <si>
    <t>58960</t>
  </si>
  <si>
    <t xml:space="preserve">Active Member as of 21 Aug 1987 </t>
  </si>
  <si>
    <t>9555 Yonge Street,Suite 309,Richmond Hill ON  L4C 9M5</t>
  </si>
  <si>
    <t>(905) 508-3422</t>
  </si>
  <si>
    <t>(905) 508-7025</t>
  </si>
  <si>
    <t>Psychiatry||Effective: 07 Feb 2013||CPSO Recognized Specialist</t>
  </si>
  <si>
    <t>First certificate of registration issued: Independent Practice Certificate||Effective:   21 Aug 1987</t>
  </si>
  <si>
    <t>Dr. Sherry Taub Medicine Professional Corporation</t>
  </si>
  <si>
    <t>Issued Date:  Jul 24 2009</t>
  </si>
  <si>
    <t>Dr. S. Taub (CPSO# 58960)</t>
  </si>
  <si>
    <t>309 - 9555 Yonge Street,Richmond Hill ON  L4C 9M5,(905) 508-3422</t>
  </si>
  <si>
    <t>89706</t>
  </si>
  <si>
    <t>Harvard Medical School, 1995</t>
  </si>
  <si>
    <t>North York General Hospital,Department of Psychiatry,4001 Leslie Street,Toronto ON  M2K 1E1</t>
  </si>
  <si>
    <t>(416) 756-6779</t>
  </si>
  <si>
    <t>First certificate of registration issued: Independent Practice Certificate||Effective:   01 Aug 2008</t>
  </si>
  <si>
    <t>26713</t>
  </si>
  <si>
    <t xml:space="preserve">Active Member as of 10 Jul 1974 </t>
  </si>
  <si>
    <t xml:space="preserve">Independent Practice as of 10 Jul 1974 </t>
  </si>
  <si>
    <t>Michael Garron Hospital,825 Coxwell Avenue,Room 513- H Wing- 5th Floor,Toronto ON  M4C 3E7</t>
  </si>
  <si>
    <t>(416) 469-6580 Ext. 7742</t>
  </si>
  <si>
    <t>Psychiatry||Effective: 20 Nov 1979||RCPSC Specialist
Geriatric Psychiatry||Effective: 21 Sep 2015||RCPSC Specialist</t>
  </si>
  <si>
    <t>First certificate of registration issued: Postgraduate Education Certificate||Effective:   18 Jun 1973
Expired: Terms and conditions of certificate of registration||Expiry:      16 Jun 1974
Subsequent certificate of registration Issued: Independent Practice Certificate||Effective:   10 Jul 1974</t>
  </si>
  <si>
    <t>Dr. Shery Zener Medicine Professional Corporation</t>
  </si>
  <si>
    <t>Dr. S. Zener (CPSO# 26713)</t>
  </si>
  <si>
    <t>Michael Garron Hospital,825 Coxwell Avenue,Room 513 H-Wing 5th Floor,Toronto ON  M4C 3E7,(416) 469-6580</t>
  </si>
  <si>
    <t>91749</t>
  </si>
  <si>
    <t xml:space="preserve">Restricted as of 01 Jul 2009 </t>
  </si>
  <si>
    <t>English, Mandarin, Taiwanese</t>
  </si>
  <si>
    <t>National Taiwan University, 1988</t>
  </si>
  <si>
    <t>CAMH Queen Street Site,Forensic Services,1001 Queen Street West,Toronto ON  M6J 1H4</t>
  </si>
  <si>
    <t>(416) 535-8501 Ext. 33950</t>
  </si>
  <si>
    <t>(416) 583-1206</t>
  </si>
  <si>
    <t>393 King Street East,Toronto ON  M5A 1L3,Canada,Phone:4165358501 Ext. 77466,County:City of Toronto,Electoral District:10</t>
  </si>
  <si>
    <t>Psychiatry||Effective: 01 Jul 2009||CPSO Recognized Specialist</t>
  </si>
  <si>
    <t>First certificate of registration issued: Restricted certificate||Effective:   01 Jul 2009
Terms and conditions imposed on certificate by Registration Committee||Effective:   01 Jul 2009</t>
  </si>
  <si>
    <t>113811</t>
  </si>
  <si>
    <t xml:space="preserve">Active Member as of 29 Aug 2017 </t>
  </si>
  <si>
    <t xml:space="preserve">Independent Practice as of 29 Aug 2017 </t>
  </si>
  <si>
    <t>416-535-8501 Ext. 33106</t>
  </si>
  <si>
    <t>First certificate of registration issued: Independent Practice Certificate||Effective:   29 Aug 2017</t>
  </si>
  <si>
    <t>76682</t>
  </si>
  <si>
    <t xml:space="preserve">Active Member as of 30 Jun 2002 </t>
  </si>
  <si>
    <t>The University of Manitoba, 1997</t>
  </si>
  <si>
    <t>Mood disorders Program,100 West 5th Street,PO Box 585,St. Joseph's Healthcare,Hamilton ON  L8N 3K7</t>
  </si>
  <si>
    <t>(905) 522-1155 Ext. 33179</t>
  </si>
  <si>
    <t>McMaster University, 09 Jul 2001  to 19 Oct 2001|Elective Trainee - Psychiatry
McMaster University, 01 Aug 2002  to 30 Jun 2003|Clinical Fellow - Psychiatry
McMaster University, 01 Jul 2003  to 30 Sep 2003|Clinical Fellow - Psychiatry</t>
  </si>
  <si>
    <t>First certificate of registration issued: Postgraduate Education Certificate||Effective:   09 Jul 2001
Expired: Terms and conditions of certificate of registration||Expiry:      19 Oct 2001
Subsequent certificate of registration Issued: Independent Practice Certificate||Effective:   30 Jun 2002</t>
  </si>
  <si>
    <t>Dr. S. Gunasekera Medicine Professional Corporation</t>
  </si>
  <si>
    <t>Issued Date:  Oct 12 2006</t>
  </si>
  <si>
    <t>Dr. S. Gunasekera (CPSO# 76682)</t>
  </si>
  <si>
    <t>100 West Fifth Street,PO Box 585,Hamilton ON  L8N 3K7,(905) 522-1155</t>
  </si>
  <si>
    <t>42344</t>
  </si>
  <si>
    <t xml:space="preserve">Active Member as of 19 Dec 1978 </t>
  </si>
  <si>
    <t xml:space="preserve">Independent Practice as of 30 Dec 1988 </t>
  </si>
  <si>
    <t>11 45 CARLING AVE,Ottawa,Ottawa ON  K1Z 7K4</t>
  </si>
  <si>
    <t>First certificate of registration issued: Hospital Practice Certificate||Effective:   19 Dec 1978
Transfer of class of registration to: Independent Practice Certificate||Effective:   30 Dec 1988</t>
  </si>
  <si>
    <t>Shirley N. Brathwaite Medicine Professional Corporation</t>
  </si>
  <si>
    <t>Issued Date:  Jul 15 2016</t>
  </si>
  <si>
    <t>Dr. S. Brathwaite (CPSO# 42344)</t>
  </si>
  <si>
    <t>64934</t>
  </si>
  <si>
    <t xml:space="preserve">Active Member as of 25 Mar 2014 </t>
  </si>
  <si>
    <t xml:space="preserve">Independent Practice as of 25 Mar 2014 </t>
  </si>
  <si>
    <t>University of Baghdad, 1979</t>
  </si>
  <si>
    <t>302 Fourth Avenue North,Saskatoon SK  S7K 2L7</t>
  </si>
  <si>
    <t>3062442421</t>
  </si>
  <si>
    <t>3062442425</t>
  </si>
  <si>
    <t>First certificate of registration issued: Independent Practice Certificate||Effective:   12 May 1992
Expired: Failure to Renew Membership||Expiry:      27 Oct 1995
Subsequent certificate of registration Issued: Independent Practice Certificate||Effective:   25 Mar 2014</t>
  </si>
  <si>
    <t>73348</t>
  </si>
  <si>
    <t>English, Hebrew, Lithuanian, Russian, Yiddish</t>
  </si>
  <si>
    <t>The Hebrew University, 1977</t>
  </si>
  <si>
    <t>Mackenzie Health Hospital,10 Trench Street,Richmond Hill ON  L4C 4Z3</t>
  </si>
  <si>
    <t>(905) 883-1212 Ext. 7417</t>
  </si>
  <si>
    <t>7368 Yonge Street,Suite 205,Thornhill ON  L4J 8H9,Canada,Phone:(905) 707-1577,Fax:(905) 707-1152,County:Regional Municipality of York,Electoral District:05</t>
  </si>
  <si>
    <t>Psychiatry||Effective: 09 Jun 2000||RCPSC Specialist</t>
  </si>
  <si>
    <t>The University of Western Ontario, 26 May 1999  to 25 May 2000|Clinical Fellow - Psychiatry
The University of Western Ontario, 26 May 2000  to 30 Jun 2000|Clinical Fellow - Psychiatry</t>
  </si>
  <si>
    <t>First certificate of registration issued: Postgraduate Education Certificate||Effective:   26 May 1999
Transfer of class of registration to: Independent Practice Certificate||Effective:   30 Jun 2000</t>
  </si>
  <si>
    <t>Dr. Urson Medicine Professional Corporation</t>
  </si>
  <si>
    <t>Issued Date:  Jun 19 2008</t>
  </si>
  <si>
    <t>Dr. S. Urson (CPSO# 73348)</t>
  </si>
  <si>
    <t>205 - 7368 Yonge Street,Thornhill ON  L4J 8H9,(905) 707-1577</t>
  </si>
  <si>
    <t>68250</t>
  </si>
  <si>
    <t>University of Saskatchewan, 1994</t>
  </si>
  <si>
    <t>30 Bond Street,17-46,Toronto ON  M5B 1W8</t>
  </si>
  <si>
    <t>(416) 864-6060 Ext. 2443</t>
  </si>
  <si>
    <t>University of Toronto, 01 Jul 1994  to 30 Jun 1995|PostGrad Yr 1 - Psychiatry
University of Toronto, 01 Jul 1995  to 30 Jun 1996|Resident 2 - Psychiatry
University of Toronto, 01 Jul 1996  to 30 Jun 1997|PostGrad Yr 3 - Psychiatry
University of Toronto, 01 Jul 1997  to 30 Jun 1998|PostGrad Yr 4 - Psychiatry
University of Toronto, 01 Jul 1998  to 30 Jun 1999|PostGrad Yr 5 - Psychiatry</t>
  </si>
  <si>
    <t>64472</t>
  </si>
  <si>
    <t xml:space="preserve">Active Member as of 14 Aug 1991 </t>
  </si>
  <si>
    <t xml:space="preserve">Independent Practice as of 14 Aug 1991 </t>
  </si>
  <si>
    <t>Punjab University India, 1983</t>
  </si>
  <si>
    <t>99 Wayne Gretzky Pkwy,Marquis House,Brantford ON  N3S 6T6,Canada,Phone:(519) 752-2927,Fax:(519) 758-1971,County:County of Brant,Electoral District:04
103 DARLING STREET,Brantford ON  N3T 2K8,Canada,Phone:(519) 756-8228 Ext. 5803,Fax:(519) 756-9092,County:County of Brant,Electoral District:04
Brantford General Hospital,200 Terrace Hill Street,Brantford ON  N3R 5G9,Canada,Phone:(519) 751-5544 Ext. 2424,Fax:(519) 751-5572,County:County of Brant,Electoral District:04</t>
  </si>
  <si>
    <t>First certificate of registration issued: Independent Practice Certificate||Effective:   14 Aug 1991</t>
  </si>
  <si>
    <t>Dr. Shreekant Sharma Medicine Professional Corporation</t>
  </si>
  <si>
    <t>Issued Date:  Oct 21 2004</t>
  </si>
  <si>
    <t>Dr. S. Sharma (CPSO# 64472)</t>
  </si>
  <si>
    <t>Suite 202,40 Shellington Place,Brantford ON  N3S 0C5,(519) 751-4317
200 Terrace Hill Street,200 Terrace Hill Street,Brantford ON  N3R 5G9,(519) 752-7871
103 Darling Street,103 Darling Street,Brantford ON  N3T 2K8,(519) 756-8228
99 Wayne Gretzky Parkway,99 Wayne Gretzky Parkway,Brantford ON  N3S 6T6,(519) 752-2927</t>
  </si>
  <si>
    <t>99705</t>
  </si>
  <si>
    <t xml:space="preserve">Active Member as of 19 Dec 2012 </t>
  </si>
  <si>
    <t xml:space="preserve">Restricted as of 19 Dec 2012 </t>
  </si>
  <si>
    <t>Gujarat University, 2005</t>
  </si>
  <si>
    <t>Avalon Treatment Programs,58 Dawson rd,Guelph ON  N1H 1A8,Canada,Phone:519-780-3883,Fax:519-780-0453,County:County of Wellington,Electoral District:03</t>
  </si>
  <si>
    <t>Psychiatry||Effective: 19 Dec 2012||CPSO Recognized Specialist</t>
  </si>
  <si>
    <t>First certificate of registration issued: Restricted certificate||Effective:   19 Dec 2012
Terms and conditions imposed on certificate by Registration Committee||Effective:   19 Dec 2012
Expiry date attached to certificate of registration.||Expiry Date: 08 Feb 2014
Terms and conditions amended by Registration Committee||Effective:   28 May 2014
Terms and conditions amended by Registration Committee||Effective:   08 Aug 2014
Expiry date removed from certificate of registration.||Effective:   08 Aug 2014</t>
  </si>
  <si>
    <t>Dr. Shrenik Parekh Medicine Professional Corporation</t>
  </si>
  <si>
    <t>Dr. S. Parekh (CPSO# 99705)</t>
  </si>
  <si>
    <t>Grand River Hospital,835 King Street West,Suite D130,Kitchener ON  N2G 1G3,(519) 749-4300
Avalon Treatment Program,Avalon Treatment Program,58 Dawson Road,Guelph ON  N1H 1A8,(519) 780-3883</t>
  </si>
  <si>
    <t>92843</t>
  </si>
  <si>
    <t>(519) 824-1010 Ext. 2724</t>
  </si>
  <si>
    <t>McMaster University, 01 Jul 2010  to 30 Jun 2011|PostGrad Yr 1 - Psychiatry
McMaster University, 01 Jul 2011  to 30 Jun 2012|PostGrad Yr 2 - Psychiatry
McMaster University, 01 Jul 2012  to 30 Jun 2013|PostGrad Yr 3 - Psychiatry
McMaster University, 01 Jul 2013  to 30 Jun 2014|PostGrad Yr 4 - Psychiatry
McMaster University, 01 Jul 2014  to 30 Jun 2015|PostGrad Yr 4 - Psychiatry
McMaster University, 01 Jul 2015  to 30 Jun 2016|PostGrad Yr 5 - Psychiatry</t>
  </si>
  <si>
    <t>Dr. Shuang Xu Medicine Professional Corporation</t>
  </si>
  <si>
    <t>Issued Date:  May 31 2016</t>
  </si>
  <si>
    <t>Dr. S. Xu (CPSO# 92843)</t>
  </si>
  <si>
    <t>92628</t>
  </si>
  <si>
    <t>King Saud University, 2006</t>
  </si>
  <si>
    <t>Children's Hospital Eastern Ontario,Department of Psychiatry,401 Smyth Road,Ottawa ON  K1H 8L1</t>
  </si>
  <si>
    <t>(613) 737-7600 Ext. 3767</t>
  </si>
  <si>
    <t>(613) 738-4832</t>
  </si>
  <si>
    <t>Royal Ottawa Hospital,1145 Carling Avenue,Ottawa ON  K1Z 7K4,Canada,Phone:(613) 722-6521,County:Regional Municipality of Ottawa-Carleton,Electoral District:07</t>
  </si>
  <si>
    <t>University of Toronto, 01 Apr 2010  to 18 Jun 2010|PEAP - Resident - Psychiatry
University of Toronto, 19 Jun 2010  to 30 Jun 2010|PostGrad Yr 1 - Psychiatry
University of Toronto, 01 Jul 2010  to 30 Jun 2011|PostGrad Yr 1 - Psychiatry
University of Toronto, 01 Jul 2011  to 30 Jun 2012|PostGrad Yr 2 - Psychiatry
University of Toronto, 01 Jul 2012  to 30 Jun 2013|PostGrad Yr 3 - Psychiatry
University of Toronto, 01 Jul 2013  to 15 Aug 2013|PostGrad Yr 3 - Psychiatry
University of Toronto, 16 Aug 2013  to 30 Jun 2014|PostGrad Yr 4 - Psychiatry
University of Toronto, 01 Jul 2014  to 15 Aug 2014|PostGrad Yr 4 - Psychiatry
University of Toronto, 16 Aug 2014  to 30 Jun 2015|PostGrad Yr 5 - Psychiatry
University of Ottawa, 01 Jul 2015  to 30 Jun 2016|PostGrad Yr 6 - Child and Adolescent Psychiatry</t>
  </si>
  <si>
    <t>First certificate of registration issued: Pre Entry Assessment Program Certificate||Effective:   01 Apr 2010
Transfer of class of registration to: Postgraduate Education Certificate||Effective:   19 Jun 2010
Expired: Terms and conditions of certificate of registration||Expiry:      27 Jul 2015
Subsequent certificate of registration Issued: Independent Practice Certificate||Effective:   27 Jul 2015</t>
  </si>
  <si>
    <t>Dr. S. Alenezi Medicine Professional Corporation</t>
  </si>
  <si>
    <t>Issued Date:  Jun 30 2016</t>
  </si>
  <si>
    <t>Dr. S. Alenezi (CPSO# 92628)</t>
  </si>
  <si>
    <t>Children's Hospital of Eastern Ontario,410 Smyth Road,Department of Psychiatry,Ottawa ON  K1H 8L1,(613) 737-7600</t>
  </si>
  <si>
    <t>98091</t>
  </si>
  <si>
    <t>Queen's University,Department of Psychiatry,752 King Street West,Postal Bag 603,Kingston ON  K7L 7X3</t>
  </si>
  <si>
    <t>Queen's University, 01 Jul 2012  to 30 Jun 2013|PostGrad Yr 1 - Psychiatry
Queen's University, 01 Jul 2013  to 30 Jun 2014|PostGrad Yr 2 - Psychiatry
Queen's University, 01 Jul 2014  to 30 Jun 2015|PostGrad Yr 3 - Psychiatry
Queen's University, 01 Jul 2015  to 30 Jun 2016|PostGrad Yr 4 - Psychiatry
Queen's University, 01 Jul 2016  to 30 Jun 2017|PostGrad Yr 5 - Psychiatry</t>
  </si>
  <si>
    <t>72792</t>
  </si>
  <si>
    <t>Department of Psychiatry,Ottawa Hospital - Civic Campus,1053 Carling Avenue     A6,Ottawa ON  K1Y 4E9</t>
  </si>
  <si>
    <t>Sheridan-Woods Medicine Professional Corporation</t>
  </si>
  <si>
    <t>Issued Date:  Apr 01 2009</t>
  </si>
  <si>
    <t>Dr. J. Sheridan (CPSO# 71119),Dr. S. Woods (CPSO# 72792)</t>
  </si>
  <si>
    <t>Department of Psychiatry,Ottawa Hospital - Civic Campus,1053 Carling Avenue  Room A6,Ottawa ON  K1Y 4E9,(613) 761-4581
101 Colonel By Drive,101 Colonel By Drive,Ottawa ON  K1A 0K2,(613) 979-0969</t>
  </si>
  <si>
    <t>50939</t>
  </si>
  <si>
    <t xml:space="preserve">Independent Practice as of 22 Nov 1985 </t>
  </si>
  <si>
    <t>Suite 402,114 Maitland Street,Toronto ON  M4Y 1E1</t>
  </si>
  <si>
    <t>(416) 631-2686</t>
  </si>
  <si>
    <t>Queen's University, 01 Jul 1980  to 30 Jun 1981|Other - Rotating Internship
Queen's University, 01 Jul 1981  to 30 Jun 1982|Other - Comprehensive Internship
University of Toronto, 12 Jul 1982  to 30 Jun 1983|Resident 3 - Pediatrics
University of Toronto, 01 Jul 1985  to 30 Jun 1986|Resident 3 - Community Medicine
University of Toronto, 01 Jul 1987  to 30 Jun 1988|Resident 1 - Psychiatry
University of Toronto, 01 Jul 1988  to 30 Jun 1989|Resident 2 - Psychiatry
University of Toronto, 01 Jul 1989  to 30 Jun 1990|Resident 3 - Psychiatry
University of Toronto, 01 Jul 1990  to 31 Dec 1990|Resident 4 - Psychiatry</t>
  </si>
  <si>
    <t>First certificate of registration issued: Postgraduate Education Certificate||Effective:   01 Jul 1980
Expired: Terms and conditions of certificate of registration||Expiry:      30 Jun 1983
Subsequent certificate of registration Issued: Postgraduate Education Certificate||Effective:   01 Jul 1985
Transfer of class of registration to: Independent Practice Certificate||Effective:   22 Nov 1985</t>
  </si>
  <si>
    <t>76097</t>
  </si>
  <si>
    <t>Center for Addiction&amp;Mental Health,Emergancy Department,250 Collegge Street,Toronto ON  M5G 1X5</t>
  </si>
  <si>
    <t>32560</t>
  </si>
  <si>
    <t>Queen's University of Belfast, 1975</t>
  </si>
  <si>
    <t>St. Michael's Hospital,193 Yonge Street,Suite 6-001A,Toronto ON  M5T 2S8</t>
  </si>
  <si>
    <t>416-864-6099</t>
  </si>
  <si>
    <t>416-864-5996</t>
  </si>
  <si>
    <t>University Health Network,Toronto Western Hospital,399 Bathurst St,9MP-324,Toronto ON  M5B 1M8,Canada,Phone:(416) 603-5760,Fax:416-603-5368,County:City of Toronto,Electoral District:10</t>
  </si>
  <si>
    <t>Centre of Addiction &amp; Mental Health,- College Street Site:Toronto
St Michael's Hospital:Toronto
University Health Network,Toronto General Hospital Site:Toronto</t>
  </si>
  <si>
    <t>First certificate of registration issued: Postgraduate Education Certificate||Effective:   10 Jan 1980
Transfer of class of registration to: Independent Practice Certificate||Effective:   26 Jun 1981</t>
  </si>
  <si>
    <t>Sidney H. Kennedy Medicine Professional Corporation</t>
  </si>
  <si>
    <t>Issued Date:  Dec 15 2009</t>
  </si>
  <si>
    <t>Dr. S. Kennedy (CPSO# 32560)</t>
  </si>
  <si>
    <t>Suite 324,9th Floor, Main Pavilion,399 Bathurst Street,Toronto ON  M5T 2S8,(416) 603-5760
St. Michael's Hospital,St. Michael's Hospital,Suite 6-001A, 6th Floor,193 Yonge Street,Toronto ON  M5B 1M8,(416) 864-6099</t>
  </si>
  <si>
    <t>61628</t>
  </si>
  <si>
    <t xml:space="preserve">Active Member as of 16 Feb 1994 </t>
  </si>
  <si>
    <t xml:space="preserve">Independent Practice as of 16 Feb 1994 </t>
  </si>
  <si>
    <t>University of Rome, 1984</t>
  </si>
  <si>
    <t>187 James Street South,Hamilton ON  L8P 3A8</t>
  </si>
  <si>
    <t>(905) 522-5778</t>
  </si>
  <si>
    <t>(905) 522-5779</t>
  </si>
  <si>
    <t>Psychiatry||Effective: 28 Jan 1994||RCPSC Specialist</t>
  </si>
  <si>
    <t>First certificate of registration issued: Postgraduate Education Certificate||Effective:   16 Aug 1989
Expired: Terms and conditions of certificate of registration||Expiry:      31 Jan 1994
Subsequent certificate of registration Issued: Independent Practice Certificate||Effective:   16 Feb 1994</t>
  </si>
  <si>
    <t>97472</t>
  </si>
  <si>
    <t>University of Medicine and Pharmacy, 1998</t>
  </si>
  <si>
    <t>The Ottawa Hospital-General Campus,501 Smyth Road,Box 400,Ottawa ON  K1H 8L6</t>
  </si>
  <si>
    <t>University of Ottawa, 07 May 2012  to 30 Jun 2012|Elective Trainee - Psychiatry</t>
  </si>
  <si>
    <t>First certificate of registration issued: Postgraduate Education Certificate||Effective:   07 May 2012
Expired: Terms and conditions of certificate of registration||Expiry:      30 Jun 2012
Subsequent certificate of registration Issued: Independent Practice Certificate||Effective:   30 Jun 2012</t>
  </si>
  <si>
    <t>Silvia Irina Lepadatu Medicine Professional Corporation</t>
  </si>
  <si>
    <t>Issued Date:  Feb 10 2015</t>
  </si>
  <si>
    <t>Dr. S. Lepadatu (CPSO# 97472)</t>
  </si>
  <si>
    <t>The Ottawa Hospital- General Campus,501 Smyth Road,Box 400,Ottawa ON  K1H 8L6,(613) 737-8056</t>
  </si>
  <si>
    <t>101643</t>
  </si>
  <si>
    <t>Laval University, 2013</t>
  </si>
  <si>
    <t>Sunnybrook Health Sciences Center,Department of Psychiatry,2075 Bayview Ave,Toronto ON  M4N 3M5</t>
  </si>
  <si>
    <t>97479</t>
  </si>
  <si>
    <t xml:space="preserve">Active Member as of 03 May 2012 </t>
  </si>
  <si>
    <t xml:space="preserve">Academic Practice as of 03 May 2012 </t>
  </si>
  <si>
    <t>University of London, 1985</t>
  </si>
  <si>
    <t>Royal Ottawa Hospital,Department of Psychiatry,Room 5458,1145 Carling Avenue,Ottawa ON  K1Z 7K4</t>
  </si>
  <si>
    <t>(613) 722-6521 Ext. 5704</t>
  </si>
  <si>
    <t>First certificate of registration issued: Academic Practice Certificate||Effective:   03 May 2012
Expiry date removed from certificate of registration.||Effective:   03 Nov 2014</t>
  </si>
  <si>
    <t>S. Hatcher Medicine Professional Corporation</t>
  </si>
  <si>
    <t>Issued Date:  Dec 09 2014</t>
  </si>
  <si>
    <t>Dr. S. Hatcher (CPSO# 97479)</t>
  </si>
  <si>
    <t>Royal Ottawa Hospital,Department of Psychiatry,Room 5458,1145 Carling Avenue,Ottawa ON  K1Z 7K4,(613) 722-6521
501 Smyth Road,501 Smyth Road,Ottawa ON  K1H 8L6</t>
  </si>
  <si>
    <t>97365</t>
  </si>
  <si>
    <t xml:space="preserve">Active Member as of 20 Mar 2012 </t>
  </si>
  <si>
    <t xml:space="preserve">Restricted as of 20 Mar 2012 </t>
  </si>
  <si>
    <t>University of London, 1993</t>
  </si>
  <si>
    <t>C A M H,Geriatric Mental Health Program,PACE Clinic,80 Workman Way,Toronto ON  M6J 1H4</t>
  </si>
  <si>
    <t>(416) 535-8501 Ext. 33448</t>
  </si>
  <si>
    <t>Psychiatry||Effective: 14 Jul 2017||CPSO Recognized Specialist</t>
  </si>
  <si>
    <t>First certificate of registration issued: Restricted certificate||Effective:   20 Mar 2012
Terms and conditions imposed on certificate by Registration Committee||Effective:   20 Mar 2012
Expiry date attached to certificate of registration.||Expiry Date: 01 Mar 2015
Terms and conditions amended by Registration Committee||Effective:   14 Sep 2017</t>
  </si>
  <si>
    <t>66990</t>
  </si>
  <si>
    <t>Meltzer, Simon Jonathan (used until: 12 Jun 2000 )</t>
  </si>
  <si>
    <t>(613)544 4900 Ext. 53130</t>
  </si>
  <si>
    <t>(613) 540-6174</t>
  </si>
  <si>
    <t>130 Ontario Street,Kingston ON  K7L 2Y4,Canada,Phone:(613) 544 4900 Ext. 53130,County:County of Frontenac,Electoral District:06
Hotel Dieu Hospital,166 Brock Street,Kingston ON  K7L 5G2,Canada,Phone:(613) 544-3400,County:County of Frontenac,Electoral District:06
St. Lawrence College, Campus Health,100 Portsmouth Avenue,Kingston ON  K7L 5A6,Canada,Phone:613-544-5400 Ext. 1136,Fax:613-545-3931,County:County of Frontenac,Electoral District:06</t>
  </si>
  <si>
    <t>Queen's University, 01 Jul 1995  to 30 Jun 1996|Resident 1 - Psychiatry
Queen's University, 01 Jul 1996  to 30 Jun 1997|Resident 2 - Psychiatry
Queen's University, 01 Jul 1997  to 30 Jun 1998|Resident 3 - Psychiatry
Queen's University, 01 Jul 1998  to 30 Jun 1999|Resident 4 - Psychiatry</t>
  </si>
  <si>
    <t>Simon O'Brien Medicine Professional Corporation</t>
  </si>
  <si>
    <t>Issued Date:  Jun 08 2006</t>
  </si>
  <si>
    <t>Dr. S. O'Brien (CPSO# 66990)</t>
  </si>
  <si>
    <t>Providence Continuing Care,752 King Street West,Kingston ON  K7L 4X3,(613) 544-4900
130 Ontario Street,130 Ontario Street,Kingston ON  K7L 2Y4,(613) 546-1101
Hotel Dieu Hospital,Hotel Dieu Hospital,166 Brock Street,Kingston ON  K7L 5G2,(613) 544-3400
St. Lawrence College,St. Lawrence College,Campus Health,100 Portsmouth Avenue,Kingston ON  K7L 5A6,(613) 544-5400
76 Stuart Street,76 Stuart Street,Kingston ON  K7L 2V7,(613) 548-3232</t>
  </si>
  <si>
    <t>22249</t>
  </si>
  <si>
    <t xml:space="preserve">Active Member as of 29 Jul 1969 </t>
  </si>
  <si>
    <t xml:space="preserve">Independent Practice as of 29 Jul 1969 </t>
  </si>
  <si>
    <t>206 St Clair Avenue West,Toronto ON  M4V 1R2</t>
  </si>
  <si>
    <t>First certificate of registration issued: Independent Practice Certificate||Effective:   29 Jul 1969</t>
  </si>
  <si>
    <t>55764</t>
  </si>
  <si>
    <t xml:space="preserve">Independent Practice as of 15 Sep 1986 </t>
  </si>
  <si>
    <t>St Joseph Health Care,SW Forensic Mental Health,421 Sunset Drive,St Thomas,St Thomas ON  N5R 3C6</t>
  </si>
  <si>
    <t>(519) 631-8510 Ext. 49341</t>
  </si>
  <si>
    <t>Psychiatric Clinic,231 Wharncliffe Road South,London ON  N6G 1G2,Canada,Phone:(519) 433-6923,County:County of Middlesex,Electoral District:02</t>
  </si>
  <si>
    <t>St Joseph's Health Care-St Joseph's Site,London:London</t>
  </si>
  <si>
    <t>University of Toronto, 18 Jul 1994  to 30 Jun 1995|Clinical Fellow - Psychiatry</t>
  </si>
  <si>
    <t>First certificate of registration issued: Postgraduate Education Certificate||Effective:   01 Jul 1985
Transfer of class of registration to: Independent Practice Certificate||Effective:   15 Sep 1986</t>
  </si>
  <si>
    <t>79481</t>
  </si>
  <si>
    <t>Women's College Hospital,Department of Psychiatry,Room 7234,76 Grenville Street,Toronto ON  M5S 1B2</t>
  </si>
  <si>
    <t>University of Toronto, 01 Jul 2003  to 30 Jun 2004|PostGrad Yr 1 - Psychiatry
University of Toronto, 01 Jul 2004  to 30 Jun 2005|PostGrad Yr 2 - Psychiatry
University of Toronto, 01 Jul 2005  to 30 Jun 2006|PostGrad Yr 3 - Psychiatry
University of Toronto, 01 Jul 2006  to 30 Jun 2007|PostGrad Yr 4 - Psychiatry
University of Toronto, 01 Jul 2007  to 30 Jun 2008|PostGrad Yr 4 - Psychiatry
University of Toronto, 01 Jul 2008  to 30 Jun 2009|PostGrad Yr 5 - Psychiatry</t>
  </si>
  <si>
    <t>Dr. Simone Vigod Medicine Professional Corporation</t>
  </si>
  <si>
    <t>Dr. S. Vigod (CPSO# 79481)</t>
  </si>
  <si>
    <t>Women's College Hospital,Department of Psychiatry,76 Grenville Street,Room 7234,Toronto ON  M5S 1B2,(416) 323-6400</t>
  </si>
  <si>
    <t>81400</t>
  </si>
  <si>
    <t xml:space="preserve">Active Member as of 26 Jan 2010 </t>
  </si>
  <si>
    <t xml:space="preserve">Independent Practice as of 26 Jan 2010 </t>
  </si>
  <si>
    <t>Punjabi University, 1996</t>
  </si>
  <si>
    <t>Child &amp; Parent Resource Institute,Department of Paediatrics,600 Sanatorium Road,London ON  N6H 3W7</t>
  </si>
  <si>
    <t>(516) 858-2774</t>
  </si>
  <si>
    <t>Harleen Bhandal Medicine,Professional Corporation,Suite Lower C,568 Christina Street North,Sarnia ON  N7T 5W6,Canada,County:County of Lambton,Electoral District:01
Family Health Team,London, Ontario, N6H 0G6,London ON  N6H 0G6,Canada,Phone:(519) 432-4107 Ext. 233,County:County of Middlesex,Electoral District:02
60 Chesley Avenue,London ON  N5Z 2C1,Canada,Phone:519 433 8424,County:County of Middlesex,Electoral District:02</t>
  </si>
  <si>
    <t>Psychiatry||Effective: 30 Dec 2009||RCPSC Specialist
Child and Adolescent Psychiatry||Effective: 21 Sep 2015||RCPSC Specialist</t>
  </si>
  <si>
    <t>The University of Western Ontario, 01 Jul 2004  to 30 Jun 2005|PostGrad Yr 1 - Psychiatry
The University of Western Ontario, 01 Jul 2005  to 30 Jun 2006|PostGrad Yr 2 - Psychiatry
The University of Western Ontario, 01 Jul 2006  to 30 Jun 2007|PostGrad Yr 3 - Psychiatry
The University of Western Ontario, 01 Jul 2007  to 30 Jun 2008|PostGrad Yr 4 - Psychiatry
The University of Western Ontario, 01 Jul 2008  to 31 Mar 2009|PostGrad Yr 4 - Psychiatry
The University of Western Ontario, 01 Apr 2009  to 30 Dec 2009|PostGrad Yr 5 - Psychiatry</t>
  </si>
  <si>
    <t>First certificate of registration issued: Postgraduate Education Certificate||Effective:   01 Jul 2004
Expired: Terms and conditions of certificate of registration||Expiry:      30 Dec 2009
Subsequent certificate of registration Issued: Independent Practice Certificate||Effective:   26 Jan 2010</t>
  </si>
  <si>
    <t>Dr. Simran Ahluwalia Medicine Professional Corporation</t>
  </si>
  <si>
    <t>Issued Date:  May 02 2014</t>
  </si>
  <si>
    <t>Dr. S. Ahluwalia (CPSO# 81400)</t>
  </si>
  <si>
    <t>1261 Beaverbrook Avenue,London ON  N6H 0G6
Victoria Family Medical Centre,Victoria Family Medical Centre,60 Chesley Avenue,London ON  N5Z 2C1
Child &amp; Parent Resource Institute,Child &amp; Parent Resource Institute,Department of Paediatrics,600 Sanatorium Road,London ON  N6H 3W7
LHSC,LHSC,800 Commissioners Road East,London ON  N6A 5W9,(519) 685-8500
Lower C Suite,Lower C Suite,568 Christina Street North,Sarnia ON  N7T 5W6,(519) 601-0876</t>
  </si>
  <si>
    <t>73745</t>
  </si>
  <si>
    <t xml:space="preserve">Active Member as of 12 May 2006 </t>
  </si>
  <si>
    <t xml:space="preserve">Independent Practice as of 12 May 2006 </t>
  </si>
  <si>
    <t>Toronto Western Hospital-UHN,399 Bathurst Street,Toronto ON  M5T 2S8</t>
  </si>
  <si>
    <t>(416) 603-5809</t>
  </si>
  <si>
    <t>University of Toronto, 01 Jul 1999  to 30 Jun 2000|PostGrad Yr 1 - Psychiatry
University of Toronto, 01 Jul 2000  to 30 Jun 2001|PostGrad Yr 2 - Psychiatry
University of Toronto, 01 Jul 2001  to 30 Jun 2002|PostGrad Yr 3 - Psychiatry
University of Toronto, 01 Jul 2002  to 30 Jun 2003|PostGrad Yr 4 - Psychiatry
University of Toronto, 01 Jul 2003  to 30 Jun 2004|PostGrad Yr 5 - Psychiatry
University of Toronto, 01 Jul 2004  to 30 Jun 2005|PostGrad Yr 5 - Psychiatry
University of Toronto, 01 Jul 2005  to 01 Apr 2006|PostGrad Yr 5 - Psychiatry</t>
  </si>
  <si>
    <t>First certificate of registration issued: Postgraduate Education Certificate||Effective:   01 Jul 1999
Expired: Terms and conditions of certificate of registration||Expiry:      01 Apr 2006
Subsequent certificate of registration Issued: Independent Practice Certificate||Effective:   12 May 2006</t>
  </si>
  <si>
    <t>Brar Medicine Professional Corporation</t>
  </si>
  <si>
    <t>Issued Date:  Jan 11 2016</t>
  </si>
  <si>
    <t>Dr. S. Brar (CPSO# 73745)</t>
  </si>
  <si>
    <t>Toronto Western Hospital-UHN,399 Bathurst Street,9 East 467 A,399 Bathurst Street,Toronto ON  M5T 2S8,(416) 603-5809</t>
  </si>
  <si>
    <t>102600</t>
  </si>
  <si>
    <t xml:space="preserve">Restricted as of 03 Mar 2015 </t>
  </si>
  <si>
    <t>Saba University School of Medicine, 2006</t>
  </si>
  <si>
    <t>6N Psychiatry,CHEO(Children's Hospital of E. ON.),Department of Psychiatry,401 Smyth Road,Ottawa ON  K1H 8L1</t>
  </si>
  <si>
    <t>(613) 737-7600 Ext. 2613</t>
  </si>
  <si>
    <t>Psychiatry||Effective: 31 Dec 2013||RCPSC Specialist
Child and Adolescent Psychiatry||Effective: 26 Sep 2017||RCPSC Specialist</t>
  </si>
  <si>
    <t>First certificate of registration issued: Restricted certificate||Effective:   05 Feb 2014
Terms and conditions imposed on certificate by Registration Committee||Effective:   05 Feb 2014
Expiry date attached to certificate of registration.||Expiry Date: 04 Aug 2015
Expired: Terms and conditions imposed on certificate by Registration Committee||Effective:   03 Mar 2015
Subsequent certificate of registration issued: Restricted certificate||Effective:   03 Mar 2015</t>
  </si>
  <si>
    <t>S. Suntharalingam Medicine Professional Corporation</t>
  </si>
  <si>
    <t>Dr. S. Suntharalingam (CPSO# 102600)</t>
  </si>
  <si>
    <t>Children's Hospital of Eastern Ontario,Department of Psychiatry,6 East Psychiatry Inpatient Unit,401 Smyth Road,Ottawa ON  K1H 8L1,(613) 737-7600
1145 Carling Avenue,1145 Carling Avenue,Ottawa ON  K1Z 7K4,(613) 722-6521</t>
  </si>
  <si>
    <t>56384</t>
  </si>
  <si>
    <t xml:space="preserve">Active Member as of 17 Oct 1985 </t>
  </si>
  <si>
    <t>University College of East Africa, 1968</t>
  </si>
  <si>
    <t>King Street Medical Arts,71 King Street West,Suite 206,Mississauga ON  L5B 4A2</t>
  </si>
  <si>
    <t>(905) 848-8702</t>
  </si>
  <si>
    <t>First certificate of registration issued: Independent Practice Certificate||Effective:   17 Oct 1985</t>
  </si>
  <si>
    <t>108106</t>
  </si>
  <si>
    <t xml:space="preserve">Active Member as of 31 Dec 2016 </t>
  </si>
  <si>
    <t xml:space="preserve">Independent Practice as of 31 Dec 2016 </t>
  </si>
  <si>
    <t>English, Malay</t>
  </si>
  <si>
    <t>Credit Valley Hospital,Ambulatory Mental Health Services,2200 Eglinton Ave West,Mississauga ON  N1E 4J4</t>
  </si>
  <si>
    <t>(905) 813-4502</t>
  </si>
  <si>
    <t>Guelph General Hospital:Guelph
Homewood Health Centre:Guelph
Trillium Health Partners,Mississauga Hospital:Mississauga
Trillium Health Partners,The Credit Valley Hospital:Mississauga</t>
  </si>
  <si>
    <t>Psychiatry||Effective: 31 Dec 2016||RCPSC Specialist</t>
  </si>
  <si>
    <t>University of Toronto, 02 Nov 2015  to 31 Jan 2016|Elective Trainee - Psychiatry</t>
  </si>
  <si>
    <t>First certificate of registration issued: Postgraduate Education Certificate||Effective:   02 Nov 2015
Expired: Terms and conditions of certificate of registration||Expiry:      31 Jan 2016
Subsequent certificate of registration Issued: Independent Practice Certificate||Effective:   31 Dec 2016</t>
  </si>
  <si>
    <t>Dr. S.R. Abd Halim Medicine Professional Corporation</t>
  </si>
  <si>
    <t>Issued Date:  Aug 02 2017</t>
  </si>
  <si>
    <t>Dr. S. Abd Halim (CPSO# 108106)</t>
  </si>
  <si>
    <t>Credit Valley Hospital,2200 Eglinton Avenue West,Mississauga ON  L5M 2N1,(905) 813-2200
100 Queensway West,100 Queensway West,Mississauga ON  L5B 1B8,(905) 848-7100
Homewood Health Centre,Homewood Health Centre,150 Delhi Street,Guelph ON  N1E 6K9,(519) 824-1010
115 Delhi Street,115 Delhi Street,Guelph ON  N1E 4J4,(519) 837-6438</t>
  </si>
  <si>
    <t>28876</t>
  </si>
  <si>
    <t xml:space="preserve">Active Member as of 03 Dec 1976 </t>
  </si>
  <si>
    <t xml:space="preserve">Independent Practice as of 03 Dec 1976 </t>
  </si>
  <si>
    <t>University Of California- Irvine,North Campus- Psychiatry,Irvine CA  96297-1681,United States</t>
  </si>
  <si>
    <t>(949) 824-3557</t>
  </si>
  <si>
    <t>Hong Kong S A R
USA - California</t>
  </si>
  <si>
    <t>First certificate of registration issued: Postgraduate Education Certificate||Effective:   01 Jul 1972
Expired: Terms and conditions of certificate of registration||Expiry:      30 Jun 1974
Subsequent certificate of registration Issued: Postgraduate Education Certificate||Effective:   01 Jul 1975
Transfer of class of registration to: Independent Practice Certificate||Effective:   03 Dec 1976</t>
  </si>
  <si>
    <t>75901</t>
  </si>
  <si>
    <t xml:space="preserve">Active Member as of 14 Feb 2001 </t>
  </si>
  <si>
    <t xml:space="preserve">Independent Practice as of 14 Feb 2001 </t>
  </si>
  <si>
    <t>University of Bombay, 1976</t>
  </si>
  <si>
    <t>Suite 202,445Beechwood Place,Waterloo,Waterloo ON  N2T 1Z2</t>
  </si>
  <si>
    <t>(519) 880-9878</t>
  </si>
  <si>
    <t>(519) 880-8338</t>
  </si>
  <si>
    <t>First certificate of registration issued: Independent Practice Certificate||Effective:   14 Feb 2001</t>
  </si>
  <si>
    <t>82378</t>
  </si>
  <si>
    <t xml:space="preserve">Active Member as of 11 May 2005 </t>
  </si>
  <si>
    <t xml:space="preserve">Independent Practice as of 11 May 2005 </t>
  </si>
  <si>
    <t>Chatham Kent Health Alliance,Mental Health Services,80 Grand Avenue West,Chatham ON  N7M 5L9</t>
  </si>
  <si>
    <t>(519) 401-4992</t>
  </si>
  <si>
    <t>First certificate of registration issued: Independent Practice Certificate||Effective:   11 May 2005</t>
  </si>
  <si>
    <t>Devarajan Medicine Professional Corporation</t>
  </si>
  <si>
    <t>Issued Date:  Aug 27 2015</t>
  </si>
  <si>
    <t>Dr. S. Devarajan (CPSO# 82378)</t>
  </si>
  <si>
    <t>90779</t>
  </si>
  <si>
    <t xml:space="preserve">Active Member as of 07 Aug 2014 </t>
  </si>
  <si>
    <t xml:space="preserve">Independent Practice as of 07 Aug 2014 </t>
  </si>
  <si>
    <t>Durbin, Sivan (used until: 06 Jun 2011 )</t>
  </si>
  <si>
    <t>Suite 300,25 Sheppard Avenue West,Toronto ON  M2N 6S6</t>
  </si>
  <si>
    <t>(416) 645-9097</t>
  </si>
  <si>
    <t>First certificate of registration issued: Postgraduate Education Certificate||Effective:   01 Jul 2009
Expired: Terms and conditions of certificate of registration||Expiry:      30 Jun 2014
Subsequent certificate of registration Issued: Independent Practice Certificate||Effective:   07 Aug 2014</t>
  </si>
  <si>
    <t>Dr. S. Bega Medicine Professional Corporation</t>
  </si>
  <si>
    <t>Issued Date:  Mar 15 2016</t>
  </si>
  <si>
    <t>Dr. S. Bega (CPSO# 90779)</t>
  </si>
  <si>
    <t>Suite 300,25 Sheppard Avenue West,Toronto ON  M2N 6S6,(416) 645-9097</t>
  </si>
  <si>
    <t>63018</t>
  </si>
  <si>
    <t xml:space="preserve">Active Member as of 10 Aug 1990 </t>
  </si>
  <si>
    <t xml:space="preserve">Independent Practice as of 28 Aug 1991 </t>
  </si>
  <si>
    <t>226 377 5098</t>
  </si>
  <si>
    <t>(519) 663-5656</t>
  </si>
  <si>
    <t>First certificate of registration issued: Hospital Practice Certificate||Effective:   10 Aug 1990
Transfer of class of registration to: Independent Practice Certificate||Effective:   28 Aug 1991</t>
  </si>
  <si>
    <t>87958</t>
  </si>
  <si>
    <t xml:space="preserve">Active Member as of 21 Dec 2007 </t>
  </si>
  <si>
    <t xml:space="preserve">Independent Practice as of 21 Dec 2007 </t>
  </si>
  <si>
    <t>(514) 251-4000 Ext. 3696</t>
  </si>
  <si>
    <t>(514)648-6046</t>
  </si>
  <si>
    <t>First certificate of registration issued: Independent Practice Certificate||Effective:   21 Dec 2007</t>
  </si>
  <si>
    <t>92508</t>
  </si>
  <si>
    <t xml:space="preserve">Active Member as of 19 Feb 2010 </t>
  </si>
  <si>
    <t xml:space="preserve">Independent Practice as of 19 Feb 2010 </t>
  </si>
  <si>
    <t>Suite 1657,401 Bay Street,Toronto ON  M5H 2Y4</t>
  </si>
  <si>
    <t>(416) 646-1148</t>
  </si>
  <si>
    <t>(416) 646-1008</t>
  </si>
  <si>
    <t>Psychiatry||Effective: 15 Jun 1999||RCPSC Specialist</t>
  </si>
  <si>
    <t>First certificate of registration issued: Independent Practice Certificate||Effective:   19 Feb 2010</t>
  </si>
  <si>
    <t>53792</t>
  </si>
  <si>
    <t xml:space="preserve">Active Member as of 16 Jan 1985 </t>
  </si>
  <si>
    <t xml:space="preserve">Independent Practice as of 10 Jan 1989 </t>
  </si>
  <si>
    <t>Nagpur University, 1981</t>
  </si>
  <si>
    <t>(613) 722-6521 Ext. 6221</t>
  </si>
  <si>
    <t>613 761 3603</t>
  </si>
  <si>
    <t>Psychiatry||Effective: 22 Nov 1988||RCPSC Specialist
Child and Adolescent Psychiatry||Effective: 26 Sep 2013||RCPSC Specialist</t>
  </si>
  <si>
    <t>University of Ottawa, 01 Feb 1989  to 31 Jan 1990|Clinical Fellow - Psychiatry</t>
  </si>
  <si>
    <t>First certificate of registration issued: Postgraduate Education Certificate||Effective:   16 Apr 1984
Expired: Terms and conditions of certificate of registration||Expiry:      30 Jun 1984
Subsequent certificate of registration Issued: Postgraduate Education Certificate||Effective:   16 Jan 1985
Transfer of class of registration to: Independent Practice Certificate||Effective:   10 Jan 1989</t>
  </si>
  <si>
    <t>Dr. Smita Thatte Medicine Professional Corporation</t>
  </si>
  <si>
    <t>Issued Date:  Aug 21 2006</t>
  </si>
  <si>
    <t>Dr. S. Thatte (CPSO# 53792)</t>
  </si>
  <si>
    <t>75269</t>
  </si>
  <si>
    <t>Providence Continuing Care-,Mental Health Services,4-111 Industrial Blvd,Napanee ON  K7R 3Z1</t>
  </si>
  <si>
    <t>(613) 354-3916</t>
  </si>
  <si>
    <t>(613) 354-6673</t>
  </si>
  <si>
    <t>Brockville General Hospital:Brockville
Kingston Health Sciences Centre:Kingston
Lennox and Addington County General Hospital:Napanee
Providence Care Hospital:Kingston</t>
  </si>
  <si>
    <t>Psychiatry||Effective: 30 Jun 2006||RCPSC Specialist
Geriatric Psychiatry||Effective: 27 Sep 2016||RCPSC Specialist</t>
  </si>
  <si>
    <t>Queen's University, 01 Jul 2000  to 30 Jun 2001|PostGrad Yr 1 - Psychiatry
Queen's University, 01 Jul 2001  to 30 Jun 2002|PostGrad Yr 2 - Psychiatry
Queen's University, 01 Jul 2002  to 30 Jun 2003|PostGrad Yr 3 - Psychiatry
Queen's University, 01 Jul 2003  to 30 Jun 2004|PostGrad Yr 3 - Psychiatry
Queen's University, 01 Jul 2004  to 14 Sep 2004|PostGrad Yr 3 - Psychiatry
Queen's University, 15 Sep 2004  to 14 Sep 2005|PostGrad Yr 4 - Psychiatry
Queen's University, 15 Sep 2005  to 30 Jun 2006|PostGrad Yr 5 - Psychiatry</t>
  </si>
  <si>
    <t>First certificate of registration issued: Postgraduate Education Certificate||Effective:   01 Jul 2000
Transfer of class of registration to: Independent Practice Certificate||Effective:   30 Jun 2006</t>
  </si>
  <si>
    <t>Susan Ilkov-Moor Medicine Professional Corporation</t>
  </si>
  <si>
    <t>Inactive: May 24 2018</t>
  </si>
  <si>
    <t>84567</t>
  </si>
  <si>
    <t>English, French, Korean</t>
  </si>
  <si>
    <t>McMaster Childrens Hospital,Room 3G 103,1200 Main Street West,Hamilton ON  L8N 3Z5</t>
  </si>
  <si>
    <t>905)521-7978</t>
  </si>
  <si>
    <t>Hamilton Health Sciences Centre McMaster &amp; Childrens Hosp,McMaster &amp; Children's Hospital:Hamilton
St Joseph's Centre for Mountain Health Services:Hamilton</t>
  </si>
  <si>
    <t>Psychiatry||Effective: 14 Jun 2013||RCPSC Specialist</t>
  </si>
  <si>
    <t>McMaster University, 01 Jul 2006  to 30 Jun 2007|PostGrad Yr 1 - Psychiatry
McMaster University, 01 Jul 2007  to 30 Jun 2008|PostGrad Yr 2 - Psychiatry
McMaster University, 01 Jul 2008  to 30 Jun 2009|PostGrad Yr 3 - Psychiatry
McMaster University, 01 Jul 2009  to 30 Jun 2010|PostGrad Yr 4 - Psychiatry
McMaster University, 01 Jul 2010  to 16 May 2011|PostGrad Yr 4 - Psychiatry
McMaster University, 17 May 2011  to 16 May 2012|PostGrad Yr 5 - Psychiatry
McMaster University, 17 May 2012  to 16 May 2013|PostGrad Yr 5 - Psychiatry
McMaster University, 17 May 2013  to 14 Jun 2013|PostGrad Yr 5 - Psychiatry</t>
  </si>
  <si>
    <t>First certificate of registration issued: Postgraduate Education Certificate||Effective:   01 Jul 2006
Expired: Terms and conditions of certificate of registration||Expiry:      14 Jun 2013
Subsequent certificate of registration Issued: Independent Practice Certificate||Effective:   19 Jun 2013</t>
  </si>
  <si>
    <t>S. Min Medicine Professional Corporation</t>
  </si>
  <si>
    <t>Issued Date:  Jul 19 2013</t>
  </si>
  <si>
    <t>Dr. S. Min (CPSO# 84567)</t>
  </si>
  <si>
    <t>McMaster Children's Hospital,Suite 3G-103,1200 Main Street West,Hamilton ON  L8N 3Z5,(905) 521-2100</t>
  </si>
  <si>
    <t>87799</t>
  </si>
  <si>
    <t xml:space="preserve">Active Member as of 11 Oct 2007 </t>
  </si>
  <si>
    <t xml:space="preserve">Restricted as of 11 Oct 2007 </t>
  </si>
  <si>
    <t>University of Karachi, 1995</t>
  </si>
  <si>
    <t>600 Sanatorium Road,London ON  N6H 3W7</t>
  </si>
  <si>
    <t>(519) 858-2774 Ext. 2504</t>
  </si>
  <si>
    <t>London Health Sciences Centre,University Site:London
St Joseph's Health Care-St Joseph's Site,London:London</t>
  </si>
  <si>
    <t>Psychiatry||Effective: 11 Oct 2007||CPSO Recognized Specialist</t>
  </si>
  <si>
    <t>First certificate of registration issued: Restricted certificate||Effective:   11 Oct 2007
Terms and conditions imposed on certificate by Registration Committee||Effective:   11 Oct 2007
Expiry date attached to certificate of registration.||Expiry Date: 30 Jun 2010
Terms and conditions amended by Registration Committee||Effective:   17 May 2012
Terms and conditions amended by Registration Committee||Effective:   01 Jul 2014
Expiry date removed from certificate of registration.||Effective:   01 Jul 2014
Terms and conditions amended by member||Effective:   26 Sep 2017</t>
  </si>
  <si>
    <t>Sohail Makhdoom Medicine Professional Corporation</t>
  </si>
  <si>
    <t>Issued Date:  Jul 29 2015</t>
  </si>
  <si>
    <t>Dr. S. Makhdoom (CPSO# 87799)</t>
  </si>
  <si>
    <t>600 Sanatorium Road,2nd Floor,London ON  N6H 3W7,(519) 858-2774
800 Comissioners Road East,800 Comissioners Road East,London ON  N6C 2R6,(519) 685-8500</t>
  </si>
  <si>
    <t>21457</t>
  </si>
  <si>
    <t xml:space="preserve">Active Member as of 03 Jul 1968 </t>
  </si>
  <si>
    <t xml:space="preserve">Independent Practice as of 03 Jul 1968 </t>
  </si>
  <si>
    <t>Dalhousie University, 1963</t>
  </si>
  <si>
    <t>254 Viewmount Avenue,Toronto ON  M6B 1V2</t>
  </si>
  <si>
    <t>(416) 929-3287</t>
  </si>
  <si>
    <t>(416) 929-5832</t>
  </si>
  <si>
    <t>3455 Crescent Harbour Road,Stroud ON  L9S 2Y7,Canada,Phone:(705) 436-2434,County:County of Simcoe,Electoral District:05
10 Strawberry Lane,Little Current ON  P0P 1K0,Canada,Phone:(705) 368-1896,County:Territorial District of Manitoulin,Electoral District:08</t>
  </si>
  <si>
    <t>First certificate of registration issued: Independent Practice Certificate||Effective:   03 Jul 1968</t>
  </si>
  <si>
    <t>Sol Goldstein Medicine Professional Corporation</t>
  </si>
  <si>
    <t>Issued Date:  Jan 05 2009</t>
  </si>
  <si>
    <t>Dr. S. Goldstein (CPSO# 21457)</t>
  </si>
  <si>
    <t>254 Viewmount Avenue,Toronto ON  M6B 1V2,(416) 929-3287</t>
  </si>
  <si>
    <t>63298</t>
  </si>
  <si>
    <t xml:space="preserve">Active Member as of 31 Dec 1990 </t>
  </si>
  <si>
    <t xml:space="preserve">Independent Practice as of 28 Jun 1995 </t>
  </si>
  <si>
    <t>Ontario Shores Centre for,Mental Health Science,700 Gordon St,P O Box 613,Whitby ON  L1N 5S9</t>
  </si>
  <si>
    <t>(906) 668-5881 Ext. 6560</t>
  </si>
  <si>
    <t>Suite 210,1885 Glennana Road,Pickering ON  L1V 6R6,Canada,County:Regional Municipality of Durham,Electoral District:05</t>
  </si>
  <si>
    <t>Ontario Shores Centre for Mental Health Sciences:Whitby
St Joseph's Care Group,Lakehead Psychiatric Hospital:Thunder Bay</t>
  </si>
  <si>
    <t>The University of Western Ontario, 01 Jul 1995  to 30 Jun 1996|Clinical Fellow - Psychiatry</t>
  </si>
  <si>
    <t>First certificate of registration issued: Postgraduate Education Certificate||Effective:   31 Dec 1990
Transfer of class of registration to: Independent Practice Certificate||Effective:   28 Jun 1995</t>
  </si>
  <si>
    <t>58937</t>
  </si>
  <si>
    <t xml:space="preserve">Active Member as of 07 Aug 1987 </t>
  </si>
  <si>
    <t xml:space="preserve">Independent Practice as of 07 Aug 1987 </t>
  </si>
  <si>
    <t>Suite 1038,790 Bay Street,P.O. Box 51,Toronto ON  M5G 1N8</t>
  </si>
  <si>
    <t>(416) 323-9849</t>
  </si>
  <si>
    <t>SickKids CCMH,114 Maitland Street,Toronto ON  M4Y 1E1,Canada,Phone:(416) 924-1164 Ext. 3339,Fax:(416) 924-8208,County:City of Toronto,Electoral District:10</t>
  </si>
  <si>
    <t>Psychiatry||Effective: 08 Jun 1987||RCPSC Specialist
Child and Adolescent Psychiatry||Effective: 23 Sep 2014||RCPSC Specialist</t>
  </si>
  <si>
    <t>First certificate of registration issued: Independent Practice Certificate||Effective:   07 Aug 1987</t>
  </si>
  <si>
    <t>Solomon Shapiro Medicine Professional Corporation</t>
  </si>
  <si>
    <t>Dr. S. Shapiro (CPSO# 58937)</t>
  </si>
  <si>
    <t>Suite 1038,790 Bay Street,P.O. Box 51,Toronto ON  M5G 1N8,(416) 323-9849
508 - 114 Maitland Street,508 - 114 Maitland Street,Toronto ON  M4Y 1E1,(416) 924-1164</t>
  </si>
  <si>
    <t>69223</t>
  </si>
  <si>
    <t xml:space="preserve">Active Member as of 14 Dec 2000 </t>
  </si>
  <si>
    <t xml:space="preserve">Independent Practice as of 14 Dec 2000 </t>
  </si>
  <si>
    <t>Lacika-Cruickshanks, Sonia Maria (used until: 20 Sep 2001 )
Lacika, Sonia Maria (used until: 12 Jun 2000 )</t>
  </si>
  <si>
    <t>English, Slovak</t>
  </si>
  <si>
    <t>679 Davis Drive,Suite 308,Newmarket ON  L3Y 5G8</t>
  </si>
  <si>
    <t>(905) 836-1600</t>
  </si>
  <si>
    <t>(905) 836-5712</t>
  </si>
  <si>
    <t>First certificate of registration issued: Postgraduate Education Certificate||Effective:   01 Jul 1995
Expired: Terms and conditions of certificate of registration||Expiry:      30 Jun 2000
Subsequent certificate of registration issued: Restricted certificate||Effective:   25 Jul 2000
Expired: Terms and conditions of certificate of registration||Expiry:      14 Dec 2000
Subsequent certificate of registration Issued: Independent Practice Certificate||Effective:   14 Dec 2000</t>
  </si>
  <si>
    <t>100453</t>
  </si>
  <si>
    <t xml:space="preserve">Postgraduate Education as of 22 Oct 2013 </t>
  </si>
  <si>
    <t>Windsor University, 2013</t>
  </si>
  <si>
    <t>Psychiatry||Effective: 13 Jul 2018||RCPSC Specialist</t>
  </si>
  <si>
    <t>The University of Western Ontario, 01 Jul 2013  to 21 Oct 2013|Assessment Verification Period - Psychiatry
The University of Western Ontario, 22 Oct 2013  to 30 Jun 2014|PostGrad Yr 1 - Psychiatry
The University of Western Ontario, 01 Jul 2014  to 30 Jun 2015|PostGrad Yr 2 - Psychiatry
The University of Western Ontario, 01 Jul 2015  to 30 Jun 2016|PostGrad Yr 3 - Psychiatry
The University of Western Ontario, 01 Jul 2016  to 13 Jul 2016|PostGrad Yr 3 - Psychiatry
The University of Western Ontario, 14 Jul 2016  to 30 Jun 2017|PostGrad Yr 4 - Psychiatry
The University of Western Ontario, 01 Jul 2017  to 13 Jul 2017|PostGrad Yr 4 - Psychiatry
The University of Western Ontario, 14 Jul 2017  to 30 Jun 2018|PostGrad Yr 5 - Child and Adolescent Psychiatry
The University of Western Ontario, 01 Jul 2018  to 13 Jul 2018|PostGrad Yr 5 - Child and Adolescent Psychiatry
The University of Western Ontario, 14 Jul 2018  to 30 Jun 2019|PostGrad Yr 6 - Child and Adolescent Psychiatry</t>
  </si>
  <si>
    <t>First certificate of registration issued: Pre Entry Assessment Program Certificate||Effective:   01 Jul 2013
Transfer of class of registration to: Postgraduate Education Certificate||Effective:   22 Oct 2013
Expiry date attached to certificate of registration.||Expiry Date: 30 Jun 2019</t>
  </si>
  <si>
    <t>91247</t>
  </si>
  <si>
    <t xml:space="preserve">Active Member as of 12 Jul 2016 </t>
  </si>
  <si>
    <t xml:space="preserve">Independent Practice as of 12 Jul 2016 </t>
  </si>
  <si>
    <t>Royal Ottawa Mental Health Centre,Division of Geriatric Psychiatry,1145 Carling Avenue,Ottawa ON  K1Z 7K4</t>
  </si>
  <si>
    <t>613-722-6521</t>
  </si>
  <si>
    <t>Psychiatry||Effective: 19 Jun 2015||RCPSC Specialist
Geriatric Psychiatry||Effective: 27 Sep 2016||RCPSC Specialist</t>
  </si>
  <si>
    <t>University of Ottawa, 01 Jul 2009  to 30 Jun 2010|PostGrad Yr 1 - Psychiatry
University of Ottawa, 01 Jul 2010  to 30 Jun 2011|PostGrad Yr 2 - Psychiatry
University of Ottawa, 01 Jul 2011  to 30 Jun 2012|PostGrad Yr 3 - Psychiatry
University of Ottawa, 01 Jul 2012  to 30 Jun 2013|PostGrad Yr 3 - Psychiatry
University of Ottawa, 01 Jul 2013  to 19 Jun 2014|PostGrad Yr 4 - Psychiatry
University of Ottawa, 20 Jun 2014  to 30 Jun 2014|PostGrad Yr 5 - Psychiatry
University of Ottawa, 01 Jul 2014  to 19 Jun 2015|PostGrad Yr 5 - Psychiatry
University of Ottawa, 20 Jun 2015  to 30 Jun 2015|PostGrad Yr 6 - Geriatric Psychiatry
University of Ottawa, 01 Jul 2015  to 30 Jun 2016|PostGrad Yr 6 - Geriatric Psychiatry</t>
  </si>
  <si>
    <t>First certificate of registration issued: Postgraduate Education Certificate||Effective:   01 Jul 2009
Expired: Terms and conditions of certificate of registration||Expiry:      30 Jun 2016
Subsequent certificate of registration Issued: Independent Practice Certificate||Effective:   12 Jul 2016</t>
  </si>
  <si>
    <t>72805</t>
  </si>
  <si>
    <t>Children's Hospital of Eastern Onta,401 Smyth Road,Ottawa,Ottawa ON  K1H 8L1</t>
  </si>
  <si>
    <t>(613) 737-7600 Ext. 3476</t>
  </si>
  <si>
    <t>(613) 738-3233</t>
  </si>
  <si>
    <t>S. Hrycko Medicine Professional Corporation</t>
  </si>
  <si>
    <t>Issued Date:  Oct 16 2007</t>
  </si>
  <si>
    <t>Dr. S. Hrycko (CPSO# 72805)</t>
  </si>
  <si>
    <t>84344</t>
  </si>
  <si>
    <t>Lakatoo, Sophia Julie (used until: 11 Jul 2006 )</t>
  </si>
  <si>
    <t>University of Toronto, 01 Jul 2006  to 30 Jun 2007|PostGrad Yr 1 - Psychiatry
University of Toronto, 01 Jul 2007  to 30 Jun 2008|PostGrad Yr 2 - Psychiatry
University of Toronto, 01 Jul 2008  to 19 May 2009|PostGrad Yr 2 - Psychiatry
University of Toronto, 20 May 2009  to 30 Jun 2009|PostGrad Yr 3 - Psychiatry
University of Toronto, 01 Jul 2009  to 30 Jun 2010|PostGrad Yr 3 - Psychiatry
University of Toronto, 01 Jul 2010  to 30 Jun 2011|PostGrad Yr 3 - Psychiatry
University of Toronto, 01 Jul 2011  to 31 Mar 2012|PostGrad Yr 3 - Psychiatry
University of Toronto, 01 Apr 2012  to 30 Jun 2012|PostGrad Yr 4 - Psychiatry
University of Toronto, 01 Jul 2012  to 07 Jun 2013|PostGrad Yr 4 - Psychiatry
University of Toronto, 08 Jun 2013  to 30 Jun 2013|PostGrad Yr 5 - Psychiatry
University of Toronto, 01 Jul 2013  to 30 Jun 2014|PostGrad Yr 5 - Psychiatry</t>
  </si>
  <si>
    <t>First certificate of registration issued: Postgraduate Education Certificate||Effective:   01 Jul 2006
Expired: Terms and conditions of certificate of registration||Expiry:      30 Jun 2014
Subsequent certificate of registration issued: Restricted certificate||Effective:   18 Jul 2014
Expired: Terms and conditions imposed on certificate by Registration Committee||Effective:   07 Jul 2017
Subsequent certificate of registration Issued: Independent Practice Certificate||Effective:   07 Jul 2017</t>
  </si>
  <si>
    <t>71335</t>
  </si>
  <si>
    <t>Sunnybrook Health Sciences Centre,Department of Psychiatry,Room FG29,2075 Bayview Avenue,Toronto ON  M4N 3M5</t>
  </si>
  <si>
    <t>(416) 480-6100 Ext. 5677</t>
  </si>
  <si>
    <t>University of Toronto, 01 Jul 1997  to 30 Jun 1998|PostGrad Yr 1 - Psychiatry
University of Toronto, 01 Jul 1998  to 30 Jun 1999|PostGrad Yr 2 - Psychiatry
University of Toronto, 01 Jul 1999  to 31 Dec 1999|PostGrad Yr 3 - Psychiatry
University of Toronto, 01 Jan 2000  to 30 Jun 2000|PostGrad Yr 3 - Psychiatry
University of Toronto, 01 Jul 2000  to 30 Jun 2001|PostGrad Yr 4 - Psychiatry
University of Toronto, 01 Jul 2001  to 30 Jun 2002|PostGrad Yr 5 - Psychiatry</t>
  </si>
  <si>
    <t>Grigoriadis Medicine Professional Corporation</t>
  </si>
  <si>
    <t>Issued Date:  Mar 10 2008</t>
  </si>
  <si>
    <t>Dr. S. Grigoriadis (CPSO# 71335)</t>
  </si>
  <si>
    <t>Sunnybrook Health Sciences Centre,Department of Psychiatry,Room FG 29,2075 Bayview Avenue,Toronto ON  M4N 3M5,(416) 480-5677</t>
  </si>
  <si>
    <t>100014</t>
  </si>
  <si>
    <t>Grand River Hospital,Freeport Site,3570 King Street,Kitchener ON  N2A 2W1</t>
  </si>
  <si>
    <t>(519) 479-4300 Ext. 7998</t>
  </si>
  <si>
    <t>Grand River Hospital, KW site,835 King St W,Kitchener ON  N2G 1G3,Canada,Phone:(519) 479-4300 Ext. 7998,County:Regional Municipality of Waterloo,Electoral District:03
250 Laurelwood Dr,Waterloo ON  N2J 0E2,Canada,County:Regional Municipality of Waterloo,Electoral District:03</t>
  </si>
  <si>
    <t>Geriatric Psychiatry||Effective: 24 May 2017||CPSO Recognized Specialist
Psychiatry||Effective: 18 May 2018||RCPSC Specialist</t>
  </si>
  <si>
    <t>First certificate of registration issued: Restricted certificate||Effective:   25 Mar 2013
Terms and conditions imposed on certificate by Registration Committee||Effective:   25 Mar 2013
Expiry date attached to certificate of registration.||Expiry Date: 24 Sep 2014
Terms and conditions amended by Registration Committee||Effective:   02 May 2014
Terms and conditions amended by Registration Committee||Effective:   21 May 2015
Expiry date removed from certificate of registration.||Effective:   21 May 2015
Terms and conditions amended by Registration Committee||Effective:   24 May 2017</t>
  </si>
  <si>
    <t>95396</t>
  </si>
  <si>
    <t xml:space="preserve">Active Member as of 25 Jul 2016 </t>
  </si>
  <si>
    <t xml:space="preserve">Independent Practice as of 25 Jul 2016 </t>
  </si>
  <si>
    <t>Suite 111,214 College Street,Toronto ON  M5T 2Z9</t>
  </si>
  <si>
    <t>First certificate of registration issued: Postgraduate Education Certificate||Effective:   01 Jul 2011
Expired: Terms and conditions of certificate of registration||Expiry:      30 Jun 2016
Subsequent certificate of registration Issued: Independent Practice Certificate||Effective:   25 Jul 2016</t>
  </si>
  <si>
    <t>Dr. Soraya Mumtaz Medicine Professional Corporation</t>
  </si>
  <si>
    <t>Issued Date:  Dec 06 2016</t>
  </si>
  <si>
    <t>Dr. S. Mumtaz (CPSO# 95396)</t>
  </si>
  <si>
    <t>111- 214 College street,Toronto ON  M5T 2Z9,(416) 978-8030
692 Euclid Avenue,692 Euclid Avenue,Toronto ON  M6G 2T9</t>
  </si>
  <si>
    <t>114053</t>
  </si>
  <si>
    <t xml:space="preserve">Active Member as of 19 Oct 2017 </t>
  </si>
  <si>
    <t xml:space="preserve">Independent Practice as of 19 Oct 2017 </t>
  </si>
  <si>
    <t>English, Kurdi, Persian</t>
  </si>
  <si>
    <t>Iran Univ.of Med Sciences &amp; Hlth Service, 2000</t>
  </si>
  <si>
    <t>Psychiatry||Effective: 30 Sep 2014||RCPSC Specialist</t>
  </si>
  <si>
    <t>First certificate of registration issued: Independent Practice Certificate||Effective:   19 Oct 2017</t>
  </si>
  <si>
    <t>Dr S. Sadafi Medicine Professional Corporation</t>
  </si>
  <si>
    <t>Issued Date:  Mar 19 2018</t>
  </si>
  <si>
    <t>Dr. S. Sadafi (CPSO# 114053)</t>
  </si>
  <si>
    <t>56885</t>
  </si>
  <si>
    <t>Pinecrest Queensway ACT Team,2nd Floor,1365 Richmond Road,Ottawa ON  K2B 6R7</t>
  </si>
  <si>
    <t>(613) 820-4922 Ext. 3369</t>
  </si>
  <si>
    <t>(613) 820-3995</t>
  </si>
  <si>
    <t>University of Toronto, 16 Jun 1986  to 15 Jun 1987|Other - Comprehensive Internship
University of Toronto, 01 Jul 1987  to 30 Jun 1988|Resident 1 - Psychiatry
University of Toronto, 01 Jul 1988  to 30 Jun 1989|Resident 2 - Psychiatry
Queen's University, 01 Jul 1989  to 30 Jun 1990|Resident 3 - Psychiatry</t>
  </si>
  <si>
    <t>First certificate of registration issued: Postgraduate Education Certificate||Effective:   16 Jun 1986
Transfer of class of registration to: Independent Practice Certificate||Effective:   13 Aug 1987</t>
  </si>
  <si>
    <t>81379</t>
  </si>
  <si>
    <t xml:space="preserve">Active Member as of 07 Oct 2009 </t>
  </si>
  <si>
    <t xml:space="preserve">Independent Practice as of 07 Oct 2009 </t>
  </si>
  <si>
    <t>English, Hindi, Kannada, Malayalam, Tamil</t>
  </si>
  <si>
    <t>Parkwood Institute,Mental Health Care Building,Assessment Program - H4,PO Box 5777, STN B,London ON  N6A 4V2</t>
  </si>
  <si>
    <t>(519) 455-5110 Ext. 47061</t>
  </si>
  <si>
    <t>(519) 452-4552</t>
  </si>
  <si>
    <t>Psychiatry||Effective: 30 Sep 2009||RCPSC Specialist</t>
  </si>
  <si>
    <t>The University of Western Ontario, 01 Jul 2004  to 30 Jun 2005|PostGrad Yr 1 - Psychiatry
The University of Western Ontario, 01 Jul 2005  to 30 Jun 2006|PostGrad Yr 2 - Psychiatry
The University of Western Ontario, 01 Jul 2006  to 31 Dec 2006|PostGrad Yr 2 - Psychiatry
The University of Western Ontario, 01 Jan 2007  to 31 Dec 2007|PostGrad Yr 3 - Psychiatry
The University of Western Ontario, 01 Jan 2008  to 31 Dec 2008|PostGrad Yr 4 - Psychiatry
The University of Western Ontario, 01 Jan 2009  to 30 Sep 2009|PostGrad Yr 5 - Psychiatry</t>
  </si>
  <si>
    <t>First certificate of registration issued: Postgraduate Education Certificate||Effective:   01 Jul 2004
Expired: Terms and conditions of certificate of registration||Expiry:      30 Sep 2009
Subsequent certificate of registration Issued: Independent Practice Certificate||Effective:   07 Oct 2009</t>
  </si>
  <si>
    <t>Sreelatha Varapravan Medicine Professional Corporation</t>
  </si>
  <si>
    <t>Dr. S. Varapravan (CPSO# 81379)</t>
  </si>
  <si>
    <t>Parkwood Institute,Mental Health Building,550 Wellington Street,London ON  N6C 0A7,(519) 455-5110</t>
  </si>
  <si>
    <t>104932</t>
  </si>
  <si>
    <t>Kurnool Medical College, 1983</t>
  </si>
  <si>
    <t>Cobequid Mental Health Centre,MHS Bedford Sackville,40 Freer Lane,Lower Sackville NS  B4C 0A2</t>
  </si>
  <si>
    <t>(902) 865-3663</t>
  </si>
  <si>
    <t>First certificate of registration issued: Independent Practice Certificate||Effective:   17 Sep 2014</t>
  </si>
  <si>
    <t>22670</t>
  </si>
  <si>
    <t xml:space="preserve">Active Member as of 14 May 1970 </t>
  </si>
  <si>
    <t xml:space="preserve">Independent Practice as of 14 May 1970 </t>
  </si>
  <si>
    <t>39 Drummond Street West,Perth ON  K7H 2J9</t>
  </si>
  <si>
    <t>(613) 264-0340</t>
  </si>
  <si>
    <t>(613) 264-9671</t>
  </si>
  <si>
    <t>Psychiatry||Effective: 15 Nov 1965||RCPSC Specialist</t>
  </si>
  <si>
    <t>First certificate of registration issued: Independent Practice Certificate||Effective:   14 May 1970</t>
  </si>
  <si>
    <t>19673</t>
  </si>
  <si>
    <t xml:space="preserve">Active Member as of 13 Aug 1965 </t>
  </si>
  <si>
    <t xml:space="preserve">Independent Practice as of 13 Aug 1965 </t>
  </si>
  <si>
    <t>805-449 Walmer Rd,Toronto ON  M5P 2X9</t>
  </si>
  <si>
    <t>(416) 597-0196</t>
  </si>
  <si>
    <t>(416) 441-2929</t>
  </si>
  <si>
    <t>First certificate of registration issued: Postgraduate Education Certificate||Effective:   01 Jul 1964
Transfer of class of registration to: Independent Practice Certificate||Effective:   13 Aug 1965</t>
  </si>
  <si>
    <t>Stanley Debow Medicine Professional Corporation</t>
  </si>
  <si>
    <t>Dr. S. Debow (CPSO# 19673)</t>
  </si>
  <si>
    <t>Suite 805,449 Walmer Road,Toronto ON  M5P 2X9,(416) 597-0196</t>
  </si>
  <si>
    <t>21317</t>
  </si>
  <si>
    <t xml:space="preserve">Active Member as of 31 May 1968 </t>
  </si>
  <si>
    <t xml:space="preserve">Independent Practice as of 31 May 1968 </t>
  </si>
  <si>
    <t>Centenary Health Centre,6th Level,2867 Ellesmere Road,Scarborough ON  M1E 4B9</t>
  </si>
  <si>
    <t>11 A/B - 1400 Bayly Street,Pickering ON  L1W 3R2,Canada,Phone:(905) 831-8326,County:Regional Municipality of Durham,Electoral District:05</t>
  </si>
  <si>
    <t>Lakeridge Health,Ajax and Pickering Site:Ajax
Rouge Valley Centenary Health Centre,Toronto:Toronto
Scarborough Hospital,General Site:Toronto</t>
  </si>
  <si>
    <t>Psychiatry||Effective: 18 Nov 1969||RCPSC Specialist</t>
  </si>
  <si>
    <t>First certificate of registration issued: Postgraduate Education Certificate||Effective:   01 Jul 1964
Transfer of class of registration to: Independent Practice Certificate||Effective:   31 May 1968</t>
  </si>
  <si>
    <t>108414</t>
  </si>
  <si>
    <t xml:space="preserve">Active Member as of 12 Jan 2016 </t>
  </si>
  <si>
    <t xml:space="preserve">Restricted as of 12 Jan 2016 </t>
  </si>
  <si>
    <t>Universitaet Regensburg, 2002</t>
  </si>
  <si>
    <t>100 Stokes Street,CAMH - Bell Gateway Building,Toronto ON  M6J 1H4</t>
  </si>
  <si>
    <t>416 535 8501 Ext. 32503</t>
  </si>
  <si>
    <t>416 979 6853</t>
  </si>
  <si>
    <t>Psychiatry||Effective: 12 Jan 2016||CPSO Recognized Specialist</t>
  </si>
  <si>
    <t>First certificate of registration issued: Restricted certificate||Effective:   12 Jan 2016
Terms and conditions imposed on certificate by Registration Committee||Effective:   12 Jan 2016
Expiry date attached to certificate of registration.||Expiry Date: 08 Jan 2019</t>
  </si>
  <si>
    <t>32986</t>
  </si>
  <si>
    <t>101 Humber Collège blv,Etobicoke ON  M9V 1R8</t>
  </si>
  <si>
    <t>(416) 747-3586</t>
  </si>
  <si>
    <t>(905) 265-8345</t>
  </si>
  <si>
    <t>William Osler Health Centre Etobicoke General Site:Toronto</t>
  </si>
  <si>
    <t>Stefanos Patmanidis Medicine Professional Corporation</t>
  </si>
  <si>
    <t>Dr. S. Patmanidis (CPSO# 32986)</t>
  </si>
  <si>
    <t>5100 Rutherford Road,P.O. Box 12308,Woodbridge ON  L4H 2T3,(416) 747-9111</t>
  </si>
  <si>
    <t>66075</t>
  </si>
  <si>
    <t xml:space="preserve">Active Member as of 28 Oct 1992 </t>
  </si>
  <si>
    <t xml:space="preserve">Independent Practice as of 28 Oct 1992 </t>
  </si>
  <si>
    <t>Hôpital de Verdun,4000 Boul Lasalle,Verdun QC  H4G 2A3</t>
  </si>
  <si>
    <t>(514) 362-1000 Ext. 62141</t>
  </si>
  <si>
    <t>(514) 765-7306</t>
  </si>
  <si>
    <t>First certificate of registration issued: Independent Practice Certificate||Effective:   28 Oct 1992</t>
  </si>
  <si>
    <t>53092</t>
  </si>
  <si>
    <t xml:space="preserve">Independent Practice as of 30 Sep 1986 </t>
  </si>
  <si>
    <t>University of Basel, 1979</t>
  </si>
  <si>
    <t>345 Lakeshore Road East,Suite 408,Oakville ON  L6J 1J5</t>
  </si>
  <si>
    <t>(905) 338-1386</t>
  </si>
  <si>
    <t>(905) 338-2717</t>
  </si>
  <si>
    <t>First certificate of registration issued: Postgraduate Education Certificate||Effective:   01 Jul 1983
Transfer of class of registration to: Independent Practice Certificate||Effective:   30 Sep 1986</t>
  </si>
  <si>
    <t>Dr. S. Treyvaud Medicine Professional Corporation</t>
  </si>
  <si>
    <t>Issued Date:  Dec 10 2009</t>
  </si>
  <si>
    <t>Dr. S. Treyvaud (CPSO# 53092)</t>
  </si>
  <si>
    <t>Suite 408,345 Lakeshore Road East,Oakville ON  L6J 1J5,(905) 338-1386</t>
  </si>
  <si>
    <t>80710</t>
  </si>
  <si>
    <t>CAMH,Child, Youth and Family,80 Workman Way,Toronto ON  M6J1H4</t>
  </si>
  <si>
    <t>(416) 535-8501 Ext. 39381</t>
  </si>
  <si>
    <t>University of Toronto, 01 Jul 2004  to 30 Jun 2005|PostGrad Yr 1 - Psychiatry
University of Toronto, 01 Jul 2005  to 30 Jun 2006|PostGrad Yr 2 - Psychiatry
University of Toronto, 01 Jul 2006  to 30 Jun 2007|PostGrad Yr 3 - Psychiatry
University of Toronto, 01 Jul 2007  to 30 Jun 2008|PostGrad Yr 4 - Psychiatry
University of Toronto, 01 Jul 2008  to 30 Jun 2009|PostGrad Yr 4 - Psychiatry
University of Toronto, 01 Jul 2009  to 30 Jun 2010|PostGrad Yr 5 - Psychiatry
University of Toronto, 01 Jul 2010  to 30 Jun 2011|Clinical Fellow - Psychiatry
University of Toronto, 01 Jul 2011  to 30 Jun 2012|Clinical Fellow - Psychiatry
University of Toronto, 01 Jul 2012  to 30 Jun 2013|Clinical Fellow - Psychiatry</t>
  </si>
  <si>
    <t>First certificate of registration issued: Postgraduate Education Certificate||Effective:   01 Jul 2004
Transfer of class of registration to: Independent Practice Certificate||Effective:   30 Jun 2010</t>
  </si>
  <si>
    <t>101614</t>
  </si>
  <si>
    <t xml:space="preserve">Postgraduate Education as of 24 Sep 2013 </t>
  </si>
  <si>
    <t>University of Queensland, 2012</t>
  </si>
  <si>
    <t>St Josephs Healthcare,Department of Psychiatry and,Behavioural Neurosciences,100 West 5th Street,Hamilton ON  L8N 3K7</t>
  </si>
  <si>
    <t>McMaster University, 01 Jul 2013  to 23 Sep 2013|Assessment Verification Period - Psychiatry
McMaster University, 24 Sep 2013  to 30 Jun 2014|PostGrad Yr 1 - Psychiatry
McMaster University, 01 Jul 2014  to 30 Jun 2015|PostGrad Yr 2 - Psychiatry
McMaster University, 01 Jul 2015  to 30 Jun 2016|PostGrad Yr 3 - Psychiatry
McMaster University, 01 Jul 2016  to 30 Jun 2017|PostGrad Yr 4 - Psychiatry
McMaster University, 01 Jul 2017  to 30 Jun 2018|PostGrad Yr 5 - Psychiatry
McMaster University, 01 Jul 2018  to 30 Jun 2019|PostGrad Yr 6 - Forensic Psychiatry</t>
  </si>
  <si>
    <t>First certificate of registration issued: Pre Entry Assessment Program Certificate||Effective:   01 Jul 2013
Transfer of class of registration to: Postgraduate Education Certificate||Effective:   24 Sep 2013
Expiry date attached to certificate of registration.||Expiry Date: 30 Jun 2019</t>
  </si>
  <si>
    <t>78005</t>
  </si>
  <si>
    <t>Michael Garron Hospital,Psychiatry,825 Coxwell Avenue,A614,East York ON  M4C 3E7</t>
  </si>
  <si>
    <t>(416) 469-6580 Ext. 3464</t>
  </si>
  <si>
    <t>1739 Bathurst street,Toronto ontario,M5p3k5,Toronto ON  M5P3K5,Canada,Phone:6473001709,Fax:9058570432,County:City of Toronto,Electoral District:10</t>
  </si>
  <si>
    <t>University of Toronto, 01 Jul 2002  to 30 Jun 2003|PostGrad Yr 1 - Psychiatry
University of Toronto, 01 Jul 2003  to 30 Jun 2004|PostGrad Yr 2 - Psychiatry
University of Toronto, 01 Jul 2004  to 30 Jun 2005|PostGrad Yr 2 - Psychiatry
University of Toronto, 01 Jul 2005  to 30 Jun 2006|PostGrad Yr 3 - Psychiatry
University of Toronto, 01 Jul 2006  to 30 Jun 2007|PostGrad Yr 3 - Psychiatry
University of Toronto, 01 Jul 2007  to 30 Jun 2008|PostGrad Yr 4 - Psychiatry
University of Toronto, 01 Jul 2008  to 30 Jun 2009|PostGrad Yr 4 - Psychiatry
University of Toronto, 01 Jul 2009  to 30 Jun 2010|PostGrad Yr 5 - Psychiatry</t>
  </si>
  <si>
    <t>First certificate of registration issued: Postgraduate Education Certificate||Effective:   01 Jul 2002
Transfer of class of registration to: Independent Practice Certificate||Effective:   30 Jun 2010</t>
  </si>
  <si>
    <t>Marvin M. Wiesenthal Medicine Professional Corporation</t>
  </si>
  <si>
    <t>Dr. M. Wiesenthal (CPSO# 22661),Dr. S. Wiesenthal (CPSO# 78005)</t>
  </si>
  <si>
    <t>1739 Bathurst Street,Toronto ON  M5P 3K5,(416) 483-5468
107 Lindsay Street South,107 Lindsay Street South,Lindsay ON  K9V 2M5,(705) 324-3300
107 Lindsay Street South,107 Lindsay Street South,Lindsay ON  K9V 2M5,(705) 324-330</t>
  </si>
  <si>
    <t>Wiesenthal Medicine Professional Corporation</t>
  </si>
  <si>
    <t>Dr. S. Wiesenthal (CPSO# 78005)</t>
  </si>
  <si>
    <t>Toronto East General Hospital,Dept of Child Psychiatry,825 Coxwell Avenue,A-614,Toronto ON  M4C 3E7,(416) 469-6580</t>
  </si>
  <si>
    <t>52449</t>
  </si>
  <si>
    <t xml:space="preserve">Independent Practice as of 27 Jun 1985 </t>
  </si>
  <si>
    <t>Outpatient Mental Health,The Scarborough  and Rouge Hospital,Birchmount Campus,3030 Birchmount Road,Scarborough ON  M1W 3W3</t>
  </si>
  <si>
    <t>First certificate of registration issued: Postgraduate Education Certificate||Effective:   13 Jun 1983
Transfer of class of registration to: Independent Practice Certificate||Effective:   27 Jun 1985</t>
  </si>
  <si>
    <t>Barsky Medicine Professional Coporation</t>
  </si>
  <si>
    <t>Issued Date:  Feb 23 2006</t>
  </si>
  <si>
    <t>Dr. S. Barsky (CPSO# 52449)</t>
  </si>
  <si>
    <t>Scarborough Hospital - Grace Division,Outpatient Mental Health,Suite 3E,3030 Birchmount Road,Scarborough ON  M1W 3W3,(416) 495-2563</t>
  </si>
  <si>
    <t>30147</t>
  </si>
  <si>
    <t xml:space="preserve">Independent Practice as of 01 Jul 1978 </t>
  </si>
  <si>
    <t>Dixon Medical Centre,531 Davis Drive,Suite 306,Newmarket ON  L3Y 6P5</t>
  </si>
  <si>
    <t>(905) 898-5415</t>
  </si>
  <si>
    <t>(905) 898-6371</t>
  </si>
  <si>
    <t>First certificate of registration issued: Postgraduate Education Certificate||Effective:   01 Jul 1977
Transfer of class of registration to: Independent Practice Certificate||Effective:   01 Jul 1978</t>
  </si>
  <si>
    <t>Dr. S. Stokl Medicine Professional Corporation</t>
  </si>
  <si>
    <t>Issued Date:  Nov 04 2010</t>
  </si>
  <si>
    <t>Dr. S. Stokl (CPSO# 30147)</t>
  </si>
  <si>
    <t>Dixon Medical Centre,531 Davis Drive,Suite 306,Newmarket ON  L3Y 6P5,(905) 898-5415</t>
  </si>
  <si>
    <t>64623</t>
  </si>
  <si>
    <t xml:space="preserve">Independent Practice as of 01 Jul 1995 </t>
  </si>
  <si>
    <t>University of Stellenbosch, 1984</t>
  </si>
  <si>
    <t>Anxiety Treatment &amp; Reseach Clinic,,St Josephs Healthcare,,West 5th Campus,,100 West 5th Street, B154C,Hamilton ON  L9C 0E3</t>
  </si>
  <si>
    <t>First certificate of registration issued: Postgraduate Education Certificate||Effective:   26 Sep 1991
Expired: Terms and conditions of certificate of registration||Expiry:      30 Jun 1995
Subsequent certificate of registration Issued: Independent Practice Certificate||Effective:   01 Jul 1995</t>
  </si>
  <si>
    <t>69878</t>
  </si>
  <si>
    <t>Suite 256,2155 Leanne Boulevard,Mississauga ON  L5K 2K8</t>
  </si>
  <si>
    <t>(905) 823-8156</t>
  </si>
  <si>
    <t>91027</t>
  </si>
  <si>
    <t xml:space="preserve">Independent Practice as of 28 Apr 2015 </t>
  </si>
  <si>
    <t>Royal Ottawa Mental Health Centre,1141 Carling Avenue,Ottawa ON  K1Z 7K4</t>
  </si>
  <si>
    <t>Psychiatry||Effective: 30 Jun 2014||RCPSC Specialist
Forensic Psychiatry||Effective: 21 Sep 2015||RCPSC Specialist</t>
  </si>
  <si>
    <t>McMaster University, 01 Jul 2009  to 30 Jun 2010|PostGrad Yr 1 - Orthopedic Surgery
University of Ottawa, 01 Jul 2010  to 30 Jun 2011|PostGrad Yr 2 - Psychiatry
University of Ottawa, 01 Jul 2011  to 30 Jun 2012|PostGrad Yr 3 - Psychiatry
University of Ottawa, 01 Jul 2012  to 30 Jun 2013|PostGrad Yr 4 - Psychiatry
University of Ottawa, 01 Jul 2013  to 30 Jun 2014|PostGrad Yr 5 - Psychiatry
University of Ottawa, 01 Jul 2014  to 30 Jun 2015|PostGrad Yr 6 - Forensic Psychiatry</t>
  </si>
  <si>
    <t>First certificate of registration issued: Postgraduate Education Certificate||Effective:   01 Jul 2009
Transfer of class of registration to: Independent Practice Certificate||Effective:   28 Apr 2015</t>
  </si>
  <si>
    <t>32965</t>
  </si>
  <si>
    <t xml:space="preserve">Independent Practice as of 11 Nov 1981 </t>
  </si>
  <si>
    <t>11770 Bernardo Plaza Court,Suite 370,San Diego CA  92128,United States</t>
  </si>
  <si>
    <t>(858) 673-3360</t>
  </si>
  <si>
    <t>(858) 592-0884</t>
  </si>
  <si>
    <t>Southwest and Associates,Suite 450,1550 Hotel Circle North,San Diego CA  92108,United States,Phone:(619) 295-4400,Fax:(619) 497-0856,County:Electoral District</t>
  </si>
  <si>
    <t>First certificate of registration issued: Postgraduate Education Certificate||Effective:   01 Jul 1981
Transfer of class of registration to: Independent Practice Certificate||Effective:   11 Nov 1981</t>
  </si>
  <si>
    <t>74896</t>
  </si>
  <si>
    <t xml:space="preserve">Active Member as of 27 Jul 2005 </t>
  </si>
  <si>
    <t xml:space="preserve">Independent Practice as of 27 Jul 2005 </t>
  </si>
  <si>
    <t>Mental Health Department,North York General Hospital,Branson Division,555 Finch Avenue West Room 103,North York ON  M2R 1N5</t>
  </si>
  <si>
    <t>(416) 633-9420 Ext. 6678</t>
  </si>
  <si>
    <t>North York General Hospital,General Division,Mental Health Department,4001 Leslie Street,Toronto ON  M2K 1E1,Canada,County:City of Toronto,Electoral District:10</t>
  </si>
  <si>
    <t>First certificate of registration issued: Postgraduate Education Certificate||Effective:   01 Jul 2000
Expired: Terms and conditions of certificate of registration||Expiry:      30 Jun 2005
Subsequent certificate of registration Issued: Independent Practice Certificate||Effective:   27 Jul 2005</t>
  </si>
  <si>
    <t>Dr. Stephen Gelber Medicine Professional Corporation</t>
  </si>
  <si>
    <t>Dr. S. Gelber (CPSO# 74896)</t>
  </si>
  <si>
    <t>Mental Health Department,North York General Hospital,Branson Division,555 Finch Avenue West Room South 1-103,North York ON  M2R 1N5,(416) 633-9420
North York General Hospital,North York General Hospital,General Division,Mental Health Department,4001 Leslie Street,Toronto ON  M2K 1E1,(416) 756-6655
6100 Belgrave Road,6100 Belgrave Road,Mississauga ON  L5R 0B7,(905) 624-9115</t>
  </si>
  <si>
    <t>60029</t>
  </si>
  <si>
    <t xml:space="preserve">Active Member as of 22 Jun 1988 </t>
  </si>
  <si>
    <t xml:space="preserve">Independent Practice as of 22 Jun 1988 </t>
  </si>
  <si>
    <t>Student Wellness Services,Kingston ON  K7L 3N6</t>
  </si>
  <si>
    <t>(613) 533-2508</t>
  </si>
  <si>
    <t>(613) 533-2347</t>
  </si>
  <si>
    <t>First certificate of registration issued: Independent Practice Certificate||Effective:   22 Jun 1988</t>
  </si>
  <si>
    <t>32512</t>
  </si>
  <si>
    <t xml:space="preserve">Independent Practice as of 01 Jul 1983 </t>
  </si>
  <si>
    <t>208 Bloor Street West,Suite 905,Toronto ON  M5S 3B4</t>
  </si>
  <si>
    <t>(416) 923-8666</t>
  </si>
  <si>
    <t>(416) 466-7250</t>
  </si>
  <si>
    <t>First certificate of registration issued: Postgraduate Education Certificate||Effective:   16 Jun 1980
Transfer of class of registration to: Independent Practice Certificate||Effective:   22 Jun 1981
Expired: Resigned from membership.||Expiry:      01 Jul 1982
Subsequent certificate of registration Issued: Independent Practice Certificate||Effective:   01 Jul 1983</t>
  </si>
  <si>
    <t>Dr. Stephen Sibalis Medicine Professional Corporation</t>
  </si>
  <si>
    <t>Issued Date:  Dec 04 2009</t>
  </si>
  <si>
    <t>Dr. S. Sibalis (CPSO# 32512)</t>
  </si>
  <si>
    <t>Suite 905,208 Bloor Street West,Toronto ON  M5S 3B4,(416) 923-8666</t>
  </si>
  <si>
    <t>55345</t>
  </si>
  <si>
    <t>Hamilton Program for Schizophrenia,20 Hughson Street South,Suite 405,Hamilton ON  L8N 2A1</t>
  </si>
  <si>
    <t>(905) 546-0055</t>
  </si>
  <si>
    <t>McMaster University, 01 Jul 1985  to 30 Jun 1986|Other - Rotating Internship
McMaster University, 01 Jul 1986  to 30 Jun 1987|Resident 1 - Psychiatry
McMaster University, 01 Jul 1987  to 30 Jun 1988|Resident 2 - Psychiatry
McMaster University, 01 Jul 1988  to 30 Jun 1989|Resident 3 - Psychiatry</t>
  </si>
  <si>
    <t>First certificate of registration issued: Postgraduate Education Certificate||Effective:   01 Jul 1985
Transfer of class of registration to: Independent Practice Certificate||Effective:   15 Jan 1988</t>
  </si>
  <si>
    <t>42306</t>
  </si>
  <si>
    <t xml:space="preserve">Active Member as of 04 Nov 1976 </t>
  </si>
  <si>
    <t xml:space="preserve">Independent Practice as of 08 Dec 1987 </t>
  </si>
  <si>
    <t>University of Newcastle-Upon-Tyne, 1970</t>
  </si>
  <si>
    <t>#101,427 Princess Street,Kingston ON  K7L 5S9</t>
  </si>
  <si>
    <t>(416) 533-6455</t>
  </si>
  <si>
    <t>(416) 247-5299</t>
  </si>
  <si>
    <t>First certificate of registration issued: Postgraduate Education Certificate||Effective:   04 Nov 1976
Transfer of class of registration to: Academic Practice Certificate||Effective:   28 Jun 1977
Transfer of class of registration to: Independent Practice Certificate||Effective:   08 Dec 1987</t>
  </si>
  <si>
    <t>Stephen Hucker Medicine Professional Corporation</t>
  </si>
  <si>
    <t>Issued Date:  Apr 23 2004</t>
  </si>
  <si>
    <t>Dr. S. Hucker (CPSO# 42306)</t>
  </si>
  <si>
    <t>101 - 427 Princess Street,Kingston ON  K7L 5S9,(416) 533-6455</t>
  </si>
  <si>
    <t>32579</t>
  </si>
  <si>
    <t xml:space="preserve">Independent Practice as of 30 Jun 1981 </t>
  </si>
  <si>
    <t>42 St CLAIR Ave East,Toronto ON  M4T 1M9</t>
  </si>
  <si>
    <t>(905) 609-0200</t>
  </si>
  <si>
    <t>(613) 336-0715</t>
  </si>
  <si>
    <t>First certificate of registration issued: Postgraduate Education Certificate||Effective:   01 Jul 1980
Transfer of class of registration to: Independent Practice Certificate||Effective:   30 Jun 1981</t>
  </si>
  <si>
    <t>54695</t>
  </si>
  <si>
    <t xml:space="preserve">Active Member as of 02 Jul 1984 </t>
  </si>
  <si>
    <t xml:space="preserve">Independent Practice as of 03 Oct 1988 </t>
  </si>
  <si>
    <t>2757 King Street East,Hamilton ON  L8G 5E4</t>
  </si>
  <si>
    <t>West Niagara Mental Health Team,167A Main Street  East,Grimsby ON  L3M 1P2,Canada,Phone:(905) 309-3336,Fax:(905) 309-4446,County:Regional Municipality of Niagara,Electoral District:04</t>
  </si>
  <si>
    <t>Hamilton Health Sciences Centre McMaster &amp; Childrens Hosp,McMaster &amp; Children's Hospital:Hamilton
St Joseph's Centre for Mountain Health Services:Hamilton
St Joseph's Healthcare System,Hamilton:Hamilton
West Lincoln Memorial Hospital:Grimsby</t>
  </si>
  <si>
    <t>First certificate of registration issued: Postgraduate Education Certificate||Effective:   02 Jul 1984
Transfer of class of registration to: Hospital Practice Certificate||Effective:   30 Jun 1988
Transfer of class of registration to: Independent Practice Certificate||Effective:   03 Oct 1988</t>
  </si>
  <si>
    <t>Stephen Webb Medicine Professional Corporation</t>
  </si>
  <si>
    <t>Issued Date:  Oct 27 2016</t>
  </si>
  <si>
    <t>Dr. S. Webb (CPSO# 54695)</t>
  </si>
  <si>
    <t>2757 King Street East,Hamilton ON  L8G 5E4,(905) 573-4801
167A Main Street East,167A Main Street East,Grimsby ON  L3M 1P2,(905) 309-3336</t>
  </si>
  <si>
    <t>31498</t>
  </si>
  <si>
    <t xml:space="preserve">Active Member as of 21 Mar 1983 </t>
  </si>
  <si>
    <t xml:space="preserve">Independent Practice as of 21 Mar 1983 </t>
  </si>
  <si>
    <t>400 Walmer Road,Suite 125,Toronto ON  M5P 2X7</t>
  </si>
  <si>
    <t>(416) 967-1871</t>
  </si>
  <si>
    <t>First certificate of registration issued: Independent Practice Certificate||Effective:   26 May 1980
Expired: Resigned from membership.||Expiry:      15 Dec 1980
Subsequent certificate of registration Issued: Independent Practice Certificate||Effective:   21 Mar 1983</t>
  </si>
  <si>
    <t>59135</t>
  </si>
  <si>
    <t>Centre for Addiction and Mental,Health,Room 1148,250 College Street,Toronto ON  M5T 1R8</t>
  </si>
  <si>
    <t>(416) 535-8501 Ext. 34521</t>
  </si>
  <si>
    <t>First certificate of registration issued: Postgraduate Education Certificate||Effective:   30 Dec 1987
Expired: Terms and conditions of certificate of registration||Expiry:      10 Feb 1988
Subsequent certificate of registration Issued: Postgraduate Education Certificate||Effective:   01 Jul 1988
Transfer of class of registration to: Independent Practice Certificate||Effective:   17 Aug 1992</t>
  </si>
  <si>
    <t>Dr. Stephen Sokolov Medicine Professional Corporation</t>
  </si>
  <si>
    <t>Inactive: Feb 21 2014</t>
  </si>
  <si>
    <t>Issued Date:  Apr 07 2014</t>
  </si>
  <si>
    <t>Dr. E. Rea (CPSO# 59812),Dr. S. Sokolov (CPSO# 59135)</t>
  </si>
  <si>
    <t>Centre for Addiction and Mental Health,Room 1148,250 College Street,Toronto ON  M5T 1R8,(416) 535-8501
100 Stokes Street,100 Stokes Street,Toronto ON  M6J 1H4,(416) 535-8501</t>
  </si>
  <si>
    <t>86631</t>
  </si>
  <si>
    <t>Mackenzie Health,Department of Psychiatry,10 Trench Street,Richmond Hill ON  L4C 4Z3</t>
  </si>
  <si>
    <t>Perez-Youssoufian Medicine Professional Corporation</t>
  </si>
  <si>
    <t>Dr. S. Perez-Youssoufian (CPSO# 86631)</t>
  </si>
  <si>
    <t>Mackenzie Health,Department of Psychiatry,10 Trench Street,Richmond Hill ON  L4C 4Z3,(905) 883-1212</t>
  </si>
  <si>
    <t>56046</t>
  </si>
  <si>
    <t>Scarborough &amp; Rouge Hospital,Centenary Site,2867 Ellesmere Road,Scarborough ON  M1E 4B9</t>
  </si>
  <si>
    <t>(416) 284-8131 Ext. 5331</t>
  </si>
  <si>
    <t>First certificate of registration issued: Postgraduate Education Certificate||Effective:   01 Jul 1985
Transfer of class of registration to: Independent Practice Certificate||Effective:   24 Dec 1985</t>
  </si>
  <si>
    <t>S. Fishman Medicine Professional Corporation</t>
  </si>
  <si>
    <t>Issued Date:  Aug 22 2006</t>
  </si>
  <si>
    <t>Dr. S. Fishman (CPSO# 56046)</t>
  </si>
  <si>
    <t>2867 Ellesmere Road,Scarborough ON  M1E 4B9,(416) 281-7318</t>
  </si>
  <si>
    <t>68874</t>
  </si>
  <si>
    <t xml:space="preserve">Active Member as of 23 Jul 2004 </t>
  </si>
  <si>
    <t xml:space="preserve">Independent Practice as of 17 Dec 2008 </t>
  </si>
  <si>
    <t>St. Joseph's Healthcare, Hamilton,Centre for mountain Health Services,100 West 5th Street,Hamilton,Hamilton ON  L8N 3K7</t>
  </si>
  <si>
    <t>Central East Correctional Centre,Ministry of Community Safety,and Correctional Services,541 Highway 36 P O Box 4500,Lindsay ON  K9V 4S6,Canada,Phone:(705) 328-6000,County:County of Victoria,Electoral District:06
89 Richmond Blvd,Napanee ON  K7R 3S1,Canada,Phone:613 354 9701,Fax:613 354 3944,County:County of Lennox and Addington,Electoral District:06
454 Maple Avenue,Burlington ON  L7S 1M2,Canada,Phone:(905) 681-9646,Fax:(905) 681-9811,County:Regional Municipality of Halton,Electoral District:04</t>
  </si>
  <si>
    <t>McMaster University, 01 Jul 1995  to 30 Jun 1996|PostGrad Yr 1 - Psychiatry
McMaster University, 01 Jul 1996  to 31 Aug 1996|PostGrad Yr 1 - Psychiatry
McMaster University, 01 Sep 1996  to 30 Jun 1997|PostGrad Yr 2 - Psychiatry
McMaster University, 01 Jul 1997  to 31 Aug 1997|PostGrad Yr 2 - Psychiatry
McMaster University, 01 Sep 1997  to 30 Jun 1998|PostGrad Yr 3 - Psychiatry
McMaster University, 01 Jul 1998  to 31 Aug 1998|PostGrad Yr 3 - Psychiatry
McMaster University, 01 Sep 1998  to 30 Jun 1999|PostGrad Yr 4 - Psychiatry
McMaster University, 01 Jul 1999  to 31 Aug 1999|PostGrad Yr 4 - Psychiatry
McMaster University, 01 Sep 1999  to 30 Jun 2000|PostGrad Yr 5 - Psychiatry
McMaster University, 01 Jul 2000  to 30 Nov 2000|PostGrad Yr 5 - Psychiatry
McMaster University, 15 Mar 2001  to 30 Jun 2001|Clinical Fellow - Psychiatry
McMaster University, 01 Jul 2001  to 30 Jun 2002|Clinical Fellow - Psychiatry
McMaster University, 01 Jul 2002  to 30 Jun 2003|Clinical Fellow - Psychiatry
McMaster University, 01 Jul 2003  to 30 Apr 2004|Clinical Fellow - Psychiatry</t>
  </si>
  <si>
    <t>First certificate of registration issued: Postgraduate Education Certificate||Effective:   01 Jul 1995
Expired: Terms and conditions of certificate of registration||Expiry:      30 Nov 2000
Subsequent certificate of registration Issued: Postgraduate Education Certificate||Effective:   21 Mar 2001
Transfer of class of certificate to: Restricted certificate||Effective:   24 Jun 2002
Terms and conditions imposed on certificate||Effective:   24 Jun 2002
Expiry date attached to certificate of registration.||Expiry Date: 14 Mar 2003
Terms and conditions amended by Registration Committee||Effective:   30 Jun 2003
Terms and conditions amended by Registration Committee||Effective:   17 Dec 2003
Expired: Terms and conditions imposed on certificate by Registration Committee||Effective:   30 Apr 2004
Subsequent certificate of registration issued: Restricted certificate||Effective:   23 Jul 2004
Terms and conditions amended by Discipline Committee||Effective:   02 Dec 2008
Transfer of class of registration to: Independent Practice Certificate||Effective:   17 Dec 2008</t>
  </si>
  <si>
    <t>Dr. S. Wesley Medicine Professional Corporation</t>
  </si>
  <si>
    <t>Issued Date:  Oct 20 2011</t>
  </si>
  <si>
    <t>Dr. S. Wesley (CPSO# 68874)</t>
  </si>
  <si>
    <t>St. Joseph's Healthcare,Centre for Mountain Health Services,100 West 5th Street,Hamilton ON  L8N 3K7,(905) 522-1155
Central East Correctional Centre,Central East Correctional Centre,Ministry of Community Safety,and Correctional Services,541 Highway 36 P O Box 4500,Lindsay ON  K9V 4S6,(705) 328-6000
454 Maple Avenue,454 Maple Avenue,Burlington ON  L7S 1M2,(905) 681-9646
St. Joseph's Healthcare,St. Joseph's Healthcare,50 Charlton Avenue East,Hamilton ON  L8N 4A6,(905) 522-1155</t>
  </si>
  <si>
    <t>84850</t>
  </si>
  <si>
    <t>Sunnybrook Health Sciences Centre,Department of Psychiatry,2075 Bayview Avenue,F Wing,Toronto ON  M4N 3M5</t>
  </si>
  <si>
    <t>(416) 480-6736</t>
  </si>
  <si>
    <t>(416) 480-5766</t>
  </si>
  <si>
    <t>1245 Lakeshore Rd.,Burlington ON  L7S 0A2,Canada,Phone:905-632-3737,County:Regional Municipality of Halton,Electoral District:04</t>
  </si>
  <si>
    <t>Joseph Brant Hospital:Burlington
Oakville Trafalgar Memorial Hospital:Oakville
Sunnybrook Health Sciences Centre:Toronto</t>
  </si>
  <si>
    <t>87382</t>
  </si>
  <si>
    <t xml:space="preserve">Active Member as of 05 Jul 2007 </t>
  </si>
  <si>
    <t xml:space="preserve">Independent Practice as of 05 Jul 2007 </t>
  </si>
  <si>
    <t>1001 Queen Street West,Unit 1 - 112,Toronto ON  M6J 1H4</t>
  </si>
  <si>
    <t>(416) 535-8501 Ext. 32132</t>
  </si>
  <si>
    <t>Centre for Addiction &amp; Mental Health,Queen Street Site:Toronto
Timmins and District Hospital:Timmins</t>
  </si>
  <si>
    <t>University of Toronto, 01 Aug 2009  to 31 Jul 2010|Clinical Fellow - Psychiatry</t>
  </si>
  <si>
    <t>First certificate of registration issued: Independent Practice Certificate||Effective:   05 Jul 2007</t>
  </si>
  <si>
    <t>Steven N. Cohen Medicine Professional Corporation</t>
  </si>
  <si>
    <t>Issued Date:  Apr 29 2010</t>
  </si>
  <si>
    <t>Dr. S. Cohen (CPSO# 87382)</t>
  </si>
  <si>
    <t>Unit 1-12,1001 Queen Street West,Toronto ON  M6J 1H4,(416) 535-8501</t>
  </si>
  <si>
    <t>72471</t>
  </si>
  <si>
    <t>Hanna Dief, Sarwat Kamel (used until: 10 Sep 2014 )</t>
  </si>
  <si>
    <t>University of Cairo, 1979</t>
  </si>
  <si>
    <t>scarboroughand the rouge hospital,c,2867 Ellesmere Road,Scarborough ON  M1E 4B9</t>
  </si>
  <si>
    <t>(416) 496-6168</t>
  </si>
  <si>
    <t>Dief Medicine Professional Corporation</t>
  </si>
  <si>
    <t>Dr. S. Dief (CPSO# 72471)</t>
  </si>
  <si>
    <t>Rouge Valley Health Centre,2867 Ellesmere Road,Scarborough ON  M1E 4B9,(416) 284-8131</t>
  </si>
  <si>
    <t>54501</t>
  </si>
  <si>
    <t xml:space="preserve">Active Member as of 10 May 2013 </t>
  </si>
  <si>
    <t xml:space="preserve">Independent Practice as of 10 May 2013 </t>
  </si>
  <si>
    <t>Elgin ACT Team 1,294 Talbot Street,St Thomas ON  N5P 4E3</t>
  </si>
  <si>
    <t>519-633-5354</t>
  </si>
  <si>
    <t>Erie Shores HealthCare:Leamington
Hotel Dieu Grace Healthcare,Tayfour Campus:Windsor
St Joseph Health Care,London- Mental Health:London
Windsor Regional Hospital,Ouellette Campus:Windsor</t>
  </si>
  <si>
    <t>University of Ottawa, 01 Jul 1984  to 30 Jun 1985|Resident 1 - Psychiatry
University of Ottawa, 01 Jul 1985  to 30 Jun 1986|Resident 2 - Psychiatry
University of Ottawa, 01 Jul 1986  to 30 Jun 1987|Resident 3 - Psychiatry
University of Ottawa, 01 Jul 1987  to 30 Jun 1988|Resident 4 - Psychiatry</t>
  </si>
  <si>
    <t>First certificate of registration issued: Postgraduate Education Certificate||Effective:   01 Jul 1984
Transfer of class of registration to: Independent Practice Certificate||Effective:   16 Feb 1988
Expired: Resigned from membership.||Expiry:      16 Jun 2004
Subsequent certificate of registration Issued: Independent Practice Certificate||Effective:   10 May 2013</t>
  </si>
  <si>
    <t>29390</t>
  </si>
  <si>
    <t xml:space="preserve">Active Member as of 08 Jul 1977 </t>
  </si>
  <si>
    <t xml:space="preserve">Independent Practice as of 08 Jul 1977 </t>
  </si>
  <si>
    <t>Afrikaans, English, Norwegian</t>
  </si>
  <si>
    <t>Suite 800,180 Bloor Street West,Toronto ON  M5S 2V6</t>
  </si>
  <si>
    <t>(416) 964-0370</t>
  </si>
  <si>
    <t>(416) 964-6606</t>
  </si>
  <si>
    <t>First certificate of registration issued: Independent Practice Certificate||Effective:   08 Jul 1977</t>
  </si>
  <si>
    <t>78733</t>
  </si>
  <si>
    <t xml:space="preserve">Active Member as of 23 Apr 2009 </t>
  </si>
  <si>
    <t xml:space="preserve">Independent Practice as of 23 Apr 2009 </t>
  </si>
  <si>
    <t>Bengali, English, Hindi, Panjabi/Punjabi, Telugu, Urdu</t>
  </si>
  <si>
    <t>Health Sciences North,Department of Psychiatry,680 Kirkwood Drive,Sudbury ON  P3E 1X3</t>
  </si>
  <si>
    <t>McMaster University, 31 Dec 2002  to 30 Jun 2003|International Specialist Physician - Psychiatry
McMaster University, 01 Jul 2003  to 30 Jun 2004|PostGrad Yr 4 - Psychiatry
McMaster University, 01 Jul 2004  to 13 Jul 2004|PostGrad Yr 4 - Psychiatry
McMaster University, 14 Jul 2004  to 30 Jun 2005|PostGrad Yr 5 - Psychiatry
McMaster University, 01 Jul 2005  to 30 Jun 2006|PostGrad Yr 5 - Psychiatry
McMaster University, 01 Jul 2006  to 30 Jun 2007|PostGrad Yr 5 - Psychiatry</t>
  </si>
  <si>
    <t>First certificate of registration issued: Postgraduate Education Certificate||Effective:   31 Dec 2002
Expired: Terms and conditions of certificate of registration||Expiry:      30 Jun 2007
Subsequent certificate of registration issued: Restricted certificate||Effective:   28 Sep 2007
Expired: Terms and conditions imposed on certificate by Registration Committee||Effective:   23 Apr 2009
Subsequent certificate of registration Issued: Independent Practice Certificate||Effective:   23 Apr 2009</t>
  </si>
  <si>
    <t>Bhagavatula Sastry Medicine Professional Corporation</t>
  </si>
  <si>
    <t>Issued Date:  Apr 21 2008</t>
  </si>
  <si>
    <t>Dr. S. Bhagavatula (CPSO# 78733)</t>
  </si>
  <si>
    <t>41 Ramsey Lake Road,Sudbury ON  P3E 5J1,(705) 523-7100
Sudbury Regional Hospital,Sudbury Regional Hospital,Department of Psychiatry,680 Kirkwood Drive,Sudbury ON  P3E 1X3,(705) 675-5900</t>
  </si>
  <si>
    <t>116807</t>
  </si>
  <si>
    <t xml:space="preserve">Active Member as of 04 Sep 2018 </t>
  </si>
  <si>
    <t xml:space="preserve">Restricted as of 04 Sep 2018 </t>
  </si>
  <si>
    <t>Univ. of Medicine and Health Sciences, 2013</t>
  </si>
  <si>
    <t>U H N Toronto General Hospital,200 Elizabeth St,Toronto ON  M5G 2C4</t>
  </si>
  <si>
    <t>(416) 340-3111</t>
  </si>
  <si>
    <t>UHN Toronto Western Hospital,399 Bathurst St,Toronto ON  M5T 2S8,Canada,County:City of Toronto,Electoral District:10</t>
  </si>
  <si>
    <t>Psychiatry||Effective: 04 Sep 2018||CPSO Recognized Specialist
Child and Adolescent Psychiatry||Effective: 04 Sep 2018||CPSO Recognized Specialist</t>
  </si>
  <si>
    <t>First certificate of registration issued: Restricted certificate||Effective:   04 Sep 2018
Terms and conditions imposed on certificate by Registration Committee||Effective:   04 Sep 2018
Expiry date attached to certificate of registration.||Expiry Date: 03 Mar 2020</t>
  </si>
  <si>
    <t>71854</t>
  </si>
  <si>
    <t xml:space="preserve">Active Member as of 29 Jul 1997 </t>
  </si>
  <si>
    <t xml:space="preserve">Independent Practice as of 29 Jul 1997 </t>
  </si>
  <si>
    <t>Gauhati University, 1973</t>
  </si>
  <si>
    <t>151 B Dunlop Street East,Barrie ON  L4M 1B2</t>
  </si>
  <si>
    <t>(705) 719-7171</t>
  </si>
  <si>
    <t>(866) 861-9615</t>
  </si>
  <si>
    <t>First certificate of registration issued: Independent Practice Certificate||Effective:   29 Jul 1997</t>
  </si>
  <si>
    <t>Rajkhowa Medicine Professional Corporation</t>
  </si>
  <si>
    <t>Issued Date:  Jul 09 2003</t>
  </si>
  <si>
    <t>Dr. S. Rajkhowa (CPSO# 71854)</t>
  </si>
  <si>
    <t>151 B Dunlop Street East,Barrie ON  L4M 1B2,(705) 719-7171</t>
  </si>
  <si>
    <t>108061</t>
  </si>
  <si>
    <t xml:space="preserve">Active Member as of 15 Mar 2017 </t>
  </si>
  <si>
    <t xml:space="preserve">Restricted as of 15 Mar 2017 </t>
  </si>
  <si>
    <t>Gandhi Medical College, 1993</t>
  </si>
  <si>
    <t>University of Western Ontario,Schulich School of Medicine,Department of Psychiatry,550 Wellington Road,London ON  N6C 0A7</t>
  </si>
  <si>
    <t>(519) 667-6664</t>
  </si>
  <si>
    <t>Psychiatry||Effective: 15 Mar 2017||CPSO Recognized Specialist</t>
  </si>
  <si>
    <t>The University of Western Ontario, 28 Sep 2015  to 12 Oct 2015|PEAP - Resident - Psychiatry
The University of Western Ontario, 13 Oct 2015  to 28 Feb 2016|Elective Trainee - Psychiatry
The University of Western Ontario, 29 Feb 2016  to 12 Oct 2016|Elective Trainee - Psychiatry</t>
  </si>
  <si>
    <t>First certificate of registration issued: Pre Entry Assessment Program Certificate||Effective:   28 Sep 2015
Transfer of class of registration to: Postgraduate Education Certificate||Effective:   13 Oct 2015
Expired: Terms and conditions of certificate of registration||Expiry:      12 Oct 2016
Subsequent certificate of registration issued: Restricted certificate||Effective:   15 Mar 2017
Expiry as per terms and conditions imposed on certificate||Expiry Date: 30 Jun 2019</t>
  </si>
  <si>
    <t>Ojha Medicine Professional Corporation</t>
  </si>
  <si>
    <t>Dr. S. Ojha (CPSO# 108061),Dr. R. Ojha (CPSO# 102774)</t>
  </si>
  <si>
    <t>London Health Sciences Centre,Children's Hospital,Department of Pediatrics,800 Commissioners Road East,London ON  N6A 5W9,(519) 685-8500
University of Western Ontario,University of Western Ontario,Schulich School of Medicine,Department of Psychiatry,550 Wellington Road South,London ON  N6C 0A7,(519) 646-6100</t>
  </si>
  <si>
    <t>89405</t>
  </si>
  <si>
    <t xml:space="preserve">Active Member as of 30 Jun 2008 </t>
  </si>
  <si>
    <t>University College of Dublin, 2003</t>
  </si>
  <si>
    <t>Newfoundland and Labrador
Nova Scotia</t>
  </si>
  <si>
    <t>First certificate of registration issued: Independent Practice Certificate||Effective:   30 Jun 2008</t>
  </si>
  <si>
    <t>Sujay Patel Medicine Professional Corporation</t>
  </si>
  <si>
    <t>Issued Date:  Dec 20 2011</t>
  </si>
  <si>
    <t>Dr. S. Patel (CPSO# 89405)</t>
  </si>
  <si>
    <t>79530</t>
  </si>
  <si>
    <t xml:space="preserve">Active Member as of 11 Aug 2017 </t>
  </si>
  <si>
    <t xml:space="preserve">Independent Practice as of 11 Aug 2017 </t>
  </si>
  <si>
    <t>Kuwait University, 2001</t>
  </si>
  <si>
    <t>Psychiatry||Effective: 04 Aug 2008||RCPSC Specialist</t>
  </si>
  <si>
    <t>University of Toronto, 07 Jul 2003  to 04 Aug 2003|PEAP - Resident - Psychiatry
University of Toronto, 05 Aug 2003  to 30 Jun 2004|PostGrad Yr 1 - Psychiatry
University of Toronto, 01 Jul 2004  to 10 Aug 2004|PostGrad Yr 1 - Psychiatry
University of Toronto, 11 Aug 2004  to 10 Aug 2005|PostGrad Yr 2 - Psychiatry
University of Toronto, 11 Aug 2005  to 30 Jun 2006|PostGrad Yr 3 - Psychiatry
University of Toronto, 01 Jul 2006  to 30 Jun 2007|PostGrad Yr 4 - Psychiatry
University of Toronto, 01 Jul 2007  to 30 Jun 2008|PostGrad Yr 5 - Psychiatry
University of Toronto, 01 Jul 2008  to 04 Aug 2008|PostGrad Yr 5 - Psychiatry
University of Toronto, 05 Aug 2008  to 30 Jun 2009|Clinical Fellow - Psychiatry
University of Toronto, 01 Jul 2009  to 30 Jun 2010|Clinical Fellow - Psychiatry
University of Toronto, 01 Jul 2010  to 31 Jul 2010|Clinical Fellow - Psychiatry</t>
  </si>
  <si>
    <t>First certificate of registration issued: Pre Entry Assessment Program Certificate||Effective:   07 Jul 2003
Transfer of class of registration to: Postgraduate Education Certificate||Effective:   11 Aug 2003
Transfer of class of registration to: Independent Practice Certificate||Effective:   03 Feb 2009
Expired: Failure to Renew Membership||Expiry:      10 Aug 2017
Subsequent certificate of registration Issued: Independent Practice Certificate||Effective:   11 Aug 2017</t>
  </si>
  <si>
    <t>74853</t>
  </si>
  <si>
    <t>University of Ottawa, 2000</t>
  </si>
  <si>
    <t>Unit 3-4,1001 Queen Street West,Toronto ON  M6J 1H4</t>
  </si>
  <si>
    <t>(416) 535-8501 Ext. 31117</t>
  </si>
  <si>
    <t>416-583-4327</t>
  </si>
  <si>
    <t>110937</t>
  </si>
  <si>
    <t>Lakehead Psychiatric Hospital,580 Algoma St North,Thunder Bay ON  P7A 8C5</t>
  </si>
  <si>
    <t>Thunder Bay Regional Health,Sciences Centre,980 Oliver Road,Thunder Bay ON  P7B 6V4,Canada,Phone:(807) 684-6000,County:District of Thunder Bay,Electoral District:09</t>
  </si>
  <si>
    <t>First certificate of registration issued: Restricted certificate||Effective:   03 Oct 2016
Terms and conditions imposed on certificate by Registration Committee||Effective:   03 Oct 2016
Expiry date attached to certificate of registration.||Expiry Date: 28 Aug 2019
Terms and conditions amended by Registration Committee||Effective:   22 Jun 2018
Expiry date attached to certificate of registration||Expiry Date: 28 Aug 2019</t>
  </si>
  <si>
    <t>42504</t>
  </si>
  <si>
    <t xml:space="preserve">Active Member as of 01 Jan 1978 </t>
  </si>
  <si>
    <t xml:space="preserve">Independent Practice as of 21 Aug 1984 </t>
  </si>
  <si>
    <t>Guru Nanak Dev University, 1976</t>
  </si>
  <si>
    <t>Smyth Medical Centre,1929 Russell Road,Suite 300,Ottawa ON  K1G 4G3</t>
  </si>
  <si>
    <t>(613) 739-7051</t>
  </si>
  <si>
    <t>First certificate of registration issued: Postgraduate Education Certificate||Effective:   01 Jan 1978
Transfer of class of registration to: Hospital Practice Certificate||Effective:   24 Nov 1982
Transfer of class of registration to: Independent Practice Certificate||Effective:   21 Aug 1984</t>
  </si>
  <si>
    <t>74160</t>
  </si>
  <si>
    <t>University of Alberta, 1989</t>
  </si>
  <si>
    <t>(416) 813-7531</t>
  </si>
  <si>
    <t>73057</t>
  </si>
  <si>
    <t xml:space="preserve">Active Member as of 14 Sep 1998 </t>
  </si>
  <si>
    <t xml:space="preserve">Independent Practice as of 14 Sep 1998 </t>
  </si>
  <si>
    <t>English, Italian, Malayalam</t>
  </si>
  <si>
    <t>University of Padova, 1984</t>
  </si>
  <si>
    <t>Unit 513,2000 Credit Valley Road,Mississauga ON  L5M 4N4</t>
  </si>
  <si>
    <t>(905) 607-9320</t>
  </si>
  <si>
    <t>(905) 607-9785</t>
  </si>
  <si>
    <t>First certificate of registration issued: Independent Practice Certificate||Effective:   14 Sep 1998</t>
  </si>
  <si>
    <t>Dr. Sunny Johnson Medicine Professional Corporation</t>
  </si>
  <si>
    <t>Issued Date:  Aug 12 2011</t>
  </si>
  <si>
    <t>Dr. S. Johnson (CPSO# 73057)</t>
  </si>
  <si>
    <t>Unit 513,2000 Credit Valley Road,Mississauga ON  L5M 4N4,(905) 607-9320</t>
  </si>
  <si>
    <t>91045</t>
  </si>
  <si>
    <t>710 Victoria Ave. E.,Thunder Bay ON  P7C 5P7</t>
  </si>
  <si>
    <t>8073434300</t>
  </si>
  <si>
    <t>8073434373</t>
  </si>
  <si>
    <t>Dr. Supuneet Bismil Medicine Professional Corporation</t>
  </si>
  <si>
    <t>51762</t>
  </si>
  <si>
    <t>Punjab University, Pakistan, 1973</t>
  </si>
  <si>
    <t>501 Smyth Road,Ottawa ON  K1H 8L6</t>
  </si>
  <si>
    <t>Surriya Tahirkheli Medicine Professional Corporation</t>
  </si>
  <si>
    <t>Issued Date:  Jul 20 2009</t>
  </si>
  <si>
    <t>Dr. S. Tahirkheli (CPSO# 51762)</t>
  </si>
  <si>
    <t>Suite 4401,501 Smyth Road,Ottawa ON  K1H 8L6,(613) 739-8010
40 Ruskin Street,40 Ruskin Street,Ottawa ON  K1Y 4W7,(613) 761-5000
1145 Carling Avenue,1145 Carling Avenue,Ottawa ON  K1Z 7K4,(613) 722-6521</t>
  </si>
  <si>
    <t>58929</t>
  </si>
  <si>
    <t>596 Davis Dr,Newmarket ON  L3Y 2P9</t>
  </si>
  <si>
    <t>3359 Mississauga Rd,Mississauga ON  L5L 1C6,Canada,Phone:(905) 828-5255,County:Regional Municipality of Peel,Electoral District:05</t>
  </si>
  <si>
    <t>Hospital For Sick Children:Toronto
Southlake Regional Health Centre:Newmarket</t>
  </si>
  <si>
    <t>Psychiatry||Effective: 06 Jun 1991||RCPSC Specialist
Child and Adolescent Psychiatry||Effective: 23 Sep 2014||RCPSC Specialist</t>
  </si>
  <si>
    <t>University of Toronto, 01 Jul 1990  to 30 Jun 1990|Resident 4 - Psychiatry</t>
  </si>
  <si>
    <t>Dr. S. Naidoo Medicine Professional Corporation</t>
  </si>
  <si>
    <t>Dr. S. Naidoo (CPSO# 58929)</t>
  </si>
  <si>
    <t>596 Davis Drive,Newmarket ON  L3Y 2P9,(905) 895-4521
3359 Mississauga Road,3359 Mississauga Road,Mississauga ON  L5L 1C6,(905) 828-5255</t>
  </si>
  <si>
    <t>70087</t>
  </si>
  <si>
    <t>Dalhousie University, 1996</t>
  </si>
  <si>
    <t>North Bay Regional Health Centre,50 College Drive,PO Box 2500,North Bay ON  P1B 5A4</t>
  </si>
  <si>
    <t>(705) 474-8600 Ext. 3507</t>
  </si>
  <si>
    <t>59325</t>
  </si>
  <si>
    <t xml:space="preserve">Independent Practice as of 02 Mar 1990 </t>
  </si>
  <si>
    <t>(416) 588-9525</t>
  </si>
  <si>
    <t>(416) 588-0524</t>
  </si>
  <si>
    <t>University of Toronto, 13 Jun 1988  to 12 Jun 1989|Other - Rotating Internship
University of Toronto, 01 Jul 1989  to 30 Jun 1990|Resident 1 - Psychiatry
University of Toronto, 01 Jul 1990  to 30 Jun 1991|Resident 2 - Psychiatry
University of Toronto, 01 Jul 1991  to 30 Jun 1992|Resident 3 - Psychiatry
University of Toronto, 01 Jul 1992  to 30 Jun 1993|Resident 4 - Psychiatry
University of Toronto, 01 Jul 1993  to 30 Jun 1994|Clinical Fellow - Psychiatry</t>
  </si>
  <si>
    <t>First certificate of registration issued: Postgraduate Education Certificate||Effective:   13 Jun 1988
Transfer of class of registration to: Independent Practice Certificate||Effective:   02 Mar 1990</t>
  </si>
  <si>
    <t>21091</t>
  </si>
  <si>
    <t xml:space="preserve">Active Member as of 19 Oct 1967 </t>
  </si>
  <si>
    <t xml:space="preserve">Independent Practice as of 19 Oct 1967 </t>
  </si>
  <si>
    <t>436 Gilmour Street,Suite 202,Ottawa ON  K2P 0R8</t>
  </si>
  <si>
    <t>(613) 232-9513</t>
  </si>
  <si>
    <t>(613) 744-8528</t>
  </si>
  <si>
    <t>First certificate of registration issued: Independent Practice Certificate||Effective:   19 Oct 1967</t>
  </si>
  <si>
    <t>Dr. Matthew Suh &amp; Dr. Susan C. Smith Medicine Professional Corporation</t>
  </si>
  <si>
    <t>Dr. S. Smith (CPSO# 21091),Dr. M. Suh (CPSO# 31835)</t>
  </si>
  <si>
    <t>Suite 202,436 Gilmour Street,Ottawa ON  K2P 0R8,(613) 232-9513
Suite 201,Suite 201,436 Gilmour Street,Ottawa ON  K2P 0R8,(613) 234-7573</t>
  </si>
  <si>
    <t>77974</t>
  </si>
  <si>
    <t xml:space="preserve">Independent Practice as of 31 Dec 2007 </t>
  </si>
  <si>
    <t>(416) 535-8501 Ext. 36421</t>
  </si>
  <si>
    <t>Centre for Addiction &amp; Mental Health,Queen Street Site:Toronto
St Michael's Hospital:Toronto
University Health Network,Toronto General Hospital Site:Toronto</t>
  </si>
  <si>
    <t>Psychiatry||Effective: 31 Dec 2007||RCPSC Specialist</t>
  </si>
  <si>
    <t>University of Toronto, 01 Jul 2002  to 30 Jun 2003|PostGrad Yr 1 - Psychiatry
University of Toronto, 01 Jul 2003  to 30 Jun 2004|PostGrad Yr 2 - Psychiatry
University of Toronto, 01 Jul 2004  to 30 Jun 2005|PostGrad Yr 3 - Psychiatry
University of Toronto, 01 Jul 2005  to 30 Jun 2006|PostGrad Yr 4 - Psychiatry
University of Toronto, 01 Jul 2006  to 30 Jun 2007|PostGrad Yr 5 - Psychiatry
University of Toronto, 01 Jul 2007  to 31 Dec 2007|PostGrad Yr 5 - Psychiatry</t>
  </si>
  <si>
    <t>First certificate of registration issued: Postgraduate Education Certificate||Effective:   01 Jul 2002
Transfer of class of registration to: Independent Practice Certificate||Effective:   31 Dec 2007</t>
  </si>
  <si>
    <t>55369</t>
  </si>
  <si>
    <t>Hospital For Sick Children Communit,440 Jarvis Street,Toronto ON  M4Y 2H4</t>
  </si>
  <si>
    <t>525 University Ave,Suite 703,Toronto ON  M5G 2L3,Canada,Phone:416-813-6200,County:City of Toronto,Electoral District:10</t>
  </si>
  <si>
    <t>University of Toronto, 17 Jun 1985  to 16 Jun 1986|Other - Comprehensive Internship
University of Toronto, 01 Jul 1986  to 30 Jun 1987|Resident 2 - Family Medicine
University of Toronto, 01 Jul 1987  to 30 Jun 1988|Resident 1 - Psychiatry
University of Toronto, 01 Jul 1989  to 30 Jun 1990|Resident 3 - Psychiatry
University of Toronto, 01 Jul 1990  to 30 Jun 1991|Resident 5 - Psychiatry
University of Toronto, 01 Jul 1991  to 30 Jun 1992|Clinical Fellow - Psychiatry</t>
  </si>
  <si>
    <t>First certificate of registration issued: Postgraduate Education Certificate||Effective:   17 Jun 1985
Transfer of class of registration to: Independent Practice Certificate||Effective:   01 Dec 1986</t>
  </si>
  <si>
    <t>Susan Dundas Medicine Professional Corporation</t>
  </si>
  <si>
    <t>Dr. S. Dundas (CPSO# 55369)</t>
  </si>
  <si>
    <t>207A-440 Jarvis Street,Toronto ON  M4Y 2H4,(416) 857-0307</t>
  </si>
  <si>
    <t>50042</t>
  </si>
  <si>
    <t>Toronto General Hospital,Eaton Wing North,8Th Floor Room 222,200 Elizabeth Street,Toronto ON  M5G 2C4</t>
  </si>
  <si>
    <t>(416) 340-4447</t>
  </si>
  <si>
    <t>University of Toronto, 15 Jun 1981  to 15 Jun 1982|Other - Comprehensive Internship
University of Toronto, 01 Jul 1982  to 30 Jun 1983|Resident 2 - Psychiatry
University of Toronto, 01 Jul 1983  to 30 Jun 1984|Resident 3 - Psychiatry
University of Toronto, 01 Jul 1989  to 30 Jun 1990|Clinical Fellow - Psychiatry
University of Toronto, 01 Jul 1990  to 30 Jun 1991|Clinical Fellow - Psychiatry</t>
  </si>
  <si>
    <t>80756</t>
  </si>
  <si>
    <t xml:space="preserve">Active Member as of 24 Aug 2010 </t>
  </si>
  <si>
    <t xml:space="preserve">Independent Practice as of 24 Aug 2010 </t>
  </si>
  <si>
    <t>Scarrow, Susan Elizabeth (used until: 26 May 2005 )</t>
  </si>
  <si>
    <t>Michael Garron Hospital,825 Coxwell Avenue,Toronto ON M4C 3E7,Toronto ON  M6J 1H4</t>
  </si>
  <si>
    <t>(416) 469-6580 Ext. 3606</t>
  </si>
  <si>
    <t>University of Toronto, 01 Jul 2004  to 30 Jun 2005|PostGrad Yr 1 - Psychiatry
University of Toronto, 01 Jul 2005  to 30 Jun 2006|PostGrad Yr 2 - Psychiatry
University of Toronto, 01 Jul 2006  to 09 Jan 2007|PostGrad Yr 2 - Psychiatry
University of Toronto, 10 Jan 2007  to 09 Jan 2008|PostGrad Yr 3 - Psychiatry
University of Toronto, 10 Jan 2008  to 30 Jun 2008|PostGrad Yr 4 - Psychiatry
University of Toronto, 01 Jul 2008  to 30 Jun 2009|PostGrad Yr 4 - Psychiatry
University of Toronto, 01 Jul 2009  to 30 Jun 2010|PostGrad Yr 5 - Psychiatry</t>
  </si>
  <si>
    <t>First certificate of registration issued: Postgraduate Education Certificate||Effective:   01 Jul 2004
Expired: Terms and conditions of certificate of registration||Expiry:      30 Jun 2010
Subsequent certificate of registration Issued: Independent Practice Certificate||Effective:   24 Aug 2010</t>
  </si>
  <si>
    <t>Dr. Susan MacKenzie Medicine Professional Corporation</t>
  </si>
  <si>
    <t>Issued Date:  Jun 20 2018</t>
  </si>
  <si>
    <t>Dr. S. MacKenzie (CPSO# 80756)</t>
  </si>
  <si>
    <t>Michael Garron Hospital,825 Coxwell Avenue,Toronto ON  M4C 3E7,(416) 469-6580
1205-1243 Islington Avenue,1205-1243 Islington Avenue,Toronto ON  M8X 1Y9,(416) 233-8933</t>
  </si>
  <si>
    <t>72668</t>
  </si>
  <si>
    <t xml:space="preserve">Active Member as of 04 Jul 2003 </t>
  </si>
  <si>
    <t xml:space="preserve">Independent Practice as of 04 Jul 2003 </t>
  </si>
  <si>
    <t>Hespeler Medical Clinic,Unit 12,350 Conestoga Boulevard,Cambridge ON  N1R 7L7</t>
  </si>
  <si>
    <t>(519) 629-4615</t>
  </si>
  <si>
    <t>The University of Western Ontario, 01 Jul 1998  to 30 Jun 1999|PostGrad Yr 1 - Psychiatry
The University of Western Ontario, 01 Jul 1999  to 30 Jun 2000|PostGrad Yr 2 - Psychiatry
The University of Western Ontario, 01 Jul 2000  to 30 Jun 2001|PostGrad Yr 3 - Psychiatry
The University of Western Ontario, 01 Jul 2001  to 31 Dec 2001|PostGrad Yr 4 - Psychiatry
McMaster University, 01 Jan 2002  to 30 Jun 2002|PostGrad Yr 4 - Psychiatry
McMaster University, 01 Jul 2002  to 30 Jun 2003|PostGrad Yr 5 - Psychiatry</t>
  </si>
  <si>
    <t>First certificate of registration issued: Postgraduate Education Certificate||Effective:   01 Jul 1998
Expired: Terms and conditions of certificate of registration||Expiry:      30 Jun 2003
Subsequent certificate of registration Issued: Independent Practice Certificate||Effective:   04 Jul 2003</t>
  </si>
  <si>
    <t>Dr. Susan E. Senior Medicine Professional Corporation</t>
  </si>
  <si>
    <t>Dr. S. Senior (CPSO# 72668)</t>
  </si>
  <si>
    <t>Hespeler Medical Clinic,Unit 12,350 Conestoga Boulevard,Cambridge ON  N1R 7L7,(519) 629-4615</t>
  </si>
  <si>
    <t>64883</t>
  </si>
  <si>
    <t xml:space="preserve">Active Member as of 01 Apr 1992 </t>
  </si>
  <si>
    <t>University of Southampton, 1984</t>
  </si>
  <si>
    <t>Forensic Psychiatry Program,St Josephs Healthcare - Hamilton,100 West 5th Street,Hamilton ON  L9C 0E3</t>
  </si>
  <si>
    <t>(905) 522-1155 Ext. 39092</t>
  </si>
  <si>
    <t>Psychiatry||Effective: 13 Nov 1992||RCPSC Specialist
Forensic Psychiatry||Effective: 26 Sep 2013||RCPSC Specialist</t>
  </si>
  <si>
    <t>First certificate of registration issued: Restricted certificate||Effective:   01 Apr 1992
Transfer of class of registration to: Independent Practice Certificate||Effective:   27 Sep 1995</t>
  </si>
  <si>
    <t>50069</t>
  </si>
  <si>
    <t>Unit 152,759 Hyde Park Road,London,London ON  N6H 3S2</t>
  </si>
  <si>
    <t>(519) 679-3330</t>
  </si>
  <si>
    <t>Psychiatry||Effective: 07 Jun 1988||RCPSC Specialist
Internal Medicine||Effective: 23 Jun 1986||RCPSC Specialist</t>
  </si>
  <si>
    <t>First certificate of registration issued: Postgraduate Education Certificate||Effective:   15 Jun 1982
Transfer of class of registration to: Independent Practice Certificate||Effective:   01 Jun 1985</t>
  </si>
  <si>
    <t>Dr. Susan J. Allen Medicine Professional Corporation</t>
  </si>
  <si>
    <t>Issued Date:  Dec 10 2007</t>
  </si>
  <si>
    <t>Dr. S. Allen (CPSO# 50069)</t>
  </si>
  <si>
    <t>Suite 152,759 Hyde Park Road,London ON  N6H 3S2,(519) 679-3330</t>
  </si>
  <si>
    <t>20830</t>
  </si>
  <si>
    <t xml:space="preserve">Active Member as of 30 Jun 1967 </t>
  </si>
  <si>
    <t xml:space="preserve">Independent Practice as of 30 Jun 1967 </t>
  </si>
  <si>
    <t>Dufferin Child and Family Services,655 Riddell Road,Orangeville, ON,Orangeville ON  L9W 4Z5</t>
  </si>
  <si>
    <t>519 941 1530</t>
  </si>
  <si>
    <t>519 941 1525</t>
  </si>
  <si>
    <t>First certificate of registration issued: Postgraduate Education Certificate||Effective:   01 Jul 1966
Transfer of class of registration to: Independent Practice Certificate||Effective:   30 Jun 1967</t>
  </si>
  <si>
    <t>75912</t>
  </si>
  <si>
    <t xml:space="preserve">Active Member as of 23 Feb 2001 </t>
  </si>
  <si>
    <t xml:space="preserve">Independent Practice as of 23 Feb 2001 </t>
  </si>
  <si>
    <t>North Island Hospital, Campbell Riv,375 2nd Ave,,Campbell River BC  V9W 3V1</t>
  </si>
  <si>
    <t>(613) 453-7859</t>
  </si>
  <si>
    <t>First certificate of registration issued: Independent Practice Certificate||Effective:   23 Feb 2001</t>
  </si>
  <si>
    <t>Susan J. Finch Medicine Professional Corporation</t>
  </si>
  <si>
    <t>Dr. S. Finch (CPSO# 75912)</t>
  </si>
  <si>
    <t>Hotel Dieu Hospital,166 Brock Street,Kingston ON  K7L 5G2,(613) 453-7859
Street Health Centre,Street Health Centre,115 Barrack Street,Kingston ON  K7K 1G2,(613) 453-7859
Kingston General Hospital,Kingston General Hospital,76 Stuart Street,Kingston ON  K7L 2V7,(613) 453-7859</t>
  </si>
  <si>
    <t>73423</t>
  </si>
  <si>
    <t xml:space="preserve">Active Member as of 11 Jan 2005 </t>
  </si>
  <si>
    <t xml:space="preserve">Independent Practice as of 11 Jan 2005 </t>
  </si>
  <si>
    <t>Ottawa Anxiety and Trauma Clinic,Billings Bridge Plaza, Suite 202,2277 Riverside Dr.,Ottawa ON  K1H 7X6</t>
  </si>
  <si>
    <t>(613) 737-1194</t>
  </si>
  <si>
    <t>Psychiatry||Effective: 26 Oct 2004||RCPSC Specialist</t>
  </si>
  <si>
    <t>University of Ottawa, 01 Jul 1999  to 30 Jun 2000|PostGrad Yr 1 - Psychiatry
University of Ottawa, 01 Jul 2000  to 30 Jun 2001|PostGrad Yr 2 - Psychiatry
University of Ottawa, 01 Jul 2001  to 30 Jun 2002|PostGrad Yr 3 - Psychiatry
University of Ottawa, 01 Jul 2002  to 30 Jun 2003|PostGrad Yr 4 - Psychiatry
University of Ottawa, 01 Jul 2003  to 30 Jun 2004|PostGrad Yr 5 - Psychiatry
University of Ottawa, 01 Jul 2004  to 02 Dec 2004|PostGrad Yr 5 - Psychiatry</t>
  </si>
  <si>
    <t>First certificate of registration issued: Postgraduate Education Certificate||Effective:   01 Jul 1999
Expired: Terms and conditions of certificate of registration||Expiry:      02 Dec 2004
Subsequent certificate of registration Issued: Independent Practice Certificate||Effective:   11 Jan 2005</t>
  </si>
  <si>
    <t>51920</t>
  </si>
  <si>
    <t xml:space="preserve">Independent Practice as of 25 Nov 1983 </t>
  </si>
  <si>
    <t>Baycrest Hospital,Department Of Psychiatry,3560 Bathurst Street,Toronto ON  M6A 2E1</t>
  </si>
  <si>
    <t>(416) 785-2500 Ext. 2452</t>
  </si>
  <si>
    <t>First certificate of registration issued: Postgraduate Education Certificate||Effective:   15 Jun 1981
Transfer of class of registration to: Independent Practice Certificate||Effective:   25 Nov 1983</t>
  </si>
  <si>
    <t>70327</t>
  </si>
  <si>
    <t xml:space="preserve">Active Member as of 07 Jan 2002 </t>
  </si>
  <si>
    <t xml:space="preserve">Independent Practice as of 07 Jan 2002 </t>
  </si>
  <si>
    <t>Sunnybrook &amp; Women's,Health Sciences Centre,2075 Bayview Avenue,Toronto ON  M4N 3M5</t>
  </si>
  <si>
    <t>(416) 480-4085</t>
  </si>
  <si>
    <t>The Centre for Mindfulness Studies,180 sudbury Street,Toronto ON  M6J0A8,Canada,Phone:416 500-1017,County:City of Toronto,Electoral District:10</t>
  </si>
  <si>
    <t>Psychiatry||Effective: 31 Dec 2001||RCPSC Specialist</t>
  </si>
  <si>
    <t>University of Toronto, 01 Jul 1996  to 30 Jun 1997|PostGrad Yr 1 - Psychiatry
University of Toronto, 01 Jul 1997  to 30 Jun 1998|PostGrad Yr 2 - Psychiatry
University of Toronto, 01 Jul 1998  to 30 Jun 1999|PostGrad Yr 3 - Psychiatry
University of Toronto, 01 Jul 1999  to 30 Jun 2000|PostGrad Yr 4 - Psychiatry
University of Toronto, 01 Jul 2000  to 30 Jun 2001|PostGrad Yr 5 - Psychiatry
University of Toronto, 01 Jul 2001  to 31 Dec 2001|PostGrad Yr 5 - Psychiatry</t>
  </si>
  <si>
    <t>First certificate of registration issued: Postgraduate Education Certificate||Effective:   01 Jul 1996
Expired: Terms and conditions of certificate of registration||Expiry:      31 Dec 2001
Subsequent certificate of registration Issued: Independent Practice Certificate||Effective:   07 Jan 2002</t>
  </si>
  <si>
    <t>104556</t>
  </si>
  <si>
    <t>University of Toronto, 01 Jul 2014  to 30 Jun 2015|PostGrad Yr 2 - Psychiatry
University of Toronto, 01 Jul 2015  to 30 Jun 2016|PostGrad Yr 3 - Psychiatry
University of Toronto, 01 Jul 2016  to 30 Jun 2017|PostGrad Yr 4 - Psychiatry
University of Toronto, 01 Jul 2017  to 30 Jun 2018|PostGrad Yr 5 - Psychiatry
University of Toronto, 01 Jul 2018  to 30 Jun 2019|Clinical Fellow - Psychiatry</t>
  </si>
  <si>
    <t>First certificate of registration issued: Postgraduate Education Certificate||Effective:   04 Jul 2014
Transfer of class of registration to: Independent Practice Certificate||Effective:   05 Oct 2018</t>
  </si>
  <si>
    <t>62675</t>
  </si>
  <si>
    <t xml:space="preserve">Independent Practice as of 26 May 1992 </t>
  </si>
  <si>
    <t>Suite 203,720 Spadina Avenue,Toronto ON  M5S 2T9</t>
  </si>
  <si>
    <t>(416) 928-3254</t>
  </si>
  <si>
    <t>First certificate of registration issued: Postgraduate Education Certificate||Effective:   11 Jun 1990
Transfer of class of registration to: Independent Practice Certificate||Effective:   26 May 1992</t>
  </si>
  <si>
    <t>S.L. Bishop Medicine Professional Corporation</t>
  </si>
  <si>
    <t>Dr. S. Bishop (CPSO# 62675)</t>
  </si>
  <si>
    <t>Suite 203,720 Spadina Avenue,Toronto ON  M5S 2T9,(416) 928-3254</t>
  </si>
  <si>
    <t>93307</t>
  </si>
  <si>
    <t xml:space="preserve">Active Member as of 11 Aug 2015 </t>
  </si>
  <si>
    <t xml:space="preserve">Independent Practice as of 11 Aug 2015 </t>
  </si>
  <si>
    <t>Community Psychiatry Clinic,St Joseph's Healthcare Hamilton,100 West 5th St,Hamilton, ON,Hamilton ON  L9C 0E3</t>
  </si>
  <si>
    <t>905-522-1155 Ext. 33538</t>
  </si>
  <si>
    <t>Psychiatry||Effective: 10 Aug 2015||RCPSC Specialist</t>
  </si>
  <si>
    <t>McMaster University, 01 Jul 2010  to 30 Jun 2011|PostGrad Yr 1 - Psychiatry
McMaster University, 01 Jul 2011  to 20 Jul 2011|PostGrad Yr 1 - Psychiatry
McMaster University, 21 Jul 2011  to 20 Jul 2012|PostGrad Yr 2 - Psychiatry
McMaster University, 21 Jul 2012  to 30 Jun 2013|PostGrad Yr 3 - Psychiatry
McMaster University, 01 Jul 2013  to 20 Jul 2013|PostGrad Yr 3 - Psychiatry
McMaster University, 21 Jul 2013  to 30 Jun 2014|PostGrad Yr 4 - Psychiatry
McMaster University, 01 Jul 2014  to 10 Aug 2014|PostGrad Yr 4 - Psychiatry
McMaster University, 11 Aug 2014  to 30 Jun 2015|PostGrad Yr 5 - Psychiatry
McMaster University, 01 Jul 2015  to 10 Aug 2015|PostGrad Yr 5 - Psychiatry</t>
  </si>
  <si>
    <t>First certificate of registration issued: Postgraduate Education Certificate||Effective:   01 Jul 2010
Expired: Terms and conditions of certificate of registration||Expiry:      10 Aug 2015
Subsequent certificate of registration Issued: Independent Practice Certificate||Effective:   11 Aug 2015</t>
  </si>
  <si>
    <t>32765</t>
  </si>
  <si>
    <t xml:space="preserve">Active Member as of 19 Sep 1977 </t>
  </si>
  <si>
    <t>Nagpur University, 1969</t>
  </si>
  <si>
    <t>Trillium Health Partners,Mississauga Hospital,,100 Queensway West,Mississauga ON  L5B 1B8</t>
  </si>
  <si>
    <t>(905) 848-7346</t>
  </si>
  <si>
    <t>(905) 804-7970</t>
  </si>
  <si>
    <t>McMaster University, 01 Jul 1991  to 30 Jun 1992|Resident 4 - Psychiatry</t>
  </si>
  <si>
    <t>First certificate of registration issued: Postgraduate Education Certificate||Effective:   19 Sep 1977
Transfer of class of registration to: Independent Practice Certificate||Effective:   31 Jul 1981</t>
  </si>
  <si>
    <t>71942</t>
  </si>
  <si>
    <t xml:space="preserve">Active Member as of 19 Oct 1998 </t>
  </si>
  <si>
    <t xml:space="preserve">Independent Practice as of 19 Oct 1998 </t>
  </si>
  <si>
    <t>Baroda University, 1991</t>
  </si>
  <si>
    <t>Women's Inpatient Program,Centre for Addicition and,Mental Health Room 936,250 College Street,Toronto ON  M5T 1R8</t>
  </si>
  <si>
    <t>(416) 535-8501 Ext. 34540</t>
  </si>
  <si>
    <t>University of Toronto, 01 Oct 1997  to 31 Dec 1997|Elective Trainee - Psychiatry</t>
  </si>
  <si>
    <t>First certificate of registration issued: Postgraduate Education Certificate||Effective:   01 Oct 1997
Expired: Terms and conditions of certificate of registration||Expiry:      31 Dec 1997
Subsequent certificate of registration Issued: Independent Practice Certificate||Effective:   19 Oct 1998</t>
  </si>
  <si>
    <t>55164</t>
  </si>
  <si>
    <t xml:space="preserve">Active Member as of 05 Mar 1985 </t>
  </si>
  <si>
    <t xml:space="preserve">Independent Practice as of 05 Mar 1985 </t>
  </si>
  <si>
    <t>University of Witwatersrand, 1981</t>
  </si>
  <si>
    <t>333 Eglinton Avenue East,Toronto ON  M4P 1L7</t>
  </si>
  <si>
    <t>(416) 398-7880</t>
  </si>
  <si>
    <t>(416) 398-0888</t>
  </si>
  <si>
    <t>Baycrest Centre for Geriatric Care,3560 Bathurst Street,Toronto ON  M6A 2E1,Canada,Phone:(416) 785-2500 Ext. 5896,Fax:416 785 2492,County:City of Toronto,Electoral District:10</t>
  </si>
  <si>
    <t>University of Toronto, 01 Jul 1989  to 31 Dec 1989|Resident 4 - Psychiatry</t>
  </si>
  <si>
    <t>First certificate of registration issued: Independent Practice Certificate||Effective:   05 Mar 1985</t>
  </si>
  <si>
    <t>55845</t>
  </si>
  <si>
    <t xml:space="preserve">Independent Practice as of 20 Jun 1986 </t>
  </si>
  <si>
    <t>33 Casey Street,Box 760,Barrys Bay ON  K0J 1B0</t>
  </si>
  <si>
    <t>(613) 633-6528</t>
  </si>
  <si>
    <t>(613) 756-3891</t>
  </si>
  <si>
    <t>Psychiatry||Effective: 30 Dec 2001||RCPSC Specialist</t>
  </si>
  <si>
    <t>University of Ottawa, 01 Jan 1998  to 31 Dec 1998|PostGrad Yr 2 - Psychiatry
University of Ottawa, 01 Jan 1999  to 31 Dec 1999|PostGrad Yr 3 - Psychiatry
University of Ottawa, 01 Jan 2000  to 21 Dec 2000|PostGrad Yr 4 - Psychiatry
University of Ottawa, 01 Jan 2001  to 31 Dec 2001|PostGrad Yr 5 - Psychiatry
University of Ottawa, 01 Jan 2002  to 31 Dec 2002|Clinical Fellow - Psychiatry</t>
  </si>
  <si>
    <t>First certificate of registration issued: Postgraduate Education Certificate||Effective:   17 Jun 1985
Transfer of class of registration to: Independent Practice Certificate||Effective:   20 Jun 1986</t>
  </si>
  <si>
    <t>59326</t>
  </si>
  <si>
    <t xml:space="preserve">Active Member as of 02 Jun 1993 </t>
  </si>
  <si>
    <t xml:space="preserve">Independent Practice as of 02 Jun 1993 </t>
  </si>
  <si>
    <t>SJ Hospital Hospital,35 North Algoma Street,P7B 5G7,Thunder Bay ON  P7B 5G4</t>
  </si>
  <si>
    <t>(807) 343-4361</t>
  </si>
  <si>
    <t>Thunder Bay Regional Health Science,Centre,980 Oliver Road,Thunder Bay ON  P7B 6V4,Canada,Phone:(807) 621-3775,County:District of Thunder Bay,Electoral District:09</t>
  </si>
  <si>
    <t>First certificate of registration issued: Postgraduate Education Certificate||Effective:   13 Jun 1988
Transfer of class of registration to: Independent Practice Certificate||Effective:   30 Jun 1989
Expired: Failure to Renew Membership||Expiry:      30 Sep 1991
Subsequent certificate of registration Issued: Independent Practice Certificate||Effective:   02 Jun 1993</t>
  </si>
  <si>
    <t>S. Allain Medicine Professional Corporation</t>
  </si>
  <si>
    <t>Issued Date:  Jan 06 2006</t>
  </si>
  <si>
    <t>Dr. S. Allain (CPSO# 59326)</t>
  </si>
  <si>
    <t>Lakehead Psychiatric Hospital,580 North Algoma Street,Thunder Bay ON  P7B 5G4,(807) 343-4300
Thunder Bay Health Sciences Centre,Thunder Bay Health Sciences Centre,980 Oliver Road,Thunder Bay ON  P7B 6V4,(807) 621-3775</t>
  </si>
  <si>
    <t>58089</t>
  </si>
  <si>
    <t>Cleghorn Program,West 5th Campus, St. Joseph's Healt,100 West 5th Street,Level 0,Hamilton ON  L8N 1Y2</t>
  </si>
  <si>
    <t>McMaster Children's Hospital,Division of Pediatric Critical Care:Hamilton
St Joseph's Centre for Mountain Health Services:Hamilton
St Joseph's Healthcare System,Hamilton:Hamilton</t>
  </si>
  <si>
    <t>University of Toronto, 15 Jun 1987  to 13 Jun 1988|Other - Comprehensive Internship
McMaster University, 01 Jul 1988  to 30 Jun 1989|Resident 1 - Psychiatry
McMaster University, 01 Jul 1990  to 30 Jun 1991|Resident 2 - Psychiatry
McMaster University, 01 Jul 1991  to 30 Jun 1992|Resident 4 - Psychiatry</t>
  </si>
  <si>
    <t>First certificate of registration issued: Postgraduate Education Certificate||Effective:   15 Jun 1987
Transfer of class of registration to: Independent Practice Certificate||Effective:   20 Oct 1988</t>
  </si>
  <si>
    <t>Dr. S. Archie Medicine Professional Corporation</t>
  </si>
  <si>
    <t>Dr. P. Bzonek (CPSO# 58099),Dr. S. Archie (CPSO# 58089)</t>
  </si>
  <si>
    <t>100 West 5th Street,Hamilton ON  L8N 3K7,(905) 522-1155
1200 Main Street West,1200 Main Street West,Hamilton ON  L8N 3Z5,(905) 522-1155
237 Barton Street East,237 Barton Street East,Hamilton ON  L8L 2X2
711 Concession Street,711 Concession Street,Hamilton ON  L8V 1C3
50 Charlton Avenue East,50 Charlton Avenue East,Hamilton ON  L8N 4A6,(905) 522-1155</t>
  </si>
  <si>
    <t>97668</t>
  </si>
  <si>
    <t xml:space="preserve">Postgraduate Education as of 01 Jul 2012 </t>
  </si>
  <si>
    <t>416- 978-6976</t>
  </si>
  <si>
    <t>University of Toronto,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Geriatric Psychiatry
University of Toronto, 01 Jul 2017  to 30 Jun 2018|PostGrad Yr 6 - Geriatric Psychiatry
University of Toronto, 01 Jul 2018  to 30 Jun 2019|PostGrad Yr 6 - Geriatric Psychiatry</t>
  </si>
  <si>
    <t>First certificate of registration issued: Postgraduate Education Certificate||Effective:   01 Jul 2012
Expiry date attached to certificate of registration.||Expiry Date: 30 Jun 2019</t>
  </si>
  <si>
    <t>64286</t>
  </si>
  <si>
    <t xml:space="preserve">Active Member as of 11 Feb 1997 </t>
  </si>
  <si>
    <t>Suite 407,2333 Dundas Street West,Toronto ON  M6R 3A6</t>
  </si>
  <si>
    <t>(416) 516-6337</t>
  </si>
  <si>
    <t>(416) 516-0073</t>
  </si>
  <si>
    <t>Queen's University, 01 Jul 1991  to 30 Jun 1992|Resident 1 - Psychiatry
Queen's University, 01 Jul 1992  to 30 Jun 1993|Resident 2 - Psychiatry
Queen's University, 01 Jul 1993  to 30 Jun 1994|Resident 2 - Psychiatry
Queen's University, 01 Jul 1994  to 31 Dec 1994|Resident 3 - Psychiatry
Queen's University, 01 Jan 1995  to 30 Jun 1995|Resident 4 - Psychiatry
Queen's University, 01 Jul 1995  to 31 Dec 1995|Resident 3 - Psychiatry
Queen's University, 01 Jan 1996  to 30 Jun 1996|Resident 4 - Psychiatry
Queen's University, 01 Jul 1996  to 31 Dec 1996|Resident 4 - Psychiatry</t>
  </si>
  <si>
    <t>First certificate of registration issued: Postgraduate Education Certificate||Effective:   03 Jul 1991
Expired: Terms and conditions of certificate of registration||Expiry:      31 Dec 1996
Subsequent certificate of registration issued: Restricted certificate||Effective:   11 Feb 1997
Terms and conditions amended by Registration Committee||Effective:   09 Feb 1998
Transfer of class of registration to: Independent Practice Certificate||Effective:   19 Jul 1999</t>
  </si>
  <si>
    <t>Svetlana Milenkovic Medicine Professional Corporation</t>
  </si>
  <si>
    <t>Issued Date:  Nov 09 2015</t>
  </si>
  <si>
    <t>Dr. S. Milenkovic (CPSO# 64286)</t>
  </si>
  <si>
    <t>Suite 407,2333 Dundas Street West,Toronto ON  M6R 3A6,(416) 516-6337</t>
  </si>
  <si>
    <t>96754</t>
  </si>
  <si>
    <t xml:space="preserve">Active Member as of 26 Aug 2011 </t>
  </si>
  <si>
    <t xml:space="preserve">Independent Practice as of 26 Aug 2011 </t>
  </si>
  <si>
    <t>Vitebsk State Medical University, 1989</t>
  </si>
  <si>
    <t>Parkwood Institute London,550 Wellington Road,London ON  N6C 0A7</t>
  </si>
  <si>
    <t>St Joseph Health Care,London- Mental Health:London
St Thomas-Elgin General Hospital:St Thomas</t>
  </si>
  <si>
    <t>Psychiatry||Effective: 01 May 2008||RCPSC Specialist</t>
  </si>
  <si>
    <t>First certificate of registration issued: Independent Practice Certificate||Effective:   26 Aug 2011</t>
  </si>
  <si>
    <t>73143</t>
  </si>
  <si>
    <t xml:space="preserve">Active Member as of 25 Jul 2006 </t>
  </si>
  <si>
    <t xml:space="preserve">Independent Practice as of 25 Jul 2006 </t>
  </si>
  <si>
    <t>Second Moscow Order of Lenin Medical Ins, 1992</t>
  </si>
  <si>
    <t>North York General Hospital,2nd Floor,555 Finch Avenue West,Toronto ON  M2R 1N5</t>
  </si>
  <si>
    <t>(416) 632-8701</t>
  </si>
  <si>
    <t>University of Toronto, 01 Aug 1998  to 30 Jun 1999|Clinical Fellow - Paediatric Clinical Pharmacology &amp; Toxicology
University of Toronto, 01 Jul 1999  to 30 Jun 2000|Clinical Fellow - Pediatrics</t>
  </si>
  <si>
    <t>First certificate of registration issued: Postgraduate Education Certificate||Effective:   12 Nov 1998
Expired: Terms and conditions of certificate of registration||Expiry:      30 Jun 2000
Subsequent certificate of registration Issued: Independent Practice Certificate||Effective:   25 Jul 2006</t>
  </si>
  <si>
    <t>Svetlana Vladislavovna Emelianova Medicine Professional Corporation</t>
  </si>
  <si>
    <t>Issued Date:  Jan 15 2010</t>
  </si>
  <si>
    <t>Dr. S. Emelianova (CPSO# 73143)</t>
  </si>
  <si>
    <t>North York General Hospital,2nd Floor,555 Finch Avenue West,Toronto ON  M2R 1N5,(416) 632-8701</t>
  </si>
  <si>
    <t>92614</t>
  </si>
  <si>
    <t xml:space="preserve">Active Member as of 05 Jul 2012 </t>
  </si>
  <si>
    <t xml:space="preserve">Independent Practice as of 05 Jul 2012 </t>
  </si>
  <si>
    <t>Zaporozhye State Medical University, 1994</t>
  </si>
  <si>
    <t>Suite 224,329 March Road,Kanata ON  K2K 2E1</t>
  </si>
  <si>
    <t>(613) 592-1001</t>
  </si>
  <si>
    <t>(613) 592-1026</t>
  </si>
  <si>
    <t>University of Ottawa, 01 Apr 2010  to 31 May 2010|Elective Trainee - Psychiatry</t>
  </si>
  <si>
    <t>First certificate of registration issued: Postgraduate Education Certificate||Effective:   01 Apr 2010
Expired: Terms and conditions of certificate of registration||Expiry:      31 May 2010
Subsequent certificate of registration issued: Restricted certificate||Effective:   12 Sep 2011
Expired: Terms and conditions of certificate of registration||Expiry:      05 Jul 2012
Subsequent certificate of registration Issued: Independent Practice Certificate||Effective:   05 Jul 2012</t>
  </si>
  <si>
    <t>Dr. S. Rusalovs'ka Medicine Professional Corporation</t>
  </si>
  <si>
    <t>Dr. S. Rusalovs'ka (CPSO# 92614)</t>
  </si>
  <si>
    <t>Suite 224,329 March Road,Kanata ON  K2K 2E1,(613) 592-1001</t>
  </si>
  <si>
    <t>112784</t>
  </si>
  <si>
    <t xml:space="preserve">Active Member as of 16 Jun 2017 </t>
  </si>
  <si>
    <t xml:space="preserve">Restricted as of 16 Jun 2017 </t>
  </si>
  <si>
    <t>University of Peshawar, 1998</t>
  </si>
  <si>
    <t>Grey Bruce Health Services,1800 8th Street East,Owen Sound ON  N4K 6M9</t>
  </si>
  <si>
    <t>Ireland
Pakistan</t>
  </si>
  <si>
    <t>Psychiatry||Effective: 16 Jun 2017||CPSO Recognized Specialist</t>
  </si>
  <si>
    <t>First certificate of registration issued: Restricted certificate||Effective:   16 Jun 2017
Terms and conditions imposed on certificate by Registration Committee||Effective:   16 Jun 2017
Expiry date attached to certificate of registration.||Expiry Date: 30 Apr 2020</t>
  </si>
  <si>
    <t>S. Ahmad Shah Medicine Professional Corporation</t>
  </si>
  <si>
    <t>Dr. S. Shah (CPSO# 112784)</t>
  </si>
  <si>
    <t>Grey Bruce Health Services,1800 8th Street East,Owen Sound ON  N4K 5N3,(519) 376-2121</t>
  </si>
  <si>
    <t>31177</t>
  </si>
  <si>
    <t xml:space="preserve">Active Member as of 09 Oct 1979 </t>
  </si>
  <si>
    <t xml:space="preserve">Independent Practice as of 09 Oct 1979 </t>
  </si>
  <si>
    <t>University of Karachi, 1963</t>
  </si>
  <si>
    <t>1900 Appleby Line Unit #1,Burlington  .  Ontario  L7L 0B7,Burlington ON  L7L 0B7</t>
  </si>
  <si>
    <t>(289) 337-9255</t>
  </si>
  <si>
    <t>(289) 245-1225</t>
  </si>
  <si>
    <t>First certificate of registration issued: Independent Practice Certificate||Effective:   09 Oct 1979</t>
  </si>
  <si>
    <t>102007</t>
  </si>
  <si>
    <t xml:space="preserve">Restricted as of 19 Sep 2018 </t>
  </si>
  <si>
    <t>Grey Bruce Health Services,Department of Psychiatry,PO Box 1800,1800 8th St E,Owen Sound ON  N4K 6M9</t>
  </si>
  <si>
    <t>Psychiatry||Effective: 19 Sep 2018||CPSO Recognized Specialist</t>
  </si>
  <si>
    <t>First certificate of registration issued: Restricted certificate||Effective:   21 Aug 2013
Terms and conditions imposed on certificate by Registration Committee||Effective:   21 Aug 2013
Expiry date attached to certificate of registration.||Expiry Date: 31 Jul 2016
Terms and conditions amended by Registration Committee||Effective:   28 Jul 2016
Expired: Terms and conditions imposed on certificate by Registration Committee||Effective:   20 Aug 2016
Subsequent certificate of registration issued: Restricted certificate||Effective:   01 Nov 2016
Terms and conditions amended by Registration Committee||Effective:   14 Nov 2016
Expired: Terms and conditions imposed on certificate by Registration Committee||Effective:   01 Sep 2018
Subsequent certificate of registration issued: Restricted certificate||Effective:   19 Sep 2018
Expiry as per terms and conditions imposed on certificate||Expiry Date: 01 Sep 2019</t>
  </si>
  <si>
    <t>Syed Hashmatullah Medicine Professional Corporation</t>
  </si>
  <si>
    <t>Issued Date:  Oct 21 2014</t>
  </si>
  <si>
    <t>Dr. S. Hashmatullah (CPSO# 102007),Dr. T. Munshi (CPSO# 90302)</t>
  </si>
  <si>
    <t>385 Princess Street,Kingston ON  K7L 1B9,(613) 544-1356
Grey Bruce Health Services,Grey Bruce Health Services,Department of Psychiatry,P.O. Box 1800,1800 8th Street East,Owen Sound ON  N4K 6M9,(519) 376-2121</t>
  </si>
  <si>
    <t>91997</t>
  </si>
  <si>
    <t xml:space="preserve">Active Member as of 17 Aug 2009 </t>
  </si>
  <si>
    <t xml:space="preserve">Restricted as of 17 Aug 2009 </t>
  </si>
  <si>
    <t>University of Karachi, 1987</t>
  </si>
  <si>
    <t>Windsor Health Centre,Suite 110,700 Tecumseh Road East,Windsor ON  N8X 4T2</t>
  </si>
  <si>
    <t>(519) 252-4500</t>
  </si>
  <si>
    <t>(519) 252-5600</t>
  </si>
  <si>
    <t>Windsor Regional Hospital,Ouellette,Department of Psychiatry,,1030 Ouellette Avenue,Windsor ON  N9A 1E1,Canada,Phone:(519) 973-4411 Ext. X 3223,County:County of Essex,Electoral District:01
Hotel Dieu Grace Healthcare,Tayfour Campus,1453 Prince Road,Windsor ON  N9C 3Z4,Canada,Phone:(519) 254-5577,County:County of Essex,Electoral District:01
Windsor Regional Hospital,Met campus,1995 Lens Ave,Windsor ON  N8W 1L4,Canada,Phone:519 254-5577,County:County of Essex,Electoral District:01</t>
  </si>
  <si>
    <t>Psychiatry||Effective: 17 Aug 2009||CPSO Recognized Specialist</t>
  </si>
  <si>
    <t>First certificate of registration issued: Restricted certificate||Effective:   17 Aug 2009
Terms and conditions imposed on certificate by Registration Committee||Effective:   17 Aug 2009
Expiry date attached to certificate of registration.||Expiry Date: 16 Feb 2011
Terms and conditions amended by Registration Committee||Effective:   24 Aug 2010
Terms and conditions amended by Registration Committee||Effective:   12 May 2011
Expiry date removed from certificate of registration.||Effective:   25 May 2011</t>
  </si>
  <si>
    <t>Dr. Syed Rizvi Medicine Professional Corporation</t>
  </si>
  <si>
    <t>Issued Date:  Apr 22 2013</t>
  </si>
  <si>
    <t>Dr. S. Rizvi (CPSO# 91997)</t>
  </si>
  <si>
    <t>Windsor Health Centre,Suite 110,700 Tecumseh Road East,Windsor ON  N8X 4T2,(519) 252-4500</t>
  </si>
  <si>
    <t>85333</t>
  </si>
  <si>
    <t>LHSC Childrens Hospital,Room B8 166,800 Commissioners Road East,London ON  N6A 5W9</t>
  </si>
  <si>
    <t>(519) 685-8500 Ext. 55412</t>
  </si>
  <si>
    <t>5196858595</t>
  </si>
  <si>
    <t>C P R I,600 Sanatorium Road,London ON  N6H 3W7,Canada,Phone:(519) 858-2774 Ext. 2189,Fax:(519) 858-1917,County:County of Middlesex,Electoral District:02</t>
  </si>
  <si>
    <t>First certificate of registration issued: Restricted certificate||Effective:   06 Jul 2006
Terms and conditions imposed on certificate by Registration Committee||Effective:   06 Jul 2006
Expiry date attached to certificate of registration.||Expiry Date: 30 Jun 2009
Expired: Terms and conditions imposed on certificate by Registration Committee||Effective:   30 Jun 2011
Subsequent certificate of registration Issued: Academic Practice Certificate||Effective:   01 Jul 2011
Expired: Terms and conditions of certificate of registration||Expiry:      30 Jun 2014
Subsequent certificate of registration Issued: Independent Practice Certificate||Effective:   30 Jun 2014</t>
  </si>
  <si>
    <t>SNA Rizvi Medicine Professional Corporation</t>
  </si>
  <si>
    <t>Issued Date:  Feb 12 2014</t>
  </si>
  <si>
    <t>Dr. S. Rizvi (CPSO# 85333)</t>
  </si>
  <si>
    <t>London Health Sciences Centre,Division of Child and Adolescent Psychiatry,Room B8-166, Box 5010,800 Commissioners Road East,London ON  N6A 5W9,(519) 685-8500
C P R I,C P R I,600 Sanatorium Road,London ON  N6H 3W7,(519) 719-7560</t>
  </si>
  <si>
    <t>91504</t>
  </si>
  <si>
    <t>Gauhati Medical College, 2000</t>
  </si>
  <si>
    <t>Halton Health Care,3001 hospital gate,Oakville ON  L6M 0L8</t>
  </si>
  <si>
    <t>C A M H,80 Workman Ways,Toronto ON  M6J 1H4,Canada,Phone:(416) 535-8501,County:City of Toronto,Electoral District:10</t>
  </si>
  <si>
    <t>Centre for Addiction &amp; Mental Health,Queen Street Site:Toronto
Oakville Trafalgar Memorial Hospital:Oakville</t>
  </si>
  <si>
    <t>Psychiatry||Effective: 02 May 2012||RCPSC Specialist
Geriatric Psychiatry||Effective: 21 Sep 2015||RCPSC Specialist</t>
  </si>
  <si>
    <t>University of Toronto, 01 Jul 2009  to 22 Sep 2009|Assessment Verification Period - Psychiatry
University of Toronto, 23 Sep 2009  to 30 Jun 2010|PostGrad Yr 4 - Psychiatry
University of Toronto, 01 Jul 2010  to 29 Dec 2011|PostGrad Yr 5 - Psychiatry
University of Toronto, 30 Dec 2011  to 30 Jun 2012|Clinical Fellow - Psychiatry</t>
  </si>
  <si>
    <t>First certificate of registration issued: Pre Entry Assessment Program Certificate||Effective:   01 Jul 2009
Transfer of class of registration to: Postgraduate Education Certificate||Effective:   23 Sep 2009
Expired: Terms and conditions of certificate of registration||Expiry:      30 Jun 2012
Subsequent certificate of registration Issued: Independent Practice Certificate||Effective:   12 Jul 2012</t>
  </si>
  <si>
    <t>Syeeda Salim Medicine Professional Corporation</t>
  </si>
  <si>
    <t>Dr. S. Salim (CPSO# 91504)</t>
  </si>
  <si>
    <t>Oakville Hospital,3001 Hospital Gate,Oakville ON  L6M 0L8
CAMH,CAMH,80 Workman Way,Toronto ON  M6J 1H4,(416) 535-8501</t>
  </si>
  <si>
    <t>60070</t>
  </si>
  <si>
    <t xml:space="preserve">Independent Practice as of 19 Jul 1989 </t>
  </si>
  <si>
    <t>Grey Bruce Health Service,1800 8th Street East, room 4219,Owen Sound ON  N4K 6M9</t>
  </si>
  <si>
    <t>519-376-2121 Ext. 2489</t>
  </si>
  <si>
    <t>519-372-3945</t>
  </si>
  <si>
    <t>459 Hume st.,Collingwood ON  L9Y 1W9,Canada,Phone:705-444-6600,Fax:705-444-5131,County:County of Simcoe,Electoral District:05</t>
  </si>
  <si>
    <t>First certificate of registration issued: Postgraduate Education Certificate||Effective:   01 Jul 1988
Transfer of class of registration to: Independent Practice Certificate||Effective:   19 Jul 1989</t>
  </si>
  <si>
    <t>Sylvia Hidvegi Medicine Professional Corporation</t>
  </si>
  <si>
    <t>Issued Date:  Mar 05 2009</t>
  </si>
  <si>
    <t>Dr. S. Hidvegi (CPSO# 60070)</t>
  </si>
  <si>
    <t>459 Hume Street,Collingwood ON  L9Y 1W9,(705) 444-6000
42019,42019,1800 8th Street East,Owen Sound ON  N4K 6M9</t>
  </si>
  <si>
    <t>67029</t>
  </si>
  <si>
    <t xml:space="preserve">Independent Practice as of 02 Dec 1998 </t>
  </si>
  <si>
    <t>University of Ottawa, 1969</t>
  </si>
  <si>
    <t>Suite 403,265 Yorkland Blvd.,Toronto ON  M2J 1S5</t>
  </si>
  <si>
    <t>(416) 229-2399 Ext. 274</t>
  </si>
  <si>
    <t>(416) 222-9771</t>
  </si>
  <si>
    <t>University of Toronto, 01 Jul 1993  to 30 Jun 1994|PostGrad Yr 1 - Psychiatry
The University of Western Ontario, 01 Jul 1994  to 30 Jun 1995|PostGrad Yr 2 - Psychiatry
The University of Western Ontario, 01 Jul 1995  to 30 Jun 1996|Resident 2 - Psychiatry
The University of Western Ontario, 01 Jul 1996  to 30 Jun 1997|Resident 3 - Psychiatry
The University of Western Ontario, 01 Jul 1997  to 30 Jun 1998|Resident 4 - Psychiatry
The University of Western Ontario, 01 Jul 1998  to 31 Dec 1998|Clinical Fellow - Psychiatry</t>
  </si>
  <si>
    <t>First certificate of registration issued: Postgraduate Education Certificate||Effective:   01 Jul 1993
Transfer of class of registration to: Independent Practice Certificate||Effective:   02 Dec 1998</t>
  </si>
  <si>
    <t>84851</t>
  </si>
  <si>
    <t xml:space="preserve">Active Member as of 25 Aug 2011 </t>
  </si>
  <si>
    <t xml:space="preserve">Independent Practice as of 25 Aug 2011 </t>
  </si>
  <si>
    <t>(613) 722-6521 Ext. 0</t>
  </si>
  <si>
    <t>Psychiatry||Effective: 17 Aug 2011||RCPSC Specialist</t>
  </si>
  <si>
    <t>University of Ottawa, 01 Jul 2006  to 30 Jun 2007|PostGrad Yr 1 - Psychiatry
University of Ottawa, 01 Jul 2007  to 30 Jun 2008|PostGrad Yr 2 - Psychiatry
University of Ottawa, 01 Jul 2008  to 04 Jul 2008|PostGrad Yr 2 - Psychiatry
University of Ottawa, 05 Jul 2008  to 30 Jun 2009|PostGrad Yr 3 - Psychiatry
University of Ottawa, 01 Jul 2009  to 30 Jun 2010|PostGrad Yr 4 - Psychiatry
University of Ottawa, 01 Jul 2010  to 30 Jun 2011|PostGrad Yr 5 - Psychiatry
University of Ottawa, 01 Jul 2011  to 18 Aug 2011|PostGrad Yr 5 - Psychiatry</t>
  </si>
  <si>
    <t>First certificate of registration issued: Postgraduate Education Certificate||Effective:   01 Jul 2006
Expired: Terms and conditions of certificate of registration||Expiry:      18 Aug 2011
Subsequent certificate of registration Issued: Independent Practice Certificate||Effective:   25 Aug 2011</t>
  </si>
  <si>
    <t>Tabitha Rogers Medicine Professional Corporation</t>
  </si>
  <si>
    <t>Dr. T. Rogers (CPSO# 84851)</t>
  </si>
  <si>
    <t>Royal Ottawa Mental Health Centre,Department of Schizophrenia,1145 Carling Avenue,Ottawa ON  K1Z 7K4,(613) 722-6521</t>
  </si>
  <si>
    <t>63094</t>
  </si>
  <si>
    <t xml:space="preserve">Active Member as of 04 Jan 1996 </t>
  </si>
  <si>
    <t>Ain Shams University, 1984</t>
  </si>
  <si>
    <t>406-2000 Credit Valley Road,Mississauga ON  L5M 4N4,Canada,Phone:(905) 267-1005 Ext. 2204,Fax:(905) 997-4463,County:Regional Municipality of Peel,Electoral District:05</t>
  </si>
  <si>
    <t>Psychiatry||Effective: 29 Aug 1994||RCPSC Specialist</t>
  </si>
  <si>
    <t>University of Toronto, 01 Jul 1990  to 30 Jun 1991|Resident 1 - Psychiatry
University of Toronto, 01 Jul 1991  to 30 Jun 1992|Resident 2 - Psychiatry
University of Toronto, 01 Jul 1992  to 30 Jun 1993|Resident 3 - Psychiatry
University of Toronto, 01 Jul 1993  to 10 Aug 1993|Resident 3 - Psychiatry
University of Toronto, 11 Aug 1993  to 30 Jun 1994|Resident 4 - Psychiatry
University of Toronto, 01 Jul 1994  to 30 Jun 1995|Resident 4 - Psychiatry
University of Toronto, 01 Jan 1996  to 30 Jun 1996|Clinical Fellow - Psychiatry
University of Toronto, 01 Jul 1996  to 31 Aug 1996|Clinical Fellow - Psychiatry</t>
  </si>
  <si>
    <t>First certificate of registration issued: Postgraduate Education Certificate||Effective:   30 Aug 1990
Expired: Terms and conditions of certificate of registration||Expiry:      30 Jun 1995
Subsequent certificate of registration Issued: Postgraduate Education Certificate||Effective:   04 Jan 1996
Transfer of class of registration to: Independent Practice Certificate||Effective:   04 Jul 1996</t>
  </si>
  <si>
    <t>T.D. Banoub Medicine Professional Corporation</t>
  </si>
  <si>
    <t>Issued Date:  Feb 10 2016</t>
  </si>
  <si>
    <t>Dr. T. Banoub (CPSO# 63094)</t>
  </si>
  <si>
    <t>97678</t>
  </si>
  <si>
    <t>CAMH College Site,Department of Psychiatry,250 College Street,Toronto ON  M5T 1R8</t>
  </si>
  <si>
    <t>McMaster University, 01 Jul 2012  to 30 Jun 2013|PostGrad Yr 1 - Psychiatry
University of Toronto, 01 Jul 2013  to 30 Jun 2014|PostGrad Yr 2 - Psychiatry
University of Toronto, 01 Jul 2014  to 30 Jun 2015|PostGrad Yr 3 - Psychiatry
University of Toronto, 01 Jul 2015  to 30 Jun 2016|PostGrad Yr 4 - Psychiatry
University of Toronto, 01 Jul 2016  to 30 Jun 2017|PostGrad Yr 5 - Psychiatry</t>
  </si>
  <si>
    <t>82864</t>
  </si>
  <si>
    <t>376 Churchill ave N, Suite 301,Ottawa ON  K1Z 5C3</t>
  </si>
  <si>
    <t>613-693-1900</t>
  </si>
  <si>
    <t>University of Ottawa, 01 Jul 2005  to 30 Jun 2006|PostGrad Yr 1 - Internal Medicine
University of Ottawa, 01 Jul 2006  to 30 Jun 2007|PostGrad Yr 2 - Psychiatry
University of Ottawa, 01 Jul 2007  to 30 Jun 2008|PostGrad Yr 3 - Psychiatry
University of Ottawa, 01 Jul 2008  to 30 Jun 2009|PostGrad Yr 4 - Psychiatry
University of Ottawa, 01 Jul 2009  to 04 Jul 2010|PostGrad Yr 4 - Psychiatry
University of Ottawa, 05 Jul 2010  to 30 Jun 2011|PostGrad Yr 5 - Psychiatry</t>
  </si>
  <si>
    <t>Dr. Masliyah Medicine Professional Corporation</t>
  </si>
  <si>
    <t>Issued Date:  Dec 09 2011</t>
  </si>
  <si>
    <t>Dr. T. Masliyah (CPSO# 82864)</t>
  </si>
  <si>
    <t>376 Churchill Avenue North,Suite 301,Ottawa ON  K1Z 5C3,(613) 693-1900</t>
  </si>
  <si>
    <t>84790</t>
  </si>
  <si>
    <t>C A M H,250 College Street,Toronto ON  M5T 1R8</t>
  </si>
  <si>
    <t>416-435-8501</t>
  </si>
  <si>
    <t>University of Ottawa, 01 Jul 2006  to 30 Jun 2007|PostGrad Yr 1 - Psychiatry
University of Ottawa, 01 Jul 2007  to 30 Jun 2008|PostGrad Yr 2 - Psychiatry
University of Ottawa, 01 Jul 2008  to 30 Jun 2009|PostGrad Yr 3 - Psychiatry
University of Ottawa, 01 Jul 2009  to 30 Jun 2010|PostGrad Yr 4 - Psychiatry
University of Ottawa, 01 Jul 2010  to 30 Jun 2011|PostGrad Yr 5 - Psychiatry</t>
  </si>
  <si>
    <t>Dr. Tamina Eapen Medicine Professional Corporation</t>
  </si>
  <si>
    <t>Dr. T. Eapen (CPSO# 84790)</t>
  </si>
  <si>
    <t>C A M H,250 College Street,Toronto ON  M5T 1R8,(416) 435-8501</t>
  </si>
  <si>
    <t>65069</t>
  </si>
  <si>
    <t xml:space="preserve">Independent Practice as of 23 Jun 1993 </t>
  </si>
  <si>
    <t>University of Ottawa, 01 Jul 1995  to 30 Jun 1996|Resident 3 - Psychiatry
University of Ottawa, 01 Jul 1996  to 30 Jun 1997|Resident 4 - Psychiatry
University of Ottawa, 01 Jul 1997  to 30 Jun 1998|Clinical Fellow - Psychiatry</t>
  </si>
  <si>
    <t>First certificate of registration issued: Postgraduate Education Certificate||Effective:   15 Jun 1992
Transfer of class of registration to: Independent Practice Certificate||Effective:   23 Jun 1993</t>
  </si>
  <si>
    <t>105198</t>
  </si>
  <si>
    <t xml:space="preserve">Active Member as of 17 Nov 2014 </t>
  </si>
  <si>
    <t xml:space="preserve">Independent Practice as of 17 Nov 2014 </t>
  </si>
  <si>
    <t>National Autonomous University of Mexico, 2001</t>
  </si>
  <si>
    <t>CAMH,Mood Disorders Program,1001 Queen St W, Bell Gateway bldg,Rm 4229,Toronto ON  M6J 1H4</t>
  </si>
  <si>
    <t>First certificate of registration issued: Independent Practice Certificate||Effective:   17 Nov 2014</t>
  </si>
  <si>
    <t>Ortiz Dominguez Medicine Professional Corporation</t>
  </si>
  <si>
    <t>Issued Date:  Jan 12 2016</t>
  </si>
  <si>
    <t>Dr. T. Ortiz Dominguez (CPSO# 105198)</t>
  </si>
  <si>
    <t>Mood Disorders Center of Ottawa,UOHS,1 Nicholas Street,Suite 302,Ottawa ON  K1N 7B7,(613) 526-3091
Mood &amp; Anxiety Disorders Program,Mood &amp; Anxiety Disorders Program,Royal Institute for Mental Health,1145 Carling Avenue,Ottawa ON  K1Z 7K4,(613) 722-6521
Centre for Addiction and Mental Health,Centre for Addiction and Mental Health,Mood Disorders Program Outpatient Services,Bell Gateway Building, Suite 422,1001 Queen Street West,Toronto ON  M6J 1H4</t>
  </si>
  <si>
    <t>111177</t>
  </si>
  <si>
    <t xml:space="preserve">Active Member as of 14 Nov 2016 </t>
  </si>
  <si>
    <t xml:space="preserve">Restricted as of 14 Nov 2016 </t>
  </si>
  <si>
    <t>St. Matthew's University, 2010</t>
  </si>
  <si>
    <t>(416) 2421000 Ext. 43016</t>
  </si>
  <si>
    <t>4162421020</t>
  </si>
  <si>
    <t>Child and Adolescent Psychiatry||Effective: 14 Nov 2016||CPSO Recognized Specialist</t>
  </si>
  <si>
    <t>First certificate of registration issued: Restricted certificate||Effective:   14 Nov 2016
Terms and conditions imposed on certificate by Registration Committee||Effective:   14 Nov 2016
Expiry date attached to certificate of registration.||Expiry Date: 13 May 2018
Terms and conditions amended by Registration Committee||Effective:   25 Apr 2018</t>
  </si>
  <si>
    <t>Tania Fiacco Medicine Professional Corporation</t>
  </si>
  <si>
    <t>Dr. T. Fiacco (CPSO# 111177)</t>
  </si>
  <si>
    <t>Humber River Hospital,5th Floor,1235 Wilson Avenue,Toronto ON  M3M 0B2,(416) 242-1000</t>
  </si>
  <si>
    <t>68882</t>
  </si>
  <si>
    <t>233 Major Street,Toronto ON  M5S 2L5</t>
  </si>
  <si>
    <t>(416)436-6195</t>
  </si>
  <si>
    <t>First certificate of registration issued: Postgraduate Education Certificate||Effective:   01 Jul 1995
Expired: Terms and conditions of certificate of registration||Expiry:      30 Jun 2000
Subsequent certificate of registration issued: Restricted certificate||Effective:   30 Aug 2000
Expired: Terms and conditions of certificate of registration||Expiry:      30 Nov 2000
Subsequent certificate of registration Issued: Independent Practice Certificate||Effective:   30 Nov 2000</t>
  </si>
  <si>
    <t>Tanya Petter Medicine Professional Corporation</t>
  </si>
  <si>
    <t>Issued Date:  Oct 15 2010</t>
  </si>
  <si>
    <t>Dr. T. Petter (CPSO# 68882)</t>
  </si>
  <si>
    <t>233 Major Street,Toronto ON  M5S 2L5,(416) 964-8340</t>
  </si>
  <si>
    <t>82621</t>
  </si>
  <si>
    <t>Community Outpatient Mental Health,Unit J,1225 Kennedy Road,Scarborough ON  M1P 4Y1</t>
  </si>
  <si>
    <t>GAIN Clinic,3050 Lawrence Avenue,Scarborough ON  M1P 2V5,Canada,Phone:(416) 431-8200 Ext. 6355,Fax:(416) 289-2961,County:City of Toronto,Electoral District:10
Outpatient Mental Health,381 Church Street,PO Box 1800,Markham ON L3P 7P3,Markham ON  L3P 7P3,Canada,Phone:905-972-7011,Fax:905-472-7371,County:Regional Municipality of York,Electoral District:05</t>
  </si>
  <si>
    <t>Markham Stouffville Hospital:Markham
Mount Sinai Hospital:Toronto
Providence Health Care,Toronto:Toronto
Scarborough Hospital,General Site:Toronto
Scarborough Hospital-Birchmount Campus:Toronto</t>
  </si>
  <si>
    <t>Psychiatry||Effective: 30 Jun 2011||RCPSC Specialist
Geriatric Psychiatry||Effective: 26 Sep 2013||RCPSC Specialist</t>
  </si>
  <si>
    <t>University of Toronto, 01 Jul 2005  to 30 Jun 2006|PostGrad Yr 1 - Psychiatry
University of Toronto, 01 Jul 2006  to 30 Jun 2007|PostGrad Yr 2 - Psychiatry
University of Toronto, 01 Jul 2007  to 30 Jun 2008|PostGrad Yr 3 - Psychiatry
University of Toronto, 01 Jul 2008  to 30 Jun 2009|PostGrad Yr 4 - Psychiatry
University of Toronto, 01 Jul 2009  to 30 Jun 2010|PostGrad Yr 4 - Psychiatry
University of Toronto, 01 Jul 2010  to 30 Jun 2011|PostGrad Yr 5 - Psychiatry</t>
  </si>
  <si>
    <t>Pinto Medicine Professional Corporation</t>
  </si>
  <si>
    <t>Issued Date:  Jun 30 2011</t>
  </si>
  <si>
    <t>Dr. T. Pinto (CPSO# 82621)</t>
  </si>
  <si>
    <t>60004</t>
  </si>
  <si>
    <t>Brampton Civic Hospital,Room NI 423,2100 Bovaird Drive East,Brampton ON  L6R 3J7</t>
  </si>
  <si>
    <t>(416) 494-2120 Ext. 57701</t>
  </si>
  <si>
    <t>Banik Medicine Professional Corporation</t>
  </si>
  <si>
    <t>Dr. T. Banik (CPSO# 60004)</t>
  </si>
  <si>
    <t>Brampton Civic Hospital,Mental Health Unit,2100 Bovaird Drive East,Room N 1 423,Brampton ON  L6R 3J7,(905) 494-2120</t>
  </si>
  <si>
    <t>84637</t>
  </si>
  <si>
    <t>St. Joseph's Health Centre,30 Queensway,Toronto ON  M6R 1B5</t>
  </si>
  <si>
    <t>(416) 530-6486 Ext. 3801</t>
  </si>
  <si>
    <t>Psychiatry||Effective: 30 Sep 2012||RCPSC Specialist</t>
  </si>
  <si>
    <t>University of Toronto, 01 Jul 2006  to 30 Jun 2007|PostGrad Yr 1 - Psychiatry
University of Toronto, 01 Jul 2007  to 30 Jun 2008|PostGrad Yr 2 - Psychiatry
University of Toronto, 01 Jul 2008  to 15 May 2009|PostGrad Yr 2 - Psychiatry
University of Toronto, 16 May 2009  to 15 May 2010|PostGrad Yr 3 - Psychiatry
University of Toronto, 16 May 2010  to 14 May 2011|PostGrad Yr 4 - Psychiatry
University of Toronto, 15 May 2011  to 30 Jun 2011|PostGrad Yr 5 - Psychiatry
University of Toronto, 01 Jul 2011  to 30 Jun 2012|PostGrad Yr 5 - Psychiatry
University of Toronto, 01 Jul 2012  to 30 Sep 2012|PostGrad Yr 5 - Psychiatry</t>
  </si>
  <si>
    <t>First certificate of registration issued: Postgraduate Education Certificate||Effective:   01 Jul 2006
Expired: Terms and conditions of certificate of registration||Expiry:      30 Sep 2012
Subsequent certificate of registration Issued: Independent Practice Certificate||Effective:   04 Oct 2012</t>
  </si>
  <si>
    <t>Dr. T. Burra Medicine Professional Corporation</t>
  </si>
  <si>
    <t>Issued Date:  Dec 21 2017</t>
  </si>
  <si>
    <t>Dr. T. Burra (CPSO# 84637)</t>
  </si>
  <si>
    <t>32093</t>
  </si>
  <si>
    <t xml:space="preserve">Active Member as of 27 Nov 1980 </t>
  </si>
  <si>
    <t xml:space="preserve">Independent Practice as of 27 Nov 1980 </t>
  </si>
  <si>
    <t>509 - 80 Richmond Ave W,Victory Building,Toronto ON  M5C 2E3</t>
  </si>
  <si>
    <t>(416) 966-0835</t>
  </si>
  <si>
    <t>(888) 751-4933</t>
  </si>
  <si>
    <t>Neuropathology||Effective: 07 Dec 1982||RCPSC Specialist
Psychiatry||Effective: 11 Jun 1986||RCPSC Specialist</t>
  </si>
  <si>
    <t>First certificate of registration issued: Independent Practice Certificate||Effective:   27 Nov 1980</t>
  </si>
  <si>
    <t>Taras Babiak Medicine Professional Corporation</t>
  </si>
  <si>
    <t>Issued Date:  Dec 20 2007</t>
  </si>
  <si>
    <t>Dr. T. Babiak (CPSO# 32093)</t>
  </si>
  <si>
    <t>The Toronto Psychoanalytic Institute,203 - 40 St Clair Avenue East,Toronto ON  M4T 1M9,(416) 922-7770
The Toronto Institute for Contemporary Psychoanaly,The Toronto Institute for Contemporary Psychoanaly,31 Avis Crescent,Toronto ON  M4B 1B8,(416) 288-8060
The Institute for Advancement of Self Psychology,The Institute for Advancement of Self Psychology,P.O. Box 98182,970 Queen Street East,Toronto ON  M4M 1J8,(416) 690-3722
The Institute for Advancement of Self Psychology,The Institute for Advancement of Self Psychology,2424 Baintree Crescent,Oakville ON  L6M 4W9,(416) 690-3722
Department of Psychiatry, Faculty of Medicine,Department of Psychiatry, Faculty of Medicine,University of Toronto,Centre for Addictions and Mental Health - Clarke C,250 College Street,Toronto ON  M5T 1R8,(416) 535-8501
Department of Psychiatry, Faculty of Medicine,Department of Psychiatry, Faculty of Medicine,University of Toronto,Centre for Addictions and Mental Health - Queen St,1001 Queen Street West,Toronto ON  M6J 1H4,(416) 967-2600
Quality Assurance Programme,Quality Assurance Programme,The College of Physcians and Surgeons of Ontario,80 College Street,Toronto ON  M5G 2E2,(416) 967-2600
Taras Babiak MD,Taras Babiak MD,47 Main Street,Second Floor,Toronto ON  M4E 2V6,(416) 966-0835
106 Dromore Crescent,106 Dromore Crescent,Hamilton ON  L8S 4B2,(647) 462-0606
509 - 80 Richmond Avenue West,509 - 80 Richmond Avenue West,Victory Building,Toronto ON  M5C 2E3,(416) 966-0835</t>
  </si>
  <si>
    <t>95323</t>
  </si>
  <si>
    <t>Ternopil State Medical University, 2002</t>
  </si>
  <si>
    <t>(613) 544-3400 Ext. 2196</t>
  </si>
  <si>
    <t>First certificate of registration issued: Pre Entry Assessment Program Certificate||Effective:   01 Jul 2011
Transfer of class of registration to: Postgraduate Education Certificate||Effective:   23 Sep 2011
Expired: Terms and conditions of certificate of registration||Expiry:      18 Nov 2014
Subsequent certificate of registration issued: Restricted certificate||Effective:   18 Nov 2014
Terms and conditions amended by Registration Committee||Effective:   21 May 2015
Expired: Terms and conditions imposed on certificate by Registration Committee||Effective:   30 Jun 2016
Subsequent certificate of registration Issued: Independent Practice Certificate||Effective:   30 Jun 2016</t>
  </si>
  <si>
    <t>Taras Reshetukha Medicine Professional Corporation</t>
  </si>
  <si>
    <t>Dr. T. Reshetukha (CPSO# 95323)</t>
  </si>
  <si>
    <t>Hotel Dieu Hospital,166 Brock Street,Kingston ON  K7L 5G2,(613) 544-3400</t>
  </si>
  <si>
    <t>85792</t>
  </si>
  <si>
    <t xml:space="preserve">Active Member as of 01 Dec 2006 </t>
  </si>
  <si>
    <t xml:space="preserve">Independent Practice as of 05 Nov 2008 </t>
  </si>
  <si>
    <t>American University of Beirut, 1999</t>
  </si>
  <si>
    <t>C A M H,Room 6312,80 Workman Way,Toronto ON  M6J 1H4</t>
  </si>
  <si>
    <t>(416) 583-1307</t>
  </si>
  <si>
    <t>University of Toronto, 01 Dec 2006  to 30 Jun 2007|Clinical Fellow - Psychiatry
University of Toronto, 01 Jul 2007  to 30 Jun 2008|Clinical Fellow - Psychiatry
University of Toronto, 01 Jul 2008  to 30 Jun 2009|Clinical Fellow - Psychiatry
University of Toronto, 01 Jul 2009  to 30 Nov 2009|Clinical Fellow - Psychiatry</t>
  </si>
  <si>
    <t>First certificate of registration issued: Postgraduate Education Certificate||Effective:   01 Dec 2006
Transfer of class of registration to: Independent Practice Certificate||Effective:   05 Nov 2008</t>
  </si>
  <si>
    <t>Dr. Tarek K. Rajji Medicine Professional Corporation</t>
  </si>
  <si>
    <t>Issued Date:  Sep 30 2011</t>
  </si>
  <si>
    <t>Dr. T. Rajji (CPSO# 85792)</t>
  </si>
  <si>
    <t>Room 6312,80 Workman Way,Toronto ON  M6J 1H4,(416) 535-8501</t>
  </si>
  <si>
    <t>90302</t>
  </si>
  <si>
    <t xml:space="preserve">Active Member as of 17 Mar 2009 </t>
  </si>
  <si>
    <t xml:space="preserve">Restricted as of 17 Mar 2009 </t>
  </si>
  <si>
    <t>17th Floor,Mental Health and Addictions,St Michael's Hospital,Toronto ON  M5B 1W8</t>
  </si>
  <si>
    <t>4168643080</t>
  </si>
  <si>
    <t>4168645445</t>
  </si>
  <si>
    <t>Psychiatry||Effective: 17 Mar 2009||CPSO Recognized Specialist</t>
  </si>
  <si>
    <t>First certificate of registration issued: Restricted certificate||Effective:   17 Mar 2009
Terms and conditions imposed on certificate by Registration Committee||Effective:   17 Mar 2009
Expiry date attached to certificate of registration.||Expiry Date: 30 Jun 2011
Terms and conditions amended by Registration Committee||Effective:   08 May 2015
Expiry date removed from certificate of registration.||Effective:   08 May 2015</t>
  </si>
  <si>
    <t>Tariq Munshi Medicine Professional Corporation</t>
  </si>
  <si>
    <t>Dr. T. Munshi (CPSO# 90302)</t>
  </si>
  <si>
    <t>Hotel Dieu Hospital,166 Brock Street,Kingston ON  K7L 5G2,(613) 544-3400
Kingston General Hospital,Kingston General Hospital,76 Stuart Street,Kingston ON  K7L 2V7,(613) 549-6666
Frontenac Clinical Services,Frontenac Clinical Services,Department of Psychiatry,385 Princess Street,Kingston ON  K7L 1B9,(613) 544-1356
752 King Street West,752 King Street West,Kingston ON  K7L 4X3,(613) 546-1101
752 King Street West,752 King Street West,Kingston ON  K7L 4X3,(613) 546-110</t>
  </si>
  <si>
    <t>94215</t>
  </si>
  <si>
    <t xml:space="preserve">Academic Practice as of 01 Jul 2017 </t>
  </si>
  <si>
    <t>Nishtar Medical College, 1998</t>
  </si>
  <si>
    <t>Providence Care Hospital,Department of Psychiatry,752 King Street West,Kingston ON  K7L 4X3</t>
  </si>
  <si>
    <t>(613) 5444900 Ext. 83010</t>
  </si>
  <si>
    <t>First certificate of registration issued: Restricted Certificate||Effective:   01 Aug 2010
Expired: Terms and conditions imposed on certificate by Registration Committee||Effective:   30 Jun 2017
Subsequent certificate of registration Issued: Academic Practice Certificate||Effective:   01 Jul 2017</t>
  </si>
  <si>
    <t>Dr. T. Hassan Medicine Professional Corporation</t>
  </si>
  <si>
    <t>Issued Date:  Jun 01 2012</t>
  </si>
  <si>
    <t>Dr. T. Hassan (CPSO# 94215)</t>
  </si>
  <si>
    <t>Providence Care Queen's University,Department of Psychiatry,752 King Street West,Kingston ON  K7L 4X3,(613) 544-4900</t>
  </si>
  <si>
    <t>68295</t>
  </si>
  <si>
    <t>Toronto Western Hospital,399 Bathurst Street,9 East Community Mental Health,Toronto ON  M5G 2M9</t>
  </si>
  <si>
    <t>416-603-5800 Ext. 3715</t>
  </si>
  <si>
    <t>University of Toronto, 01 Jul 1994  to 30 Jun 1995|PostGrad Yr 1 - Psychiatry
University of Toronto, 01 Jul 1995  to 30 Jun 1996|Resident 1 - Psychiatry
University of Toronto, 01 Jul 1996  to 30 Jun 1997|PostGrad Yr 3 - Psychiatry
University of Toronto, 01 Jul 1997  to 30 Jun 1998|PostGrad Yr 4 - Psychiatry
University of Toronto, 01 Jul 1998  to 30 Jun 1999|PostGrad Yr 5 - Psychiatry
University of Toronto, 01 Nov 1999  to 30 Jun 2000|Clinical Fellow - Psychiatry</t>
  </si>
  <si>
    <t>94191</t>
  </si>
  <si>
    <t>University of Sarajevo, 1984</t>
  </si>
  <si>
    <t>Kinark,475 Iroquois Shore Road,Oakville ON  L6H 1M3</t>
  </si>
  <si>
    <t>(905) 844-4110</t>
  </si>
  <si>
    <t>(905) 844-3080</t>
  </si>
  <si>
    <t>McMaster University,1200 Main Street West,3G Area,Hamilton ON  L8N 3Z5,Canada,Phone:(905) 521-2100 Ext. 77294,Fax:905-521-7978,County:Regional Municipality of Hamilton-Wentworth,Electoral District:04</t>
  </si>
  <si>
    <t>Psychiatry||Effective: 30 Jun 2007||RCPSC Specialist
Child and Adolescent Psychiatry||Effective: 26 Sep 2013||RCPSC Specialist</t>
  </si>
  <si>
    <t>First certificate of registration issued: Independent Practice Certificate||Effective:   09 Jul 2010</t>
  </si>
  <si>
    <t>Dr. Tatjana Muhamedagic Medicine Professional Corporation</t>
  </si>
  <si>
    <t>Issued Date:  Mar 20 2012</t>
  </si>
  <si>
    <t>Dr. T. Muhamedagic (CPSO# 94191)</t>
  </si>
  <si>
    <t>Child and Youth Mental Health Program,McMaster Children's Hospital,1200 Main Street West,3G Area,Hamilton ON  L8N 3Z5,(905) 521-2100
475 Iroquois Sore Road,475 Iroquois Sore Road,Oakville ON  L6H 1M3,(905) 844-4110</t>
  </si>
  <si>
    <t>52073</t>
  </si>
  <si>
    <t xml:space="preserve">Independent Practice as of 16 Feb 1984 </t>
  </si>
  <si>
    <t>Leningrad Paediatric Medical Institute, 1973</t>
  </si>
  <si>
    <t>Suite 304,3292 Bayview Avenue,Toronto ON  M2M 4J5</t>
  </si>
  <si>
    <t>(416) 223-9635</t>
  </si>
  <si>
    <t>(416) 225-2728</t>
  </si>
  <si>
    <t>First certificate of registration issued: Postgraduate Education Certificate||Effective:   15 Jun 1981
Transfer of class of registration to: Independent Practice Certificate||Effective:   16 Feb 1984</t>
  </si>
  <si>
    <t>82889</t>
  </si>
  <si>
    <t xml:space="preserve">Active Member as of 19 Aug 2010 </t>
  </si>
  <si>
    <t xml:space="preserve">Independent Practice as of 19 Aug 2010 </t>
  </si>
  <si>
    <t>The George Hull Centre for Children,and Families,3rd Floor,81 The East Mall,Toronto ON  M8Z 5W3</t>
  </si>
  <si>
    <t>(416) 622-8833 Ext. 232</t>
  </si>
  <si>
    <t>Psychiatry||Effective: 13 Aug 2010||RCPSC Specialist</t>
  </si>
  <si>
    <t>University of Toronto, 01 Jul 2005  to 30 Jun 2006|PostGrad Yr 1 - Psychiatry
University of Toronto, 01 Jul 2006  to 30 Jun 2007|PostGrad Yr 2 - Psychiatry
University of Toronto, 01 Jul 2007  to 30 Jun 2008|PostGrad Yr 3 - Psychiatry
University of Toronto, 01 Jul 2008  to 30 Jun 2009|PostGrad Yr 4 - Psychiatry
University of Toronto, 01 Jul 2009  to 12 Nov 2009|PostGrad Yr 4 - Psychiatry
University of Toronto, 13 Nov 2009  to 13 Aug 2010|PostGrad Yr 5 - Psychiatry</t>
  </si>
  <si>
    <t>First certificate of registration issued: Postgraduate Education Certificate||Effective:   01 Jul 2005
Expired: Terms and conditions of certificate of registration||Expiry:      13 Aug 2010
Subsequent certificate of registration Issued: Independent Practice Certificate||Effective:   19 Aug 2010</t>
  </si>
  <si>
    <t>97672</t>
  </si>
  <si>
    <t xml:space="preserve">Active Member as of 27 Feb 2018 </t>
  </si>
  <si>
    <t xml:space="preserve">Restricted as of 27 Feb 2018 </t>
  </si>
  <si>
    <t>Queensway Carleton Hospital,3045 Baseline Road,Nepean (Ottawa),Nepean ON  K2H8P4</t>
  </si>
  <si>
    <t>613 721 4708</t>
  </si>
  <si>
    <t>613 721 4773</t>
  </si>
  <si>
    <t>Psychiatry||Effective: 27 Feb 2018||CPSO Recognized Specialist</t>
  </si>
  <si>
    <t>First certificate of registration issued: Postgraduate Education Certificate||Effective:   01 Jul 2012
Expired: Terms and conditions of certificate of registration||Expiry:      30 Jun 2017
Subsequent certificate of registration issued: Restricted certificate||Effective:   27 Feb 2018
Expiry as per terms and conditions imposed on certificate||Expiry Date: 26 Feb 2021</t>
  </si>
  <si>
    <t>89578</t>
  </si>
  <si>
    <t xml:space="preserve">Active Member as of 30 Jun 2010 </t>
  </si>
  <si>
    <t>St Joseph's Health Care Group,35 Algoma St N,Thunder Bay ON  P7B 5G7</t>
  </si>
  <si>
    <t>807 343-2310</t>
  </si>
  <si>
    <t>St Joseph's Care Group,Lakehead Psychiatric Hospital:Thunder Bay
St Joseph's Care Group,Thunder Bay:Thunder Bay
Thunder Bay Regional Health Sciences Centre:Thunder Bay</t>
  </si>
  <si>
    <t>Psychiatry||Effective: 30 Jun 2010||RCPSC Specialist
Geriatric Psychiatry||Effective: 27 Sep 2016||RCPSC Specialist</t>
  </si>
  <si>
    <t>Northern Ontario School Of Medicine, 01 Jul 2008  to 31 Dec 2008|PostGrad Yr 4 - Psychiatry
University of Ottawa, 19 Jul 2010  to 30 Jun 2011|Clinical Fellow - Psychiatry</t>
  </si>
  <si>
    <t>First certificate of registration issued: Postgraduate Education Certificate||Effective:   04 Jul 2008
Expired: Terms and conditions of certificate of registration||Expiry:      31 Dec 2008
Subsequent certificate of registration Issued: Independent Practice Certificate||Effective:   30 Jun 2010</t>
  </si>
  <si>
    <t>76554</t>
  </si>
  <si>
    <t>Ron Joyce Child Health Centre,325 Wellington Rd. NOth, 3rd floor,Hamilton ON,L8L 0A4,Hamilton ON  L8L 0A4</t>
  </si>
  <si>
    <t>(905) 521-7938</t>
  </si>
  <si>
    <t>Hamilton Health Sciences Centre McMaster &amp; Childrens Hosp,McMaster &amp; Children's Hospital:Hamilton
Hamilton Health Sciences,Chedoke Hospital Site:Hamilton
St Joseph's Centre for Mountain Health Services:Hamilton
St Joseph's Healthcare System,Hamilton:Hamilton</t>
  </si>
  <si>
    <t>McMaster University, 01 Jul 2001  to 30 Jun 2002|PostGrad Yr 1 - Psychiatry
McMaster University, 01 Jul 2002  to 30 Jun 2003|PostGrad Yr 2 - Psychiatry
McMaster University, 01 Jul 2003  to 30 Jun 2004|PostGrad Yr 3 - Psychiatry
McMaster University, 01 Jul 2004  to 30 Jun 2005|PostGrad Yr 4 - Psychiatry
McMaster University, 01 Jul 2005  to 30 Jun 2006|PostGrad Yr 5 - Psychiatry
McMaster University, 01 Jul 2006  to 30 Jun 2007|Clinical Fellow - Psychiatry
McMaster University, 01 Jul 2007  to 30 Jun 2008|Clinical Fellow - Psychiatry
McMaster University, 01 Jul 2009  to 30 Jun 2010|Clinical Fellow - Psychiatry
McMaster University, 01 Jul 2010  to 30 Jun 2011|Clinical Fellow - Psychiatry</t>
  </si>
  <si>
    <t>Justin W.Y. Lee Medicine Professional Corporation</t>
  </si>
  <si>
    <t>Dr. T. Bennett (CPSO# 76554),Dr. J. Lee (CPSO# 77648)</t>
  </si>
  <si>
    <t>699 Concession Street,Hamilton ON  L8V 5C2,(905) 387-9495
200 Terrace Hill Street,200 Terrace Hill Street,Brantford ON  N3R 1G9
325 Wellington Road North,325 Wellington Road North,3rd Floor,Hamilton ON  L8L 0A4,(905) 521-2100</t>
  </si>
  <si>
    <t>65757</t>
  </si>
  <si>
    <t xml:space="preserve">Active Member as of 06 Jul 1992 </t>
  </si>
  <si>
    <t xml:space="preserve">Independent Practice as of 19 Dec 1996 </t>
  </si>
  <si>
    <t>Academy of Medicine, Cracow, 1979</t>
  </si>
  <si>
    <t>Unit 206,450 Central Avenue,London ON  N6B 2E8</t>
  </si>
  <si>
    <t>Unit 1,294 Talbot Street,St Thomas ON  N5P 4E3,Canada,Phone:(519) 631-4787,Fax:(519) 631-7023,County:County of Elgin,Electoral District:02
Parkwood Institute,Mental Health Building,550 Wellington Road,London ON  N6C 0A7,Canada,Phone:(519) 455-5110 Ext. 48300,Fax:(519) 455-2919,County:County of Middlesex,Electoral District:02</t>
  </si>
  <si>
    <t>The University of Western Ontario, 01 Jul 1992  to 30 Jun 1993|Resident 1 - Psychiatry
The University of Western Ontario, 01 Jul 1993  to 30 Jun 1994|Resident 2 - Psychiatry
The University of Western Ontario, 01 Jul 1994  to 30 Jun 1995|Resident 3 - Psychiatry
The University of Western Ontario, 01 Jul 1995  to 30 Jun 1996|Resident 4 - Psychiatry
The University of Western Ontario, 01 Jul 1996  to 31 Dec 1996|Clinical Fellow - Psychiatry</t>
  </si>
  <si>
    <t>First certificate of registration issued: Postgraduate Education Certificate||Effective:   06 Jul 1992
Transfer of class of registration to: Independent Practice Certificate||Effective:   19 Dec 1996</t>
  </si>
  <si>
    <t>Dr. Teresa D. Blichowski Medicine Professional Corporation</t>
  </si>
  <si>
    <t>Dr. T. Blichowski (CPSO# 65757)</t>
  </si>
  <si>
    <t>Suite 206,450 Central Avenue,London ON  N6B 2E8,(519) 455-5110</t>
  </si>
  <si>
    <t>105696</t>
  </si>
  <si>
    <t xml:space="preserve">Active Member as of 21 Apr 2015 </t>
  </si>
  <si>
    <t xml:space="preserve">Restricted as of 21 Apr 2015 </t>
  </si>
  <si>
    <t>Yeshiva Univ Albert Einstein Coll of Med, 2008</t>
  </si>
  <si>
    <t>2877 Ellesmere Road,Scarborough ON  M1E 4C1</t>
  </si>
  <si>
    <t>(416) 281 7465</t>
  </si>
  <si>
    <t>Child and Adolescent Psychiatry||Effective: 15 Dec 2016||CPSO Recognized Specialist
Psychiatry||Effective: 18 May 2018||RCPSC Specialist</t>
  </si>
  <si>
    <t>First certificate of registration issued: Restricted certificate||Effective:   21 Apr 2015
Terms and conditions imposed on certificate by Registration Committee||Effective:   21 Apr 2015
Expiry date attached to certificate of registration.||Expiry Date: 20 Oct 2016
Terms and conditions amended by Registration Committee||Effective:   13 Oct 2016
Terms and conditions amended by Registration Committee||Effective:   15 Dec 2016</t>
  </si>
  <si>
    <t>Teresa Lim Medicine Professional Corporation</t>
  </si>
  <si>
    <t>Issued Date:  Mar 01 2017</t>
  </si>
  <si>
    <t>Dr. T. Lim (CPSO# 105696)</t>
  </si>
  <si>
    <t>Rouge Valley Health System,2877 Ellesmere Road,Scarborough ON  M1E 4B9,(416) 281-7301</t>
  </si>
  <si>
    <t>52035</t>
  </si>
  <si>
    <t xml:space="preserve">Active Member as of 02 Jul 1980 </t>
  </si>
  <si>
    <t xml:space="preserve">Independent Practice as of 13 Sep 1984 </t>
  </si>
  <si>
    <t>5 Director Court,Unit 101,Woodbridge ON  L4L 4S5</t>
  </si>
  <si>
    <t>(647) 622-4720</t>
  </si>
  <si>
    <t>USA - Alabama
USA - North Carolina
USA - Pennsylvania</t>
  </si>
  <si>
    <t>First certificate of registration issued: Postgraduate Education Certificate||Effective:   02 Jul 1980
Transfer of class of registration to: Independent Practice Certificate||Effective:   13 Sep 1984</t>
  </si>
  <si>
    <t>67278</t>
  </si>
  <si>
    <t xml:space="preserve">Active Member as of 26 Jul 1993 </t>
  </si>
  <si>
    <t xml:space="preserve">Independent Practice as of 26 Jul 1993 </t>
  </si>
  <si>
    <t>Clarke Maharaj, Theresa-Ann (used until: 23 Apr 1996 )</t>
  </si>
  <si>
    <t>University of the West Indies, 1983</t>
  </si>
  <si>
    <t>241 Brant Avenue,Brantford ON  N3T 3J4</t>
  </si>
  <si>
    <t>(519) 753-3310</t>
  </si>
  <si>
    <t>(519) 753-7618</t>
  </si>
  <si>
    <t>44 King St,Brantford ON  N3T 3C7,Canada,Phone:519 752-2998,County:County of Brant,Electoral District:04
238 Grand River St N,Paris ON  N3L 2N7,Canada,Phone:519 442-3609,County:County of Brant,Electoral District:04</t>
  </si>
  <si>
    <t>University of Toronto, 01 Oct 1993  to 31 Mar 1994|Clinical Fellow - Psychiatry</t>
  </si>
  <si>
    <t>First certificate of registration issued: Independent Practice Certificate||Effective:   26 Jul 1993</t>
  </si>
  <si>
    <t>Theresa-Ann Clarke Medicine Professional Corporation</t>
  </si>
  <si>
    <t>Dr. T. Clarke (CPSO# 67278)</t>
  </si>
  <si>
    <t>44 King Street,Brantford ON  N3T 3C7,(519) 752-2998
238 Grand River Street North,238 Grand River Street North,Brantford ON  N3T 2N7,(519) 442-3609
241 Brant Avenue,241 Brant Avenue,Brantford ON  N3T 3J4,(519) 753-3310</t>
  </si>
  <si>
    <t>72510</t>
  </si>
  <si>
    <t xml:space="preserve">Active Member as of 03 May 2005 </t>
  </si>
  <si>
    <t xml:space="preserve">Independent Practice as of 03 May 2005 </t>
  </si>
  <si>
    <t>(416) 924-1164 Ext. 3327</t>
  </si>
  <si>
    <t>(416) 972-1935</t>
  </si>
  <si>
    <t>University of Toronto, 01 Jul 1998  to 30 Jun 1999|PostGrad Yr 1 - Psychiatry
University of Toronto, 01 Jul 1999  to 30 Jun 2000|PostGrad Yr 2 - Psychiatry
University of Toronto, 01 Jul 2000  to 21 May 2001|PostGrad Yr 2 - Psychiatry
University of Toronto, 22 May 2001  to 21 May 2002|PostGrad Yr 3 - Psychiatry
University of Toronto, 22 May 2002  to 18 Feb 2003|PostGrad Yr 4 - Psychiatry
University of Toronto, 19 Feb 2003  to 09 Dec 2003|PostGrad Yr 5 - Psychiatry
University of Toronto, 21 Dec 2003  to 20 Dec 2004|PostGrad Yr 5 - Psychiatry
University of Toronto, 21 Dec 2004  to 21 Feb 2005|PostGrad Yr 5 - Psychiatry</t>
  </si>
  <si>
    <t>First certificate of registration issued: Postgraduate Education Certificate||Effective:   01 Jul 1998
Expired: Terms and conditions of certificate of registration||Expiry:      21 Feb 2005
Subsequent certificate of registration Issued: Independent Practice Certificate||Effective:   03 May 2005</t>
  </si>
  <si>
    <t>24983</t>
  </si>
  <si>
    <t xml:space="preserve">Independent Practice as of 03 Aug 1972 </t>
  </si>
  <si>
    <t>Suite 305,130 Slater Street,Ottawa ON  K1P 6E2</t>
  </si>
  <si>
    <t>(613) 567-7514</t>
  </si>
  <si>
    <t>(613) 225-4747</t>
  </si>
  <si>
    <t>First certificate of registration issued: Independent Practice Certificate||Effective:   03 Aug 1972</t>
  </si>
  <si>
    <t>55446</t>
  </si>
  <si>
    <t xml:space="preserve">Independent Practice as of 24 Jun 1986 </t>
  </si>
  <si>
    <t>(416) 968-0292</t>
  </si>
  <si>
    <t>University of Toronto, 17 Jun 1985  to 16 Jun 1986|Other - Comprehensive Internship
University of Toronto, 01 Jul 1988  to 30 Jun 1989|Resident 1 - Psychiatry
University of Toronto, 01 Jul 1989  to 30 Jun 1990|Resident 2 - Psychiatry
University of Toronto, 01 Jul 1990  to 30 Jun 1991|Resident 3 - Psychiatry
University of Toronto, 01 Jul 1991  to 30 Jun 1992|Resident 4 - Psychiatry
University of Toronto, 01 Jul 1992  to 30 Jun 1993|Clinical Fellow - Psychiatry</t>
  </si>
  <si>
    <t>First certificate of registration issued: Postgraduate Education Certificate||Effective:   17 Jun 1985
Transfer of class of registration to: Independent Practice Certificate||Effective:   24 Jun 1986</t>
  </si>
  <si>
    <t>Dr. Tom Crocker Medicine Professional Corporation</t>
  </si>
  <si>
    <t>Issued Date:  Aug 09 2006</t>
  </si>
  <si>
    <t>Dr. T. Crocker (CPSO# 55446)</t>
  </si>
  <si>
    <t>202 - 10 Alcorn Avenue,Toronto ON  M4V 3A9,(416) 968-0292</t>
  </si>
  <si>
    <t>58419</t>
  </si>
  <si>
    <t xml:space="preserve">Independent Practice as of 20 Jul 1988 </t>
  </si>
  <si>
    <t>St.Michael's Hospital,30 Bond St,Toronto ON  M5B 1W8</t>
  </si>
  <si>
    <t>(416) 864-3080</t>
  </si>
  <si>
    <t>416-864-5445</t>
  </si>
  <si>
    <t>North York General Hospital,General Division:Toronto
St Michael's Hospital:Toronto</t>
  </si>
  <si>
    <t>Family Medicine||Effective: 04 Aug 1989||CFPC Specialist
Psychiatry||Effective: 30 Jun 1994||RCPSC Specialist</t>
  </si>
  <si>
    <t>University of Toronto, 15 Jun 1987  to 13 Jun 1988|Other - Family Medicine
University of Toronto, 01 Jul 1988  to 30 Jun 1989|Resident 2 - Family Medicine
University of Toronto, 01 Jul 1991  to 30 Jun 1992|Resident 1 - Psychiatry
University of Toronto, 01 Jul 1992  to 30 Jun 1993|Resident 3 - Psychiatry
University of Toronto, 01 Jul 1993  to 30 Jun 1994|Resident 4 - Psychiatry
University of Toronto, 01 Jul 1994  to 30 Jun 1995|Clinical Fellow - Psychiatry
University of Toronto, 01 Jul 1995  to 30 Jun 1996|Clinical Fellow - Psychiatry</t>
  </si>
  <si>
    <t>First certificate of registration issued: Postgraduate Education Certificate||Effective:   15 Jun 1987
Transfer of class of registration to: Independent Practice Certificate||Effective:   20 Jul 1988</t>
  </si>
  <si>
    <t>Ungar Medicine Professional Corporation</t>
  </si>
  <si>
    <t>Issued Date:  Jul 14 2008</t>
  </si>
  <si>
    <t>Dr. T. Ungar (CPSO# 58419)</t>
  </si>
  <si>
    <t>St. Michael's Hospital,30 Bond Street,Toronto ON  M5B 1W8,(416) 864-3080</t>
  </si>
  <si>
    <t>97783</t>
  </si>
  <si>
    <t>Waypoint CMHC,500 Church St,Penetanguishene ON  L9M 1G3</t>
  </si>
  <si>
    <t>McMaster University, 01 Jul 2012  to 30 Jun 2013|PostGrad Yr 1 - Psychiatry
McMaster University, 01 Jul 2013  to 30 Jun 2014|PostGrad Yr 2 - Psychiatry
McMaster University, 01 Jul 2014  to 30 Jun 2015|PostGrad Yr 3 - Psychiatry
McMaster University, 01 Jul 2015  to 30 Jun 2016|PostGrad Yr 3 - Psychiatry
McMaster University, 01 Jul 2016  to 30 Jun 2017|PostGrad Yr 4 - Psychiatry
McMaster University, 01 Jul 2017  to 30 Jun 2018|PostGrad Yr 5 - Psychiatry</t>
  </si>
  <si>
    <t>31683</t>
  </si>
  <si>
    <t>323 Durie Street,Toronto ON  M6S 3G2</t>
  </si>
  <si>
    <t>416 928 0260</t>
  </si>
  <si>
    <t>68994</t>
  </si>
  <si>
    <t>Alexandra Marine General Hospital,120 Napier Street,Goderich ON  N7A 1W5</t>
  </si>
  <si>
    <t>(519) 524-8323 Ext. 5388</t>
  </si>
  <si>
    <t>(519) 524-8513</t>
  </si>
  <si>
    <t>Clinton Community,Psychiatric Clinic,P O Box 343,Clinton ON  N0M 1L0,Canada,Phone:(519) 524-8316,County:County of Huron,Electoral District:02
ACTT,28 Centennial Drive,Seaforth ON  N0K 1W0,Canada,Phone:519-527-8421,County:County of Huron,Electoral District:02</t>
  </si>
  <si>
    <t>The University of Western Ontario, 01 Jul 1995  to 30 Jun 1996|PostGrad Yr 1 - Psychiatry
The University of Western Ontario, 01 Jul 1996  to 30 Jun 1997|PostGrad Yr 2 - Psychiatry
The University of Western Ontario, 01 Jul 1997  to 30 Jun 1998|PostGrad Yr 3 - Psychiatry
The University of Western Ontario, 01 Jul 1998  to 30 Jun 1999|PostGrad Yr 4 - Psychiatry
The University of Western Ontario, 01 Jul 1999  to 30 Jun 2000|PostGrad Yr 5 - Psychiatry</t>
  </si>
  <si>
    <t>TJ McAuley Medicine Professional Corporation</t>
  </si>
  <si>
    <t>Issued Date:  Aug 29 2007</t>
  </si>
  <si>
    <t>Dr. T. McAuley (CPSO# 68994)</t>
  </si>
  <si>
    <t>Alexandra Marine General Hospital,120 Napier Street,Goderich ON  N7A 1W5,(519) 524-8689
34 Newgate Street,34 Newgate Street,Goderich ON  N7A 1P1,(519) 524-8323
Clinton Community Psychiatry Clinic,Clinton Community Psychiatry Clinic,56 Mary Street,Clinton ON  N0M 1L0,(519) 524-8316
28 Centennial Drive,28 Centennial Drive,Seaforth ON  N0K 1W0,(519) 527-8421</t>
  </si>
  <si>
    <t>72273</t>
  </si>
  <si>
    <t>(905) 845-2571 Ext. 5631</t>
  </si>
  <si>
    <t>(905) 815-5091</t>
  </si>
  <si>
    <t>Dr. Thomas Hastings Medicine Professional Corporation</t>
  </si>
  <si>
    <t>Issued Date:  Oct 28 2010</t>
  </si>
  <si>
    <t>Dr. T. Hastings (CPSO# 72273)</t>
  </si>
  <si>
    <t>107904</t>
  </si>
  <si>
    <t xml:space="preserve">Active Member as of 27 Jun 2017 </t>
  </si>
  <si>
    <t xml:space="preserve">Independent Practice as of 27 Jun 2017 </t>
  </si>
  <si>
    <t>705 360 6036</t>
  </si>
  <si>
    <t>First certificate of registration issued: Restricted certificate||Effective:   27 Aug 2015
Terms and conditions imposed on certificate by Registration Committee||Effective:   27 Aug 2015
Expiry date attached to certificate of registration.||Expiry Date: 26 Aug 2018
Expired: Terms and conditions imposed on certificate by Registration Committee||Effective:   27 Jun 2017
Subsequent certificate of registration Issued: Independent Practice Certificate||Effective:   27 Jun 2017</t>
  </si>
  <si>
    <t>Thomas Obinwa Medicine Professional Corporation</t>
  </si>
  <si>
    <t>Issued Date:  Sep 16 2015</t>
  </si>
  <si>
    <t>Dr. T. Obinwa (CPSO# 107904)</t>
  </si>
  <si>
    <t>18347</t>
  </si>
  <si>
    <t xml:space="preserve">Active Member as of 28 Jun 1962 </t>
  </si>
  <si>
    <t xml:space="preserve">Independent Practice as of 28 Jun 1962 </t>
  </si>
  <si>
    <t>Psychiatry||Effective: 30 Nov 1966||RCPSC Specialist</t>
  </si>
  <si>
    <t>First certificate of registration issued: Independent Practice Certificate||Effective:   28 Jun 1962</t>
  </si>
  <si>
    <t>53035</t>
  </si>
  <si>
    <t xml:space="preserve">Active Member as of 01 Jun 1983 </t>
  </si>
  <si>
    <t xml:space="preserve">Independent Practice as of 01 Jun 1983 </t>
  </si>
  <si>
    <t>Guy's Hospital Medical School, 1972</t>
  </si>
  <si>
    <t>Parkinson's &amp; Neurodegenerative,Disorders Clinic,Suite 226,1929 Russell Road,Ottawa ON  K1G 4G3</t>
  </si>
  <si>
    <t>(613) 562-4235</t>
  </si>
  <si>
    <t>613-737-9666</t>
  </si>
  <si>
    <t>Psychiatry||Effective: 14 Nov 1978||RCPSC Specialist
Neurology||Effective: 17 Nov 1986||RCPSC Specialist</t>
  </si>
  <si>
    <t>First certificate of registration issued: Independent Practice Certificate||Effective:   01 Jun 1983</t>
  </si>
  <si>
    <t>33414</t>
  </si>
  <si>
    <t xml:space="preserve">Independent Practice as of 28 Jun 1982 </t>
  </si>
  <si>
    <t>University of Saskatchewan, 1981</t>
  </si>
  <si>
    <t>Suite 1003,2 Carlton Street,Toronto ON  M5B 1J3</t>
  </si>
  <si>
    <t>(416) 966-1767</t>
  </si>
  <si>
    <t>Ontario Shores Centre,for Mental Health Sciences,700 Gordon Street,Whitby ON  L1N 5S9,Canada,Phone:(905) 668-5881,County:Regional Municipality of Durham,Electoral District:05</t>
  </si>
  <si>
    <t>First certificate of registration issued: Postgraduate Education Certificate||Effective:   15 Jun 1981
Transfer of class of registration to: Independent Practice Certificate||Effective:   28 Jun 1982</t>
  </si>
  <si>
    <t>Dr. T. Gofine Medicine Professional Corporation</t>
  </si>
  <si>
    <t>Issued Date:  Dec 18 2008</t>
  </si>
  <si>
    <t>Dr. T. Gofine (CPSO# 33414)</t>
  </si>
  <si>
    <t>Suite 1003,2 Carlton Street,Toronto ON  M5B 1J3,(416) 966-1767
Whitby Mental Health Centre,Whitby Mental Health Centre,700 Gordon Street,Whitby ON  L1N 5S9,(905) 668-5881</t>
  </si>
  <si>
    <t>96064</t>
  </si>
  <si>
    <t>Community Mental Health Program,Royal Ottawa Mental Health Centre,205A - 2121 Carling Avenue,Ottawa ON  K2A 1H2</t>
  </si>
  <si>
    <t>SUCD,Royal Ottawa Mental Health Centre,2141 - 1145 Carling Avenue,Ottawa ON  K1Z 7A4,Canada,Phone:613-722-6521,County:Regional Municipality of Ottawa-Carleton,Electoral District:07</t>
  </si>
  <si>
    <t>71310</t>
  </si>
  <si>
    <t>University of Ottawa, 01 Jul 1997  to 30 Jun 1998|PostGrad Yr 1 - Psychiatry
University of Ottawa, 01 Jul 1998  to 30 Jun 1999|PostGrad Yr 2 - Psychiatry
University of Ottawa, 01 Jul 1999  to 30 Jun 2000|PostGrad Yr 3 - Psychiatry
University of Ottawa, 01 Jul 2000  to 30 Jun 2001|PostGrad Yr 4 - Psychiatry
University of Ottawa, 01 Jul 2001  to 30 Jun 2002|PostGrad Yr 5 - Psychiatry
University of Ottawa, 01 Jul 2002  to 30 Jun 2003|Clinical Fellow - Psychiatry</t>
  </si>
  <si>
    <t>T. Lau Medicine Professional Corporation</t>
  </si>
  <si>
    <t>Dr. T. Lau (CPSO# 71310)</t>
  </si>
  <si>
    <t>79362</t>
  </si>
  <si>
    <t>The Johns Hopkins University, 2003</t>
  </si>
  <si>
    <t>St Michaels Hospital,17 050 Cardinal Carter,30 Bond Street,Toronto ON  M5B 1W8</t>
  </si>
  <si>
    <t>94237</t>
  </si>
  <si>
    <t xml:space="preserve">Active Member as of 22 Jul 2010 </t>
  </si>
  <si>
    <t xml:space="preserve">Restricted as of 22 Jul 2010 </t>
  </si>
  <si>
    <t>The University of Rochester, 2004</t>
  </si>
  <si>
    <t>Child and Parent Resource Institute,600 Sanatorium Road,Crombie Building Office 2 01,London ON  N6H 3W7</t>
  </si>
  <si>
    <t>519-858-2774</t>
  </si>
  <si>
    <t>USA - California
USA - New York</t>
  </si>
  <si>
    <t>Psychiatry||Effective: 22 Jul 2010||CPSO Recognized Specialist</t>
  </si>
  <si>
    <t>First certificate of registration issued: Restricted certificate||Effective:   22 Jul 2010
Terms and conditions imposed on certificate by Registration Committee||Effective:   22 Jul 2010
Expiry date attached to certificate of registration.||Expiry Date: 21 Jan 2012
Terms and conditions amended by Registration Committee||Effective:   01 Dec 2011
Expiry date removed from certificate of registration.||Effective:   22 May 2013
Terms and conditions amended by Registration Committee||Effective:   22 May 2013</t>
  </si>
  <si>
    <t>50156</t>
  </si>
  <si>
    <t xml:space="preserve">Active Member as of 23 Jun 1978 </t>
  </si>
  <si>
    <t xml:space="preserve">Independent Practice as of 02 Mar 1983 </t>
  </si>
  <si>
    <t>65 Cedar Pointe Drive,Suite 102,Barrie ON  L4N 9R3</t>
  </si>
  <si>
    <t>(705) 728-2867</t>
  </si>
  <si>
    <t>705-728-6987</t>
  </si>
  <si>
    <t>First certificate of registration issued: Postgraduate Education Certificate||Effective:   23 Jun 1978
Transfer of class of registration to: Independent Practice Certificate||Effective:   02 Mar 1983</t>
  </si>
  <si>
    <t>Timothy Bilkey Medicine Professional Corporation</t>
  </si>
  <si>
    <t>Issued Date:  May 09 2007</t>
  </si>
  <si>
    <t>Dr. T. Bilkey (CPSO# 50156)</t>
  </si>
  <si>
    <t>102 - 65 Cedar Pointe Drive,Barrie ON  L4N 9R3,(705) 728-2867</t>
  </si>
  <si>
    <t>84493</t>
  </si>
  <si>
    <t>Centre Hospitalier Pierre-Janet,20 Pharand,Gatineau QC  J9A 1K7</t>
  </si>
  <si>
    <t>(819) 771-7761</t>
  </si>
  <si>
    <t>66743</t>
  </si>
  <si>
    <t>708 - 1243 Islington Ave,Toronto ON  M8X 1Y9</t>
  </si>
  <si>
    <t>(416) 922-6897</t>
  </si>
  <si>
    <t>(416) 944-8432</t>
  </si>
  <si>
    <t>625 Runnymede Road,Toronto ON  M6S 3A3,Canada,County:City of Toronto,Electoral District:10</t>
  </si>
  <si>
    <t>Runnymede Healthcare Centre:Toronto</t>
  </si>
  <si>
    <t>The University of Western Ontario, 01 Jul 1993  to 30 Jun 1994|PostGrad Yr 1 - Psychiatry
University of Ottawa, 01 Jul 1994  to 30 Jun 1995|Resident 1 - Psychiatry
University of Ottawa, 01 Jul 1995  to 30 Jun 1996|Resident 2 - Psychiatry
University of Ottawa, 01 Jul 1996  to 30 Jun 1997|Resident 3 - Psychiatry
University of Ottawa, 01 Jul 1997  to 30 Jun 1998|Resident 4 - Psychiatry</t>
  </si>
  <si>
    <t>Tao Smolkin Medicine Professional Corporation</t>
  </si>
  <si>
    <t>Dr. M. Smolkin (CPSO# 63693),Dr. T. Tao (CPSO# 66743)</t>
  </si>
  <si>
    <t>625 Runnymade Road,Toronto ON  M6S 3A3
708 - 1243 Islington Avenue,708 - 1243 Islington Avenue,Toronto ON  M8X 1Y9,(416) 922-6897</t>
  </si>
  <si>
    <t>99896</t>
  </si>
  <si>
    <t xml:space="preserve">Active Member as of 14 Feb 2013 </t>
  </si>
  <si>
    <t xml:space="preserve">Restricted as of 14 Feb 2013 </t>
  </si>
  <si>
    <t>Psychiatry||Effective: 14 Feb 2013||CPSO Recognized Specialist</t>
  </si>
  <si>
    <t>First certificate of registration issued: Restricted certificate||Effective:   14 Feb 2013
Terms and conditions imposed on certificate by Registration Committee||Effective:   14 Feb 2013
Expiry date attached to certificate of registration.||Expiry Date: 13 Aug 2014
Terms and conditions amended by Registration Committee||Effective:   31 Jul 2014
Expiry date removed from certificate of registration.||Effective:   31 Jul 2014</t>
  </si>
  <si>
    <t>Todor Dragicevic Medicine Professional Corporation</t>
  </si>
  <si>
    <t>Dr. T. Dragicevic (CPSO# 99896)</t>
  </si>
  <si>
    <t>25096</t>
  </si>
  <si>
    <t xml:space="preserve">Active Member as of 24 Aug 1972 </t>
  </si>
  <si>
    <t xml:space="preserve">Independent Practice as of 24 Aug 1972 </t>
  </si>
  <si>
    <t>Hrab, Toghra (used until: 16 Oct 1988 )</t>
  </si>
  <si>
    <t>University of Tehran, 1969</t>
  </si>
  <si>
    <t>134 Banbury Road,Don Mills ON  M3B 2L3</t>
  </si>
  <si>
    <t>(416) 449-6699</t>
  </si>
  <si>
    <t>Suite 608,102 Bloor Street West,Toronto ON  M4S 1M8,Canada,Phone:(416) 449-6699,County:City of Toronto,Electoral District:10</t>
  </si>
  <si>
    <t>First certificate of registration issued: Independent Practice Certificate||Effective:   24 Aug 1972</t>
  </si>
  <si>
    <t>83840</t>
  </si>
  <si>
    <t xml:space="preserve">Active Member as of 07 Jan 2011 </t>
  </si>
  <si>
    <t xml:space="preserve">Independent Practice as of 07 Jan 2011 </t>
  </si>
  <si>
    <t>McGill University, 1999</t>
  </si>
  <si>
    <t>The Royal,Schizophrenia Program,1145 Carling Avenue,Ottawa ON  K1Z 7K4</t>
  </si>
  <si>
    <t>(613) 722-6521 Ext. 6518</t>
  </si>
  <si>
    <t>5 Jeremiah Place,Ottawa, Ontario,K2H 8L7,Ottawa ON  K2H 8L7,Canada,Phone:6138946096,Fax:6134213591,County:Regional Municipality of Ottawa-Carleton,Electoral District:07
The Ottawa Hospital - Civic Campus,1053 Carling Avenue,Ottawa ON  K1Y 4E9,Canada,Phone:(613) 722-7000,County:Regional Municipality of Ottawa-Carleton,Electoral District:07
The Ottawa Hospital -General Campus,501 Smyth Road,Ottawa ON  K1H 8L6,Canada,Phone:(613) 722-7000,County:Regional Municipality of Ottawa-Carleton,Electoral District:07</t>
  </si>
  <si>
    <t>Psychiatry||Effective: 26 Apr 2005||RCPSC Specialist</t>
  </si>
  <si>
    <t>First certificate of registration issued: Restricted certificate||Effective:   10 Nov 2005
Terms and conditions imposed on certificate by Registration Committee||Effective:   10 Nov 2005
Expiry date attached to certificate of registration.||Expiry Date: 09 Nov 2008
Terms and conditions amended by Registration Committee||Effective:   07 Nov 2008
Expired: Terms and conditions imposed on certificate by Registration Committee||Effective:   31 Dec 2010
Subsequent certificate of registration Issued: Independent Practice Certificate||Effective:   07 Jan 2011</t>
  </si>
  <si>
    <t>Tomas Fogl Medicine Professional Corporation</t>
  </si>
  <si>
    <t>Inactive: Nov  7 2014</t>
  </si>
  <si>
    <t>Issued Date:  May 24 2017</t>
  </si>
  <si>
    <t>Dr. T. Fogl (CPSO# 83840)</t>
  </si>
  <si>
    <t>Royal Ottawa Mental Health Centre,Schizophrenia Program,1145 Carling Avenue,Ottawa ON  K1Z 7K4,(613) 722-6521</t>
  </si>
  <si>
    <t>43070</t>
  </si>
  <si>
    <t xml:space="preserve">Active Member as of 09 Nov 1984 </t>
  </si>
  <si>
    <t xml:space="preserve">Independent Practice as of 09 Nov 1984 </t>
  </si>
  <si>
    <t>University of Cape Town, 1975</t>
  </si>
  <si>
    <t>57 Borden Street,Toronto, Ontario,M5S 2M8,Toronto ON  M6J 1H4</t>
  </si>
  <si>
    <t>(416) 944-8955</t>
  </si>
  <si>
    <t>(416) 944-9216</t>
  </si>
  <si>
    <t>Mental Health and Metabolism Clinic,CAMH,250 College, St. To ON M5T 1L8,Toronto ON  M5S 2M8,Canada,Phone:(416) 535-8501 Ext. 33156,Fax:(416) 979-4292,County:City of Toronto,Electoral District:10</t>
  </si>
  <si>
    <t>First certificate of registration issued: Postgraduate Education Certificate||Effective:   01 Jul 1977
Expired: Terms and conditions of certificate of registration||Expiry:      30 May 1979
Subsequent certificate of registration Issued: Independent Practice Certificate||Effective:   09 Nov 1984</t>
  </si>
  <si>
    <t>Dr. Cohn Medicine Professional Corporation</t>
  </si>
  <si>
    <t>Issued Date:  Mar 09 2011</t>
  </si>
  <si>
    <t>Dr. T. Cohn (CPSO# 43070)</t>
  </si>
  <si>
    <t>Centre For Addiction and Mental,Health Queen Street Division,1001 Queen Street West,Toronto ON  M6J 1H4,(416) 535-8501
709-250 College Street,709-250 College Street,Toronto ON  M5T 1R8,(416) 535-8501
57 Borden Street,57 Borden Street,Toronto ON  M5S 2M8,(416) 944-8955</t>
  </si>
  <si>
    <t>85614</t>
  </si>
  <si>
    <t xml:space="preserve">Active Member as of 20 Sep 2006 </t>
  </si>
  <si>
    <t xml:space="preserve">Academic Practice as of 20 Sep 2006 </t>
  </si>
  <si>
    <t>C A M H,BGB 3288,100 Stokes Street,Toronto ON  M6J 1H4</t>
  </si>
  <si>
    <t>(416) 535-8501 Ext. 32662</t>
  </si>
  <si>
    <t>C A M H,BACDRL 1910A,33 Russell Street,Toronto ON  M5S 2S1,Canada,Phone:(416) 535-8501 Ext. 32662,Fax:(416) 260-4171,County:City of Toronto,Electoral District:10</t>
  </si>
  <si>
    <t>Psychiatry||Effective: 01 Sep 2006||RCPSC Specialist</t>
  </si>
  <si>
    <t>First certificate of registration issued: Academic Practice Certificate||Effective:   20 Sep 2006</t>
  </si>
  <si>
    <t>79024</t>
  </si>
  <si>
    <t>St Joseph's Healthcare Centre,Centre for Mountain Health Services,100 West 5th Street,Hamilton ON  L8N 3K7</t>
  </si>
  <si>
    <t>(905) 522-1155 Ext. 36794</t>
  </si>
  <si>
    <t>McMaster University, 01 Jul 2003  to 30 Jun 2004|PostGrad Yr 1 - Psychiatry
McMaster University, 01 Jul 2004  to 30 Jun 2005|PostGrad Yr 2 - Psychiatry
McMaster University, 01 Jul 2005  to 30 Jun 2006|PostGrad Yr 3 - Psychiatry
McMaster University, 01 Jul 2006  to 30 Jun 2007|PostGrad Yr 4 - Psychiatry
McMaster University, 01 Jul 2007  to 30 Jun 2008|PostGrad Yr 5 - Psychiatry
McMaster University, 15 Jul 2008  to 31 Dec 2008|Clinical Fellow - Psychiatry</t>
  </si>
  <si>
    <t>Dr. Tracy T. Cheng Medicine Professional Corporation</t>
  </si>
  <si>
    <t>Dr. T. Cheng (CPSO# 79024)</t>
  </si>
  <si>
    <t>St Joseph's Healthcare Centre,Centre for Mountain Health Services,100 West 5th Street,Suite H117,Hamilton ON  L8N 3K7,(905) 522-1155
Community Psychiatry Service,Community Psychiatry Service,Fontbonne Building,Suite F333,50 Charlton Avenue,Hamilton ON  L8N 4A6,(905) 522-1155
Center for Addictions Mental Health,Center for Addictions Mental Health,216 West Street,Suite 404,Simcoe ON  N3Y 1S8,(519) 426-8760</t>
  </si>
  <si>
    <t>74931</t>
  </si>
  <si>
    <t>University of Toronto, 01 Jul 2000  to 30 Jun 2001|PostGrad Yr 1 - Psychiatry
University of Toronto, 01 Jul 2001  to 30 Jun 2002|PostGrad Yr 2 - Psychiatry
University of Toronto, 01 Jul 2002  to 30 Jun 2003|PostGrad Yr 3 - Psychiatry
University of Toronto, 01 Jul 2003  to 31 Dec 2003|PostGrad Yr 4 - Psychiatry
University of Toronto, 01 Jan 2004  to 30 Jun 2004|PostGrad Yr 4 - Psychiatry
University of Toronto, 01 Jul 2004  to 30 Jun 2005|PostGrad Yr 5 - Psychiatry</t>
  </si>
  <si>
    <t>24637</t>
  </si>
  <si>
    <t xml:space="preserve">Active Member as of 20 Jun 1972 </t>
  </si>
  <si>
    <t xml:space="preserve">Independent Practice as of 20 Jun 1972 </t>
  </si>
  <si>
    <t>St Joseph's Hospital,30 The Queensway,Toronto ON  M6R 1B5</t>
  </si>
  <si>
    <t>(416) 530-6000 Ext. 4390</t>
  </si>
  <si>
    <t>59 Adelaide St E,2nd Floor,Toronto ON  M5C1K6,Canada,Phone:416 591 4411,County:City of Toronto,Electoral District:10
Sault Area Hospital,Sault Ste Marie ON  P6A 2C4,Canada,Phone:(705) 759-3434,County:Territorial District of Algoma,Electoral District:08
Thunder Bay Regional,Health Sciences Centre,Thunder Bay ON  P7B 6V4,Canada,Phone:807 684 6000,County:District of Thunder Bay,Electoral District:09</t>
  </si>
  <si>
    <t>Sault Area Hospital:Sault Ste Marie
St Joseph's Health Centre,Toronto:Toronto
St Michael's Hospital:Toronto
Thunder Bay Regional Health Sciences Centre:Thunder Bay
Timmins and District Hospital:Timmins</t>
  </si>
  <si>
    <t>Psychiatry||Effective: 11 Jun 1990||RCPSC Specialist
Family Medicine||Effective: 01 Jun 1979||CFPC Specialist</t>
  </si>
  <si>
    <t>University of Toronto, 01 Jul 1986  to 30 Jun 1987|Resident 1 - Psychiatry
University of Toronto, 01 Jul 1987  to 30 Jun 1988|Resident 2 - Psychiatry
University of Toronto, 01 Jul 1988  to 30 Jun 1989|Resident 3 - Psychiatry
University of Toronto, 01 Jul 1989  to 30 Jun 1990|Resident 4 - Psychiatry</t>
  </si>
  <si>
    <t>First certificate of registration issued: Postgraduate Education Certificate||Effective:   01 Jul 1971
Subsequent certificate of registration Issued: Independent Practice Certificate||Effective:   20 Jun 1972</t>
  </si>
  <si>
    <t>Dr. Tyrone Turner Medicine Professional Corporation</t>
  </si>
  <si>
    <t>Dr. T. Turner (CPSO# 24637)</t>
  </si>
  <si>
    <t>Sault Area Hospital,750 Great Northern Road,Sault Ste Marie ON  P8A 0A8,(705) 759-3434
Health Sciences Centre,Health Sciences Centre,980 Oliver Road,Thunder Bay ON  P7B 6V4,(807) 684-6000
St Michaels Hospital,St Michaels Hospital,Innercity Health,30 Bond Street,Toronto ON  M5C 1R8,(416) 368-5666
Suite 5G-123,Suite 5G-123,Department of Psychiatry,30 The Queensway,Toronto ON  M6R 1B5,(416) 530-6000</t>
  </si>
  <si>
    <t>110853</t>
  </si>
  <si>
    <t xml:space="preserve">Independent Practice as of 09 Nov 2017 </t>
  </si>
  <si>
    <t>(705) 759-3434 Ext. 4615, 4603</t>
  </si>
  <si>
    <t>SAULT AREA HOSPITAL ADDICTION,TREATMENT CLINIC,123 East Street,Sault Ste Marie ON  P6A 3C7,Canada,County:Territorial District of Algoma,Electoral District:08</t>
  </si>
  <si>
    <t>First certificate of registration issued: Restricted certificate||Effective:   06 Sep 2016
Terms and conditions imposed on certificate by Registration Committee||Effective:   06 Sep 2016
Expiry date attached to certificate of registration.||Expiry Date: 05 Sep 2019
Expired: Terms and conditions imposed on certificate by Registration Committee||Effective:   09 Nov 2017
Subsequent certificate of registration Issued: Independent Practice Certificate||Effective:   09 Nov 2017</t>
  </si>
  <si>
    <t>Dr. Uchenna Anyogu Medicine Professional Corporation</t>
  </si>
  <si>
    <t>Issued Date:  Sep 15 2016</t>
  </si>
  <si>
    <t>Dr. U. Anyogu (CPSO# 110853)</t>
  </si>
  <si>
    <t>Sault Area Hospital,750 Great Northern Road,Sault Ste Marie ON  P6B 0A8,(705) 759-3434
123 East Street,123 East Street,Sault Ste Marie ON  P6A 3C7</t>
  </si>
  <si>
    <t>114294</t>
  </si>
  <si>
    <t>Precision Medical Centre,104-613 Longfields Dr,Ottawa ON  K2J 6J2</t>
  </si>
  <si>
    <t>6134407762</t>
  </si>
  <si>
    <t>Psychiatry||Effective: 22 Dec 2017||CPSO Recognized Specialist</t>
  </si>
  <si>
    <t>First certificate of registration issued: Restricted certificate||Effective:   22 Dec 2017
Terms and conditions imposed on certificate by Registration Committee||Effective:   22 Dec 2017
Expiry date attached to certificate of registration.||Expiry Date: 12 Dec 2019</t>
  </si>
  <si>
    <t>Uchenna Ofokansi Medicine Professional Corporation</t>
  </si>
  <si>
    <t>Issued Date:  May 09 2018</t>
  </si>
  <si>
    <t>Dr. U. Ofokansi (CPSO# 114294)</t>
  </si>
  <si>
    <t>Precision Medical Centre,Suite 104,613 Longfield Avenue,Ottawa ON  K2J 6J2,(613) 440-7762</t>
  </si>
  <si>
    <t>68517</t>
  </si>
  <si>
    <t xml:space="preserve">Active Member as of 18 Aug 1994 </t>
  </si>
  <si>
    <t xml:space="preserve">Independent Practice as of 18 Aug 1994 </t>
  </si>
  <si>
    <t>Dalhousie University, 1986</t>
  </si>
  <si>
    <t>The Hospital for Sick Children,Telepsychiatry Program,7th Floor,525 University Avenue,Toronto ON  M5G 2L3</t>
  </si>
  <si>
    <t>(416) 705-3757</t>
  </si>
  <si>
    <t>23A Castle Frank Crescent,Toronto ON  M4W 3A2,Canada,Phone:(416) 705-3757,Fax:(416) 813-2189,County:City of Toronto,Electoral District:10</t>
  </si>
  <si>
    <t>First certificate of registration issued: Independent Practice Certificate||Effective:   18 Aug 1994</t>
  </si>
  <si>
    <t>Umesh Ravi Jain Medicine Professional Corporation</t>
  </si>
  <si>
    <t>Issued Date:  Jan 11 2010</t>
  </si>
  <si>
    <t>Dr. U. Jain (CPSO# 68517)</t>
  </si>
  <si>
    <t>23 Castle Frank Crescent,Toronto ON  M4W 3A2,(416) 705-3757</t>
  </si>
  <si>
    <t>88524</t>
  </si>
  <si>
    <t>SickKids CCMH,114 Maitland Street,Toronto ON  M4Y 1E1</t>
  </si>
  <si>
    <t>416-924-1164 Ext. 3101</t>
  </si>
  <si>
    <t>416-924-8208</t>
  </si>
  <si>
    <t>Sault Area Hospital,750 Great Northern Road,Sault Ste Marie ON  P6B 0A8,Canada,County:Territorial District of Algoma,Electoral District:08
NEOFACS,29 Kolb Avenue,Kapuskasing ON  P5N 1G2,Canada,Phone:(705) 335-2445,County:Territorial District of Cochrane,Electoral District:08
The George Hull Centre,for Children and Families,81 The East Mall, Third Floor,Etobicoke ON  M8Z 5W3,Canada,Phone:(416) 622-8833,Fax:416-622-7068,County:City of Toronto,Electoral District:10</t>
  </si>
  <si>
    <t>McMaster University, 01 Jul 2008  to 30 Jun 2009|PostGrad Yr 1 - Psychiatry
University of Toronto, 01 Jul 2009  to 30 Jun 2010|PostGrad Yr 2 - Psychiatry
University of Toronto, 01 Jul 2010  to 30 Jun 2011|PostGrad Yr 3 - Psychiatry
University of Toronto, 01 Jul 2011  to 30 Jun 2012|PostGrad Yr 4 - Psychiatry
University of Toronto, 01 Jul 2012  to 30 Jun 2013|PostGrad Yr 5 - Psychiatry
University of Toronto, 01 Jul 2013  to 30 Jun 2014|PostGrad Yr 6 - Paediatric Psychiatry</t>
  </si>
  <si>
    <t>Upasana Krishnadev Medicine Professional Corporation</t>
  </si>
  <si>
    <t>Issued Date:  Oct 23 2015</t>
  </si>
  <si>
    <t>Dr. U. Krishnadev (CPSO# 88524)</t>
  </si>
  <si>
    <t>The Hincks-Dellcrest Centre,114 Maitland Street,Toronto ON  M4Y 1E1,(416) 924-1164</t>
  </si>
  <si>
    <t>63067</t>
  </si>
  <si>
    <t xml:space="preserve">Active Member as of 23 Aug 1990 </t>
  </si>
  <si>
    <t xml:space="preserve">Independent Practice as of 06 Feb 1997 </t>
  </si>
  <si>
    <t>Punjabi University, 1985</t>
  </si>
  <si>
    <t>Suite 141,1959-152nd Street,Surrey BC  V4A 9E3</t>
  </si>
  <si>
    <t>(604) 542-1190</t>
  </si>
  <si>
    <t>(604) 542-1191</t>
  </si>
  <si>
    <t>University of Toronto, 01 Jul 1990  to 30 Jun 1991|Resident 1 - Psychiatry
University of Toronto, 01 Jul 1991  to 30 Jun 1992|Resident 2 - Psychiatry
University of Toronto, 01 Jul 1992  to 30 Jun 1993|Resident 3 - Psychiatry
University of Toronto, 01 Jul 1993  to 17 Aug 1993|Resident 3 - Psychiatry
University of Toronto, 18 Aug 1993  to 30 Jun 1994|Resident 4 - Psychiatry
University of Toronto, 01 Jul 1994  to 30 Jun 1995|Resident 4 - Psychiatry
University of Toronto, 01 Jul 1995  to 30 Jun 1996|Resident 4 - Psychiatry
University of Toronto, 01 Jul 1996  to 05 Feb 1997|Clinical Fellow - Psychiatry</t>
  </si>
  <si>
    <t>First certificate of registration issued: Postgraduate Education Certificate||Effective:   23 Aug 1990
Transfer of class of registration to: Independent Practice Certificate||Effective:   06 Feb 1997</t>
  </si>
  <si>
    <t>69727</t>
  </si>
  <si>
    <t xml:space="preserve">Active Member as of 02 Jan 1996 </t>
  </si>
  <si>
    <t xml:space="preserve">Independent Practice as of 02 Jan 1996 </t>
  </si>
  <si>
    <t>University of Medicine and Pharmacy, 1982</t>
  </si>
  <si>
    <t>Lake Of The Woods District Hospital,21 Sylvan Street,Kenora ON  P9N 3W7</t>
  </si>
  <si>
    <t>(807) 468-9861 Ext. 2262</t>
  </si>
  <si>
    <t>(807) 468-1428</t>
  </si>
  <si>
    <t>Kenora District ACT Team Connection,2nd Floor,227 Second Street,CMHA Kenora,Kenora ON  P9N 1G1,Canada,Phone:(807) 468-4215,Fax:(807) 468-6446,County:District of Kenora,Electoral District:09</t>
  </si>
  <si>
    <t>Dryden Regional Health Centre:Dryden
La Verendrye Hospital,Riverside Health Care Facilities:Fort Frances
Lake of the Woods District Hospital:Kenora</t>
  </si>
  <si>
    <t>First certificate of registration issued: Independent Practice Certificate||Effective:   02 Jan 1996</t>
  </si>
  <si>
    <t>Dr. U. Zahlan Medicine Professional Corporation</t>
  </si>
  <si>
    <t>Dr. U. Zahlan (CPSO# 69727)</t>
  </si>
  <si>
    <t>Lake of the Woods District Hospital,21 Sylvan Street,Kenora ON  P9N 3W7,(807) 468-9861
CMHA - Kenora Branch,CMHA - Kenora Branch,227 Second Street South,Kenora ON  P9N 1G1,(807) 468-4215</t>
  </si>
  <si>
    <t>85359</t>
  </si>
  <si>
    <t>English, Hindi, Tamil</t>
  </si>
  <si>
    <t>St Josephs Healthcare,Department of Emergency Psychiatry,50 Charlton Ave. E,Hamilton,Hamilton ON  L8N 4A6</t>
  </si>
  <si>
    <t>McMaster University, 08 Jul 2006  to 22 Jul 2006|PEAP - Resident - Psychiatry
McMaster University, 23 Jul 2006  to 31 Dec 2006|PostGrad Yr 5 - Psychiatry
McMaster University, 01 Jan 2007  to 31 Dec 2007|Clinical Fellow - Psychiatry</t>
  </si>
  <si>
    <t>First certificate of registration issued: Pre Entry Assessment Program Certificate||Effective:   08 Jul 2006
Transfer of class of registration to: Postgraduate Education Certificate||Effective:   23 Jul 2006
Transfer of class of registration to: Postgraduate Education Certificate||Effective:   01 Jan 2007
Expired: Terms and conditions of certificate of registration||Expiry:      31 Dec 2007
Subsequent certificate of registration Issued: Independent Practice Certificate||Effective:   12 Mar 2008</t>
  </si>
  <si>
    <t>76987</t>
  </si>
  <si>
    <t xml:space="preserve">Active Member as of 09 May 2007 </t>
  </si>
  <si>
    <t xml:space="preserve">Independent Practice as of 09 May 2007 </t>
  </si>
  <si>
    <t>Trillium Health Centre,Room 1023 Main Floor,100 Queensway West,Mississauga ON  L5B 1B8</t>
  </si>
  <si>
    <t>(905) 848-7580 Ext. 2182</t>
  </si>
  <si>
    <t>(905) 804-7969</t>
  </si>
  <si>
    <t>Psychiatry||Effective: 25 Jun 1997||RCPSC Specialist</t>
  </si>
  <si>
    <t>First certificate of registration issued: Short Duration Supervised Practice Certificate||Effective:   20 Aug 2001
Expired: Terms and conditions of certificate of registration||Expiry:      20 Sep 2001
Subsequent certificate of registration Issued: Short Duration Supervised Practice Certificate||Effective:   26 Jul 2004
Expired: Terms and conditions of certificate of registration||Expiry:      22 Aug 2004
Subsequent certificate of registration Issued: Independent Practice Certificate||Effective:   09 May 2007</t>
  </si>
  <si>
    <t>U. Wadhwa Medicine Professional Corporation</t>
  </si>
  <si>
    <t>Issued Date:  Feb 24 2011</t>
  </si>
  <si>
    <t>Dr. U. Wadhwa (CPSO# 76987)</t>
  </si>
  <si>
    <t>Trillium Health Centre,Room 1023 Main Floor,100 Queensway West,Mississauga ON  L5B 1B8,(905) 848-7557</t>
  </si>
  <si>
    <t>75976</t>
  </si>
  <si>
    <t>Beletsky, Vadim Yurievitch (used until: 30 Sep 2014 )</t>
  </si>
  <si>
    <t>I.M. Sechenov Moscow Medical Academy, 1989</t>
  </si>
  <si>
    <t>St Joseph's Health Care London,Parkwood Institute H4,PO BOX 5777  /  STN B,London ON N6A 4V2,London ON  N6C 0A7</t>
  </si>
  <si>
    <t>Psychiatry||Effective: 12 Jul 2014||RCPSC Specialist</t>
  </si>
  <si>
    <t>University of Toronto, 01 Jan 2001  to 31 Dec 2001|Clinical Fellow - Neurology
The University of Western Ontario, 28 May 2002  to 27 May 2003|Clinical Fellow - Neurology
The University of Western Ontario, 28 May 2003  to 30 Jun 2003|Clinical Fellow - Neurology
The University of Western Ontario, 01 Jul 2003  to 30 Jun 2004|Clinical Fellow - Neurology
The University of Western Ontario, 01 Jul 2004  to 30 Jun 2005|Clinical Fellow - Neurology
The University of Western Ontario, 01 Jul 2005  to 30 Jun 2006|Clinical Fellow - Neurology
The University of Western Ontario, 01 Jul 2006  to 31 Dec 2006|Clinical Fellow - Neurology
The University of Western Ontario, 01 Jul 2008  to 30 Jun 2009|Clinical Fellow - Neurology
The University of Western Ontario, 01 Jul 2009  to 21 Sep 2009|Assessment Verification Period - Psychiatry
The University of Western Ontario, 22 Sep 2009  to 30 Jun 2010|PostGrad Yr 1 - Psychiatry
The University of Western Ontario, 01 Jul 2010  to 30 Jun 2011|PostGrad Yr 2 - Psychiatry
The University of Western Ontario, 01 Jul 2011  to 30 Jun 2012|PostGrad Yr 3 - Psychiatry
The University of Western Ontario, 01 Jul 2012  to 12 Jul 2012|PostGrad Yr 3 - Psychiatry
The University of Western Ontario, 13 Jul 2012  to 30 Jun 2013|PostGrad Yr 4 - Psychiatry
The University of Western Ontario, 01 Jul 2013  to 12 Jul 2013|PostGrad Yr 4 - Psychiatry
The University of Western Ontario, 13 Jul 2013  to 30 Jun 2014|PostGrad Yr 5 - Psychiatry
The University of Western Ontario, 01 Jul 2014  to 12 Jul 2014|PostGrad Yr 5 - Psychiatry</t>
  </si>
  <si>
    <t>First certificate of registration issued: Postgraduate Education Certificate||Effective:   12 Apr 2001
Expired: Terms and conditions of certificate of registration||Expiry:      31 Dec 2001
Subsequent certificate of registration issued: Restricted certificate||Effective:   28 May 2002
Terms and conditions amended by Registration Committee||Effective:   20 May 2003
Expired: Terms and conditions imposed on certificate by Registration Committee||Effective:   31 Dec 2006
Subsequent certificate of registration issued: Restricted certificate||Effective:   01 Jul 2008
Expired: Terms and conditions imposed on certificate by Registration Committee||Effective:   30 Jun 2009
Subsequent certificate of registration Issued: Pre Entry Assessment Program Certificate||Effective:   01 Jul 2009
Transfer of class of registration to: Postgraduate Education Certificate||Effective:   22 Sep 2009
Expired: Terms and conditions of certificate of registration||Expiry:      12 Jul 2014
Subsequent certificate of registration Issued: Independent Practice Certificate||Effective:   14 Jul 2014</t>
  </si>
  <si>
    <t>Vadim Beletsky Medicine Professional Corporation</t>
  </si>
  <si>
    <t>Issued Date:  Jul 22 2014</t>
  </si>
  <si>
    <t>Dr. V. Beletsky (CPSO# 75976)</t>
  </si>
  <si>
    <t>Parkwood Institute,Mental Health Care Building,550 Wellington Road,London ON  N6C 0A7,(519) 455-5110</t>
  </si>
  <si>
    <t>52245</t>
  </si>
  <si>
    <t xml:space="preserve">Active Member as of 18 Jul 1985 </t>
  </si>
  <si>
    <t>Donetsk Medical Institute, 1963</t>
  </si>
  <si>
    <t>(613) 722-6521 Ext. 7073</t>
  </si>
  <si>
    <t>First certificate of registration issued: Postgraduate Education Certificate||Effective:   01 Feb 1981
Expired: Terms and conditions of certificate of registration||Expiry:      30 Jun 1985
Subsequent certificate of registration Issued: Independent Practice Certificate||Effective:   18 Jul 1985</t>
  </si>
  <si>
    <t>61678</t>
  </si>
  <si>
    <t xml:space="preserve">Active Member as of 08 Sep 1989 </t>
  </si>
  <si>
    <t xml:space="preserve">Independent Practice as of 19 May 1993 </t>
  </si>
  <si>
    <t>Alexandra Marine and General,Hospital,120 Napier Street,Goderich ON  N7A 1W5</t>
  </si>
  <si>
    <t>Psychiatry||Effective: 31 Aug 1993||RCPSC Specialist</t>
  </si>
  <si>
    <t>The University of Western Ontario, 01 Jul 1993  to 31 Aug 1993|Resident 4 - Psychiatry</t>
  </si>
  <si>
    <t>First certificate of registration issued: Postgraduate Education Certificate||Effective:   08 Sep 1989
Transfer of class of registration to: Independent Practice Certificate||Effective:   19 May 1993</t>
  </si>
  <si>
    <t>103646</t>
  </si>
  <si>
    <t xml:space="preserve">Independent Practice as of 28 Oct 2015 </t>
  </si>
  <si>
    <t>Montford Hospital,713 Montreal Road,Ottawa ON  K1K 0T2</t>
  </si>
  <si>
    <t>613-746-4621 Ext. 3932</t>
  </si>
  <si>
    <t>University of Ottawa, 01 Jul 2014  to 27 Jul 2014|Elective Trainee - Psychiatry
The University of Western Ontario, 01 Jul 2015  to 11 Dec 2015|Clinical Fellow - Child and Adolescent Psychiatry</t>
  </si>
  <si>
    <t>First certificate of registration issued: Postgraduate Education Certificate||Effective:   01 Jul 2014
Expired: Terms and conditions of certificate of registration||Expiry:      27 Jul 2014
Subsequent certificate of registration Issued: Postgraduate Education Certificate||Effective:   01 Jul 2015
Transfer of class of registration to: Independent Practice Certificate||Effective:   28 Oct 2015</t>
  </si>
  <si>
    <t>Dr. Valerie Giroux Medicine Professional Corporation</t>
  </si>
  <si>
    <t>Issued Date:  Nov 03 2016</t>
  </si>
  <si>
    <t>Dr. V. Giroux (CPSO# 103646)</t>
  </si>
  <si>
    <t>Montford Hospital,713 Montreal Road,Ottawa ON  K1K 0T2,(613) 746-4621</t>
  </si>
  <si>
    <t>73630</t>
  </si>
  <si>
    <t>Memorial University of Newfoundland, 1999</t>
  </si>
  <si>
    <t>Women's College Hospital,9th Floor,76 Grenville Street,Toronto ON  M5S 1B2</t>
  </si>
  <si>
    <t>(416) 323-6400 Ext. 4381</t>
  </si>
  <si>
    <t>(416) 323-7718</t>
  </si>
  <si>
    <t>McMaster University, 01 Jul 1999  to 30 Jun 2000|PostGrad Yr 1 - Psychiatry
McMaster University, 01 Jul 2000  to 30 Jun 2001|PostGrad Yr 2 - Psychiatry
McMaster University, 01 Jul 2001  to 30 Jun 2002|PostGrad Yr 3 - Psychiatry
McMaster University, 01 Jul 2002  to 30 Jun 2003|PostGrad Yr 4 - Psychiatry
McMaster University, 01 Jul 2003  to 30 Jun 2004|PostGrad Yr 5 - Psychiatry
McMaster University, 01 Jul 2004  to 30 Jun 2005|Clinical Fellow - Psychiatry
McMaster University, 01 Jul 2005  to 30 Jun 2006|Clinical Fellow - Clinician Investigator
McMaster University, 01 Jul 2006  to 30 Jun 2007|Clinical Fellow - Clinician Investigator
McMaster University, 01 Jul 2007  to 30 Jun 2008|Clinical Fellow - Clinician Investigator</t>
  </si>
  <si>
    <t>Valerie Taylor Medicine Professional Corporation</t>
  </si>
  <si>
    <t>Issued Date:  Jan 14 2016</t>
  </si>
  <si>
    <t>Dr. V. Taylor (CPSO# 73630)</t>
  </si>
  <si>
    <t>Women's College Hospital,9th Floor,76 Grenville Street,Toronto ON  M5S 1B2,(416) 627-9641</t>
  </si>
  <si>
    <t>42423</t>
  </si>
  <si>
    <t xml:space="preserve">Active Member as of 26 Jun 1978 </t>
  </si>
  <si>
    <t>National University of Ireland, 1971</t>
  </si>
  <si>
    <t>Providence Continuing Care Centre,Mental Health Services,525 Montreal Street,Kingston ON  K7K 3H9</t>
  </si>
  <si>
    <t>(613) 540-6165 Ext. 4202</t>
  </si>
  <si>
    <t>(613) 547-0654</t>
  </si>
  <si>
    <t>First certificate of registration issued: Postgraduate Education Certificate||Effective:   26 Jun 1978
Transfer of class of registration to: Hospital Practice Certificate||Effective:   01 Jan 1981
Transfer of class of registration to: Independent Practice Certificate||Effective:   22 Aug 1990</t>
  </si>
  <si>
    <t>89492</t>
  </si>
  <si>
    <t xml:space="preserve">Active Member as of 06 Sep 2013 </t>
  </si>
  <si>
    <t xml:space="preserve">Independent Practice as of 06 Sep 2013 </t>
  </si>
  <si>
    <t>University of Sherbrooke, 2008</t>
  </si>
  <si>
    <t>Psychiatry||Effective: 21 Jul 2013||RCPSC Specialist</t>
  </si>
  <si>
    <t>University of Ottawa, 01 Jul 2008  to 30 Jun 2009|PostGrad Yr 1 - Psychiatry
University of Ottawa, 01 Jul 2009  to 21 Jul 2009|PostGrad Yr 1 - Psychiatry
University of Ottawa, 22 Jul 2009  to 30 Jun 2010|PostGrad Yr 2 - Psychiatry
University of Ottawa, 01 Jul 2010  to 30 Jun 2011|PostGrad Yr 3 - Psychiatry
University of Ottawa, 01 Jul 2011  to 21 Jul 2011|PostGrad Yr 3 - Psychiatry
University of Ottawa, 22 Jul 2011  to 21 Jul 2012|PostGrad Yr 4 - Psychiatry
University of Ottawa, 22 Jul 2012  to 30 Jun 2013|PostGrad Yr 5 - Psychiatry
University of Ottawa, 01 Jul 2013  to 21 Jul 2013|PostGrad Yr 5 - Psychiatry</t>
  </si>
  <si>
    <t>First certificate of registration issued: Postgraduate Education Certificate||Effective:   01 Jul 2008
Expired: Terms and conditions of certificate of registration||Expiry:      21 Jul 2013
Subsequent certificate of registration Issued: Independent Practice Certificate||Effective:   06 Sep 2013</t>
  </si>
  <si>
    <t>71557</t>
  </si>
  <si>
    <t xml:space="preserve">Active Member as of 18 Dec 2008 </t>
  </si>
  <si>
    <t xml:space="preserve">Independent Practice as of 18 Dec 2008 </t>
  </si>
  <si>
    <t>Addenbrookes Hospital,Cambridge CB20QQ,United Kingdom</t>
  </si>
  <si>
    <t>44 1223 761 32</t>
  </si>
  <si>
    <t>University of Toronto, 01 Jul 1997  to 30 Jun 1998|PostGrad Yr 1 - Psychiatry
University of Toronto, 01 Jul 1998  to 31 Dec 1998|PostGrad Yr 1 - Internal Medicine
University of Toronto, 01 Jan 1999  to 31 Dec 1999|PostGrad Yr 2 - Psychiatry
University of Toronto, 01 Jan 2000  to 31 Dec 2000|PostGrad Yr 3 - Psychiatry
University of Toronto, 01 Jan 2001  to 30 Jun 2001|PostGrad Yr 4 - Psychiatry
University of Toronto, 01 Jul 2001  to 30 Jun 2002|PostGrad Yr 5 - Psychiatry</t>
  </si>
  <si>
    <t>First certificate of registration issued: Postgraduate Education Certificate||Effective:   01 Jul 1997
Transfer of class of registration to: Independent Practice Certificate||Effective:   30 Jun 2002
Expired: Failure to Renew Membership||Expiry:      11 Aug 2007
Subsequent certificate of registration Issued: Independent Practice Certificate||Effective:   18 Dec 2008</t>
  </si>
  <si>
    <t>58449</t>
  </si>
  <si>
    <t xml:space="preserve">Independent Practice as of 26 Sep 1988 </t>
  </si>
  <si>
    <t>421 Eglinton Ave. West,Unit 1,Toronto ON  M5N 1A4</t>
  </si>
  <si>
    <t>(416) 968-0660</t>
  </si>
  <si>
    <t>The University of Western Ontario, 15 Jun 1987  to 14 Jun 1988|Other - Comprehensive Internship
University of Toronto, 01 Jul 1988  to 30 Jun 1989|Resident 1 - Psychiatry
University of Toronto, 01 Jul 1989  to 30 Jun 1990|Resident 2 - Psychiatry
University of Toronto, 01 Jul 1990  to 30 Jun 1991|Resident 3 - Psychiatry
University of Toronto, 01 Jul 1991  to 30 Jun 1992|Resident 4 - Psychiatry</t>
  </si>
  <si>
    <t>First certificate of registration issued: Postgraduate Education Certificate||Effective:   15 Jun 1987
Transfer of class of registration to: Independent Practice Certificate||Effective:   26 Sep 1988</t>
  </si>
  <si>
    <t>95992</t>
  </si>
  <si>
    <t xml:space="preserve">Active Member as of 27 Sep 2016 </t>
  </si>
  <si>
    <t xml:space="preserve">Independent Practice as of 27 Sep 2016 </t>
  </si>
  <si>
    <t>The University of Manitoba, 2010</t>
  </si>
  <si>
    <t>Mood Disorders Program,St. Joseph's Healthcare Hamilton,West 5th Campus,100 West 5th Street,Hamilton ON  L8N 3K7</t>
  </si>
  <si>
    <t>905-522-1155 Ext. 33605</t>
  </si>
  <si>
    <t>Psychiatric Emergency Services,St. Joseph's Healthcare Hamilton,50 Charlton Street East,Hamilton ON  L8N 4A6,Canada,Phone:905-522-1155,County:Regional Municipality of Hamilton-Wentworth,Electoral District:04</t>
  </si>
  <si>
    <t>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t>
  </si>
  <si>
    <t>First certificate of registration issued: Postgraduate Education Certificate||Effective:   01 Jul 2011
Expired: Terms and conditions of certificate of registration||Expiry:      30 Jun 2015
Subsequent certificate of registration Issued: Independent Practice Certificate||Effective:   27 Sep 2016</t>
  </si>
  <si>
    <t>Dr. V. Lentz Medicine Professional Corporation</t>
  </si>
  <si>
    <t>Issued Date:  Mar 20 2018</t>
  </si>
  <si>
    <t>Dr. V. Lentz (CPSO# 95992)</t>
  </si>
  <si>
    <t>Women's Health Concerns Clinic,St. Joseph's Healthcare Hamilton,100 West 5th Street, West 5th Campus,Mood Disorders Program,Hamilton ON  L8N 3K7,(905) 522-1155
50 Charlton Avenue East,50 Charlton Avenue East,Hamilton ON  L8N 4A6,(905) 522-1155</t>
  </si>
  <si>
    <t>105156</t>
  </si>
  <si>
    <t xml:space="preserve">Active Member as of 01 May 2015 </t>
  </si>
  <si>
    <t>Toronto General Hospital,Department of Psychiatry,200 Elizabeth Street,Toronto ON  M5G 2C4</t>
  </si>
  <si>
    <t>(416) 340-4800</t>
  </si>
  <si>
    <t>Ontario Shores Centre for Mental Health Sciences:Whitby
University Health Network,Toronto General Hospital Site:Toronto
University Health Network,Toronto Rehabilitation Institute:Toronto
University Health Network,Toronto Western Hospital Site:Toronto</t>
  </si>
  <si>
    <t>University of Toronto, 01 Dec 2014  to 28 Feb 2015|Elective Trainee - Psychiatry
University of Toronto, 01 May 2015  to 30 Jun 2015|Elective Trainee - Psychiatry
University of Toronto, 01 Jul 2015  to 30 Jun 2016|PostGrad Yr 6 - Geriatric Psychiatry
University of Toronto, 01 Jul 2016  to 31 Mar 2017|PostGrad Yr 6 - Geriatric Psychiatry</t>
  </si>
  <si>
    <t>First certificate of registration issued: Postgraduate Education Certificate||Effective:   01 Dec 2014
Expired: Terms and conditions of certificate of registration||Expiry:      28 Feb 2015
Subsequent certificate of registration Issued: Postgraduate Education Certificate||Effective:   01 May 2015
Transfer of class of registration to: Independent Practice Certificate||Effective:   30 Jun 2015</t>
  </si>
  <si>
    <t>54053</t>
  </si>
  <si>
    <t xml:space="preserve">Active Member as of 01 Jun 1984 </t>
  </si>
  <si>
    <t>Varadaraj, Rajagopal (used until: 09 Jun 1989 )</t>
  </si>
  <si>
    <t>English, Hindi, Tamil, Telugu</t>
  </si>
  <si>
    <t>Osmania University, 1970</t>
  </si>
  <si>
    <t>Psychiatrist Member, CCB,,151 Bloor St West, 10th Floor,Toronto, On  M5S 2C7,Toronto ON  M5S 2C7</t>
  </si>
  <si>
    <t>416-327-4142</t>
  </si>
  <si>
    <t>416-327-4207</t>
  </si>
  <si>
    <t>First certificate of registration issued: Academic Practice Certificate||Effective:   01 Jun 1984
Transfer of class of certificate to: Restricted certificate||Effective:   15 Dec 1988
Terms and conditions imposed on certificate by Registration Committee||Effective:   15 Dec 1988</t>
  </si>
  <si>
    <t>Dr. Velamoor Medicine Professional Corporation</t>
  </si>
  <si>
    <t>Dr. V. Velamoor (CPSO# 54053)</t>
  </si>
  <si>
    <t>151 Bloor Street West,10th Floor,Toronto ON  M5S 2C7</t>
  </si>
  <si>
    <t>66064</t>
  </si>
  <si>
    <t xml:space="preserve">Active Member as of 21 Oct 1992 </t>
  </si>
  <si>
    <t xml:space="preserve">Independent Practice as of 21 Oct 1992 </t>
  </si>
  <si>
    <t>North York General Hospital,Branson Division,555 Finch Avenue West,Toronto ON  M2R 1N5</t>
  </si>
  <si>
    <t>(416) 633-9420 Ext. 16103</t>
  </si>
  <si>
    <t>First certificate of registration issued: Independent Practice Certificate||Effective:   21 Oct 1992</t>
  </si>
  <si>
    <t>Raghuraman Medicine Professional Corporation</t>
  </si>
  <si>
    <t>Issued Date:  Jul 17 2007</t>
  </si>
  <si>
    <t>Dr. V. Raghuraman (CPSO# 66064)</t>
  </si>
  <si>
    <t>555 Finch Avenue West,Suite 118,Toronto ON  M2R 1N5,(416) 633-9420</t>
  </si>
  <si>
    <t>60698</t>
  </si>
  <si>
    <t xml:space="preserve">Independent Practice as of 29 Aug 1990 </t>
  </si>
  <si>
    <t>Punjab University India, 1984</t>
  </si>
  <si>
    <t>(519) 434-9666</t>
  </si>
  <si>
    <t>(519) 434-9952</t>
  </si>
  <si>
    <t>Unit F,1553 Dundas Street,London ON  N5W 5Y5,Canada,Phone:(519) 434-9666,Fax:(519) 434-9952,County:County of Middlesex,Electoral District:02
Unit 7,971 Commissioners Road East,London ON  N5Z 3H9,Canada,Phone:(519) 473-7716,Fax:(519) 473-1571,County:County of Middlesex,Electoral District:02</t>
  </si>
  <si>
    <t>London Health Sciences Centre Victoria Hospital:London
London Health Sciences Centre,University Site:London
St Joseph Health Care,London- Mental Health:London
St Joseph's Health Care,London - Parkwood Hospital:London
St Joseph's Health Care,St Thomas Mental Health Site:St Thomas
St Joseph's Health Care-St Joseph's Site,London:London
St Thomas-Elgin General Hospital:St Thomas</t>
  </si>
  <si>
    <t>The University of Western Ontario, 01 Jul 1994  to 31 Dec 1994|Clinical Fellow - Psychiatry</t>
  </si>
  <si>
    <t>First certificate of registration issued: Postgraduate Education Certificate||Effective:   15 Jun 1989
Transfer of class of registration to: Independent Practice Certificate||Effective:   29 Aug 1990</t>
  </si>
  <si>
    <t>Varinder Dua Medicine Professional Corporation</t>
  </si>
  <si>
    <t>Dr. V. Dua (CPSO# 60698)</t>
  </si>
  <si>
    <t>550 Wellington Road South,London ON  N6C 0A7,(519) 434-9666
1553 Dundas Street,1553 Dundas Street,Unit F,London ON  N5W 5Y5,(519) 434-9666
7 - 971 Commissioners Road East,7 - 971 Commissioners Road East,London ON  N5Z 3H9,(519) 473-7716</t>
  </si>
  <si>
    <t>91427</t>
  </si>
  <si>
    <t xml:space="preserve">Active Member as of 20 Nov 2012 </t>
  </si>
  <si>
    <t>Kasturba Medical College, 2004</t>
  </si>
  <si>
    <t>Lakeridge Health,Oshawa,1 Hospital Court,Oshawa ON  L1G 2B9</t>
  </si>
  <si>
    <t>First certificate of registration issued: Pre Entry Assessment Program Certificate||Effective:   01 Jul 2009
Transfer of class of registration to: Postgraduate Education Certificate||Effective:   23 Sep 2009
Expired: Terms and conditions of certificate of registration||Expiry:      20 Nov 2012
Subsequent certificate of registration issued: Restricted certificate||Effective:   20 Nov 2012
Transfer of class of registration to: Independent Practice Certificate||Effective:   30 Jun 2014</t>
  </si>
  <si>
    <t>Dr. Vanderjit Parmar Medicine Professional Corporation</t>
  </si>
  <si>
    <t>Issued Date:  Apr 25 2014</t>
  </si>
  <si>
    <t>Dr. V. Parmar (CPSO# 91427)</t>
  </si>
  <si>
    <t>Lakeridge Health - Bowmanville Division,1 Hospital Court,Oshawa ON  L1G 2B9</t>
  </si>
  <si>
    <t>105504</t>
  </si>
  <si>
    <t xml:space="preserve">Active Member as of 24 Sep 2018 </t>
  </si>
  <si>
    <t xml:space="preserve">Restricted as of 24 Sep 2018 </t>
  </si>
  <si>
    <t>English, Hindi, Panjabi/Punjabi, Tamil, Telugu</t>
  </si>
  <si>
    <t>Sri Venkatesvara University, 1998</t>
  </si>
  <si>
    <t>London Health Sciences Centre,Department of Psychiatry,800 Commissioners Rd E,London ON  N6A 5W9</t>
  </si>
  <si>
    <t>Psychiatry||Effective: 24 Sep 2018||CPSO Recognized Specialist</t>
  </si>
  <si>
    <t>First certificate of registration issued: Restricted certificate||Effective:   01 Mar 2015
Terms and conditions imposed on certificate by Registration Committee||Effective:   01 Mar 2015
Expiry date attached to certificate of registration.||Expiry Date: 15 Jan 2017
Expired: Resigned from membership.||Expiry:      01 Jul 2016
Subsequent certificate of registration issued: Restricted certificate||Effective:   24 Sep 2018
Expiry as per terms and conditions imposed on certificate||Expiry Date: 30 Jun 2021</t>
  </si>
  <si>
    <t>Vasavi Raju Poolacherla Medicine Professional Corporation</t>
  </si>
  <si>
    <t>Inactive: Jul 22 2016</t>
  </si>
  <si>
    <t>42486</t>
  </si>
  <si>
    <t>Mysore University, 1973</t>
  </si>
  <si>
    <t>4283 Village Center Court,Mississauga ON  L4Z 1S2</t>
  </si>
  <si>
    <t>(416) 560-1949</t>
  </si>
  <si>
    <t>(905) 625-9866</t>
  </si>
  <si>
    <t>Probation Services,155 Clark Boulevard unit15,Brampton ON  L6T 4G6,Canada,Phone:(416) 560-1949,County:Regional Municipality of Peel,Electoral District:05
Probation Services,Unit 9,100 East Mall,Etobicoke ON  M8Z 5X2,Canada,Phone:416-560-1949,County:City of Toronto,Electoral District:10</t>
  </si>
  <si>
    <t>First certificate of registration issued: Postgraduate Education Certificate||Effective:   01 Jul 1977
Transfer of class of registration to: Hospital Practice Certificate||Effective:   12 Jul 1982
Transfer of class of registration to: Independent Practice Certificate||Effective:   08 Oct 1985</t>
  </si>
  <si>
    <t>Vasu Srinivasan Medicine Professional Corporation</t>
  </si>
  <si>
    <t>Issued Date:  Feb 03 2006</t>
  </si>
  <si>
    <t>Dr. V. Srinivasan (CPSO# 42486)</t>
  </si>
  <si>
    <t>2302 Haines Road,Mississauga ON  L4Y 1Y1,(416) 560-1949
155 Clarke Boulevard,155 Clarke Boulevard,Brampton ON  L6T 4G6,(416) 560-1949
4283 Village Centre Court,4283 Village Centre Court,Mississauga ON  L4Z 1S2,(416) 560-1949
Unit 9,Unit 9,100 East Mall,Etobicoke ON  M8Z 5X2,(416) 560-1949</t>
  </si>
  <si>
    <t>66578</t>
  </si>
  <si>
    <t>Aberfoyle Health Centre,Unit 102,304 The East Mall,Toronto ON  M9B 6E2</t>
  </si>
  <si>
    <t>The University of Western Ontario, 01 Jul 1993  to 30 Jun 1994|PostGrad Yr 1 - Psychiatry
The University of Western Ontario, 01 Jul 1994  to 30 Jun 1995|PostGrad Yr 2 - Psychiatry
The University of Western Ontario, 01 Jul 1995  to 30 Jun 1996|Resident 2 - Psychiatry
The University of Western Ontario, 01 Jul 1996  to 30 Jun 1997|Resident 3 - Psychiatry
The University of Western Ontario, 01 Jul 1997  to 30 Jun 1998|Resident 4 - Psychiatry</t>
  </si>
  <si>
    <t>113570</t>
  </si>
  <si>
    <t xml:space="preserve">Independent Practice as of 21 Jul 2017 </t>
  </si>
  <si>
    <t>Rajiv Gandhi Univ of Health Sciences, 2005</t>
  </si>
  <si>
    <t>St. Michael's Hospital,193 Yonge Street,Suite 6-013,Toronto ON  M5B 1M8</t>
  </si>
  <si>
    <t>416-360-4000 Ext. 76404</t>
  </si>
  <si>
    <t>University Health Network,Toronto Western Hospital,399 Bathurst Street,9MP-324B,Toronto ON  M5B 1M8,Canada,Phone:416-603-5800 Ext. 6508,County:City of Toronto,Electoral District:10</t>
  </si>
  <si>
    <t>University of Toronto, 08 Aug 2017  to 30 Jun 2018|Clinical Fellow - Psychiatry
University of Toronto, 01 Jul 2018  to 30 Jun 2019|Clinical Fellow - Psychiatry</t>
  </si>
  <si>
    <t>First certificate of registration issued: Independent Practice Certificate||Effective:   21 Jul 2017</t>
  </si>
  <si>
    <t>77386</t>
  </si>
  <si>
    <t xml:space="preserve">Active Member as of 26 Aug 2002 </t>
  </si>
  <si>
    <t xml:space="preserve">Independent Practice as of 26 Aug 2002 </t>
  </si>
  <si>
    <t>Ranchi University, 1983</t>
  </si>
  <si>
    <t>Canadian Mental Healh Association,Suite 500,1200 Markham Road,Scarborough ON  M1H 3C3</t>
  </si>
  <si>
    <t>(416) 789-7957 Ext. 3215</t>
  </si>
  <si>
    <t>The University of Western Ontario, 11 Feb 2002  to 31 May 2002|Clinical Fellow - Psychiatry</t>
  </si>
  <si>
    <t>First certificate of registration issued: Postgraduate Education Certificate||Effective:   05 Apr 2002
Expired: Terms and conditions of certificate of registration||Expiry:      31 May 2002
Subsequent certificate of registration Issued: Independent Practice Certificate||Effective:   26 Aug 2002</t>
  </si>
  <si>
    <t>Dr. Verghese John Medicine Professional Corporation</t>
  </si>
  <si>
    <t>Issued Date:  Jul 14 2009</t>
  </si>
  <si>
    <t>Dr. V. John (CPSO# 77386)</t>
  </si>
  <si>
    <t>Suite 500,1200 Markham Road,Scarborough ON  M1H 3C3,(416) 289-6285</t>
  </si>
  <si>
    <t>60824</t>
  </si>
  <si>
    <t xml:space="preserve">Active Member as of 01 Jun 1989 </t>
  </si>
  <si>
    <t xml:space="preserve">Independent Practice as of 01 Jun 1989 </t>
  </si>
  <si>
    <t>Punjabi University, 1981</t>
  </si>
  <si>
    <t>550-Wellington Street,London ON  N6A 4H1</t>
  </si>
  <si>
    <t>(519) 455-5110 Ext. 47392</t>
  </si>
  <si>
    <t>(519) 433-3486</t>
  </si>
  <si>
    <t>204-450 Central Avenue,London ON  N6B 2E8,Canada,Phone:(519) 204-7427,Fax:(519) 204-7428,County:County of Middlesex,Electoral District:02</t>
  </si>
  <si>
    <t>London Health Sciences Centre Victoria Hospital:London
St Joseph Health Care,London- Mental Health:London
Timmins and District Hospital:Timmins
Woodstock General Hospital:Woodstock</t>
  </si>
  <si>
    <t>First certificate of registration issued: Independent Practice Certificate||Effective:   01 Jun 1989</t>
  </si>
  <si>
    <t>Verinder Sharma Medicine Professional Corporation</t>
  </si>
  <si>
    <t>Issued Date:  May 25 2004</t>
  </si>
  <si>
    <t>Dr. V. Sharma (CPSO# 60824)</t>
  </si>
  <si>
    <t>310 Juliana Drive,Woodstock ON  N4V 0A4,(519) 421-4211
Timmins and District Hospital,Timmins and District Hospital,700 Ross Avenue East,Timmins ON  P4N 8P2,(705) 267-2131
St Joseph's Health Care London,St Joseph's Health Care London,Parkwood Institute Main Building,550 Wellington Road,London ON  N6C 0A7,(519) 455-5110
Suite 204,Suite 204,450 Central Avenue,London ON  N6B 2E8,(519) 204-7427</t>
  </si>
  <si>
    <t>77164</t>
  </si>
  <si>
    <t xml:space="preserve">Active Member as of 07 Nov 2001 </t>
  </si>
  <si>
    <t xml:space="preserve">Independent Practice as of 07 Nov 2001 </t>
  </si>
  <si>
    <t>University of Cairo, 1972</t>
  </si>
  <si>
    <t>2867 Ellesmere Road,Suite 600,Toronto ON  M1E 4B9</t>
  </si>
  <si>
    <t>4750 Yonge St,Unit 301,North York ON  M2N0J6,Canada,Phone:416 7334353,Fax:416 7334533,County:City of Toronto,Electoral District:10</t>
  </si>
  <si>
    <t>First certificate of registration issued: Independent Practice Certificate||Effective:   07 Nov 2001</t>
  </si>
  <si>
    <t>Dr. V. Gorguy Medicine Professional Corporation</t>
  </si>
  <si>
    <t>Dr. N. Gorguy (CPSO# 91158),Dr. V. Gorguy (CPSO# 77164)</t>
  </si>
  <si>
    <t>600 - 2867 Ellesmere Road,Toronto ON  M1E 4B9,(416) 208-7318
301 - 4750 Yonge Street,301 - 4750 Yonge Street,Toronto ON  M2N 0J6</t>
  </si>
  <si>
    <t>74938</t>
  </si>
  <si>
    <t xml:space="preserve">Active Member as of 22 Jul 2005 </t>
  </si>
  <si>
    <t xml:space="preserve">Independent Practice as of 22 Jul 2005 </t>
  </si>
  <si>
    <t>Department of Psychiatry,The Ottawa Hospital-General Campus,501 Smyth Road,Ottawa ON  K1H 8L6</t>
  </si>
  <si>
    <t>First certificate of registration issued: Postgraduate Education Certificate||Effective:   01 Jul 2000
Expired: Terms and conditions of certificate of registration||Expiry:      30 Jun 2005
Subsequent certificate of registration Issued: Independent Practice Certificate||Effective:   22 Jul 2005</t>
  </si>
  <si>
    <t>Veronica McCarthy Medicine Professional Corporation</t>
  </si>
  <si>
    <t>Dr. V. McCarthy (CPSO# 74938)</t>
  </si>
  <si>
    <t>Department of Psychiatry,The Ottawa Hospital-General Campus,501 Smyth Road,Ottawa ON  K1H 8L6,(613) 737-8899
1053 Carling Avenue,1053 Carling Avenue,Ottawa ON  K1Y 4E9,(613) 737-8899</t>
  </si>
  <si>
    <t>29658</t>
  </si>
  <si>
    <t xml:space="preserve">Active Member as of 12 Oct 1977 </t>
  </si>
  <si>
    <t xml:space="preserve">Independent Practice as of 12 Oct 1977 </t>
  </si>
  <si>
    <t>Franz Joseph University of Kolozsvar, 1969</t>
  </si>
  <si>
    <t>Suie 311,1390 Prince of Wales Drive,Ottawa ON  K2C 3N6</t>
  </si>
  <si>
    <t>(613) 233-2298</t>
  </si>
  <si>
    <t>First certificate of registration issued: Independent Practice Certificate||Effective:   12 Oct 1977</t>
  </si>
  <si>
    <t>26595</t>
  </si>
  <si>
    <t>toronto sleep institute,586 Eglinton Avenue East,Suite 507,Toronto ON  M4P 1P2</t>
  </si>
  <si>
    <t>416-488-6980</t>
  </si>
  <si>
    <t>416-488-3998</t>
  </si>
  <si>
    <t>715 MacKay Street,Canada,Phone:613-735-2358,Fax:613-735-9301,County:County of Renfrew,Electoral District:07</t>
  </si>
  <si>
    <t>First certificate of registration issued: Postgraduate Education Certificate||Effective:   18 Jun 1973
Transfer of class of registration to: Independent Practice Certificate||Effective:   25 Jun 1974</t>
  </si>
  <si>
    <t>64304</t>
  </si>
  <si>
    <t xml:space="preserve">Active Member as of 06 Jul 1995 </t>
  </si>
  <si>
    <t xml:space="preserve">Independent Practice as of 06 Jul 1995 </t>
  </si>
  <si>
    <t>North York General,North York ON  M2K 1E1</t>
  </si>
  <si>
    <t>(416) 756-6968</t>
  </si>
  <si>
    <t>416-756-6834</t>
  </si>
  <si>
    <t>707-240 Duncan Mills Road,Toronto ON  M3B 3S6,Canada,Phone:416-494-3003 Ext. 145,Fax:416-494-8525,County:City of Toronto,Electoral District:10</t>
  </si>
  <si>
    <t>First certificate of registration issued: Postgraduate Education Certificate||Effective:   04 Jul 1991
Expired: Terms and conditions of certificate of registration||Expiry:      30 Jun 1995
Subsequent certificate of registration Issued: Independent Practice Certificate||Effective:   06 Jul 1995</t>
  </si>
  <si>
    <t>Dr. Victor Feder Medicine Professional Corporation</t>
  </si>
  <si>
    <t>Dr. V. Feder (CPSO# 64304)</t>
  </si>
  <si>
    <t>North York General Hospital,Leslie Site,4001 Leslie Street,Toronto ON  M2K 1E1,(416) 635-2421
555 Finch Avenue West,555 Finch Avenue West,1 South,Toronto ON  M2R 1N5,(416) 635-2421</t>
  </si>
  <si>
    <t>99513</t>
  </si>
  <si>
    <t xml:space="preserve">Active Member as of 06 Aug 2013 </t>
  </si>
  <si>
    <t xml:space="preserve">Independent Practice as of 06 Aug 2013 </t>
  </si>
  <si>
    <t>Niagara Health System,St. Catharines Site,1200 Fourth Avenue,St Catharines ON  L2S 0A9</t>
  </si>
  <si>
    <t>Niagara Health System,Greater Niagara General Site,5546 Portage Road,Niagara Falls ON  L2E 6X2,Canada,Phone:(905) 378-4647,County:Regional Municipality of Niagara,Electoral District:04
Port Colborne Site,260 Sugarloaf Street,Port Colborne ON  L3K 2N7,Canada,Phone:(905) 378-4647,County:Regional Municipality of Niagara,Electoral District:04
Student Health Services,1812 Sir Isaac Brock way,St Catharines ON  L2S 3A1,Canada,Phone:9056885550,County:Regional Municipality of Niagara,Electoral District:04</t>
  </si>
  <si>
    <t>Nigeria
United Kingdom</t>
  </si>
  <si>
    <t>First certificate of registration issued: Restricted certificate||Effective:   11 Oct 2012
Terms and conditions imposed on certificate by Registration Committee||Effective:   11 Oct 2012
Expiry date attached to certificate of registration.||Expiry Date: 31 Jul 2015
Expired: Terms and conditions imposed on certificate by Registration Committee||Effective:   06 Aug 2013
Subsequent certificate of registration Issued: Independent Practice Certificate||Effective:   06 Aug 2013</t>
  </si>
  <si>
    <t>Uwaifo Medicine Professional Corporation</t>
  </si>
  <si>
    <t>Dr. V. Uwaifo (CPSO# 99513)</t>
  </si>
  <si>
    <t>Niagara Health System,St. Catherines Site,1200 Fourth Avenue,St Catharines ON  L2S 0A9,(905) 378-4647</t>
  </si>
  <si>
    <t>30059</t>
  </si>
  <si>
    <t xml:space="preserve">Active Member as of 13 Jun 1977 </t>
  </si>
  <si>
    <t xml:space="preserve">Independent Practice as of 26 Jun 1978 </t>
  </si>
  <si>
    <t>1333 Sheppard Avenue East,Suite 141,North York ON  M2J 1V1</t>
  </si>
  <si>
    <t>(416) 491-4318</t>
  </si>
  <si>
    <t>First certificate of registration issued: Postgraduate Education Certificate||Effective:   13 Jun 1977
Transfer of class of registration to: Independent Practice Certificate||Effective:   26 Jun 1978</t>
  </si>
  <si>
    <t>Dr. Victoria Jones Medicine Professional Corporation</t>
  </si>
  <si>
    <t>Issued Date:  Jun 25 2007</t>
  </si>
  <si>
    <t>Dr. V. Jones (CPSO# 30059)</t>
  </si>
  <si>
    <t>Suite 141,1333 Sheppard Avenue East,Toronto ON  M2J 1V1,(416) 491-4318</t>
  </si>
  <si>
    <t>51427</t>
  </si>
  <si>
    <t xml:space="preserve">Independent Practice as of 04 Feb 1986 </t>
  </si>
  <si>
    <t>Mental Health,,Michael Garron Hospital,,H5, 825 Coxwell Avenue,,Toronto ON  M4C 3E7</t>
  </si>
  <si>
    <t>(416) 469-6204</t>
  </si>
  <si>
    <t>123 Edward Street,,Suite 1001,,Toronto ON  M5G 1E2,Canada,Phone:(416) 485-5768,Fax:(416) 485-0812,County:City of Toronto,Electoral District:10</t>
  </si>
  <si>
    <t>First certificate of registration issued: Postgraduate Education Certificate||Effective:   01 Jul 1982
Transfer of class of registration to: Independent Practice Certificate||Effective:   04 Feb 1986</t>
  </si>
  <si>
    <t>Victoria Lee Medicine Professional Corporation</t>
  </si>
  <si>
    <t>Issued Date:  Sep 24 2009</t>
  </si>
  <si>
    <t>Dr. P. Hebert (CPSO# 54459),Dr. V. Lee (CPSO# 51427)</t>
  </si>
  <si>
    <t>Suite 1001,123 Edward Street,Toronto ON  M5G 1E2,(416) 485-5768
Michael Garron Hospital,Michael Garron Hospital,Suite H5,825 Coxwell Avenue,Toronto ON  M4C 3E7,(416) 469-6204</t>
  </si>
  <si>
    <t>71231</t>
  </si>
  <si>
    <t xml:space="preserve">Active Member as of 25 Jul 2002 </t>
  </si>
  <si>
    <t xml:space="preserve">Independent Practice as of 25 Jul 2002 </t>
  </si>
  <si>
    <t>416-535-8501 Ext. 34200</t>
  </si>
  <si>
    <t>(416) 583-1299</t>
  </si>
  <si>
    <t>30 Bond Street,Toronto ON  M5B 1W8,Canada,Phone:416-864-6060,County:City of Toronto,Electoral District:10</t>
  </si>
  <si>
    <t>First certificate of registration issued: Postgraduate Education Certificate||Effective:   01 Jul 1997
Expired: Terms and conditions of certificate of registration||Expiry:      30 Jun 2002
Subsequent certificate of registration Issued: Independent Practice Certificate||Effective:   25 Jul 2002</t>
  </si>
  <si>
    <t>Dr. V. Stergiopoulos Medicine Professional Corporation</t>
  </si>
  <si>
    <t>Dr. V. Stergiopoulos (CPSO# 71231)</t>
  </si>
  <si>
    <t>CAMH,100 Stokes Street,Toronto ON  M6J 1H4,(416) 535-8501
30 Bond Street,30 Bond Street,Suite CUHS 343,Toronto ON  M5B 1W8,(416) 864-6060</t>
  </si>
  <si>
    <t>42439</t>
  </si>
  <si>
    <t>Punjab University India, 1968</t>
  </si>
  <si>
    <t>704-586 Eglinton Avenue,Toronto ON  M4P 1P2</t>
  </si>
  <si>
    <t>(416) 544-0147</t>
  </si>
  <si>
    <t>(416) 544-0261</t>
  </si>
  <si>
    <t>First certificate of registration issued: Postgraduate Education Certificate||Effective:   01 Jul 1977
Expired: Terms and conditions of certificate of registration||Expiry:      30 Jun 1981
Subsequent certificate of registration Issued: Hospital Practice Certificate||Effective:   06 Jul 1981
Transfer of class of registration to: Independent Practice Certificate||Effective:   24 Jul 1991</t>
  </si>
  <si>
    <t>46011</t>
  </si>
  <si>
    <t xml:space="preserve">Active Member as of 27 Jan 1998 </t>
  </si>
  <si>
    <t xml:space="preserve">Independent Practice as of 27 Jan 1998 </t>
  </si>
  <si>
    <t>Mysore University, 1968</t>
  </si>
  <si>
    <t>Hotel Dieu Hospital,J5,166 Brock Street,Kingston ON  K7L 5G2</t>
  </si>
  <si>
    <t>University of Toronto, 15 Jun 1974  to 14 Jun 1975|Resident 1 - Psychiatry
University of Toronto, 01 Jul 1975  to 30 Jun 1976|Resident 2 - Psychiatry
University of Toronto, 01 Jul 1976  to 30 Jun 1977|Resident 3 - Psychiatry</t>
  </si>
  <si>
    <t>First certificate of registration issued: Postgraduate Education Certificate||Effective:   15 Jun 1974
Expired: Terms and conditions of certificate of registration||Expiry:      30 Jun 1977
Subsequent certificate of registration Issued: Independent Practice Certificate||Effective:   27 Jan 1998</t>
  </si>
  <si>
    <t>Prabhu Medicine Professional Corporation</t>
  </si>
  <si>
    <t>Issued Date:  Mar 07 2006</t>
  </si>
  <si>
    <t>Dr. V. Prabhu (CPSO# 46011)</t>
  </si>
  <si>
    <t>Hotel Dieu Hospital,Unit J5,166 Brock Street,Kingston ON  K7L 5G2,(613) 544-3310</t>
  </si>
  <si>
    <t>76271</t>
  </si>
  <si>
    <t>Parkwood Institute Mental Health,P.O.Box 5777, Stn B,London ON  N6A 4V2</t>
  </si>
  <si>
    <t>Dr. Vikas Duggal Medicine Professional Corporation</t>
  </si>
  <si>
    <t>Issued Date:  Nov 26 2007</t>
  </si>
  <si>
    <t>Dr. V. Duggal (CPSO# 76271)</t>
  </si>
  <si>
    <t>550 Wellington Road,London ON  N6C 0A7,(519) 455-5110
Suite F,Suite F,1553 Dundas Street,London ON  N5W 5Y5,(519) 642-3335</t>
  </si>
  <si>
    <t>62405</t>
  </si>
  <si>
    <t xml:space="preserve">Active Member as of 17 Aug 2015 </t>
  </si>
  <si>
    <t xml:space="preserve">Independent Practice as of 17 Aug 2015 </t>
  </si>
  <si>
    <t>Surrey Place Centre,2 Surrey Place,Toronto ON  M5S 2C2</t>
  </si>
  <si>
    <t>(416) 925-5141</t>
  </si>
  <si>
    <t>First certificate of registration issued: Postgraduate Education Certificate||Effective:   11 Jun 1990
Expired: Terms and conditions of certificate of registration||Expiry:      17 Jun 1991
Subsequent certificate of registration Issued: Independent Practice Certificate||Effective:   21 Jun 1991
Expired: Resigned from membership.||Expiry:      02 Aug 2001
Subsequent certificate of registration Issued: Independent Practice Certificate||Effective:   17 Aug 2015</t>
  </si>
  <si>
    <t>Dr. Vikram Dua Medicine Professional Corporation</t>
  </si>
  <si>
    <t>Issued Date:  Mar 11 2016</t>
  </si>
  <si>
    <t>Dr. V. Dua (CPSO# 62405)</t>
  </si>
  <si>
    <t>Surrey Place Centre,2 Surrey Place,Toronto ON  M5S 2C2,(416) 925-5141</t>
  </si>
  <si>
    <t>92412</t>
  </si>
  <si>
    <t xml:space="preserve">Active Member as of 28 Nov 2012 </t>
  </si>
  <si>
    <t xml:space="preserve">Restricted as of 28 Nov 2012 </t>
  </si>
  <si>
    <t>Belarusian State Medical University, 1991</t>
  </si>
  <si>
    <t>Rouge Valley Hospital System,580 Harwood Avenue South,Ajax ON  L1S 2J4</t>
  </si>
  <si>
    <t>(905) 683-2320 Ext. 3263</t>
  </si>
  <si>
    <t>Portage Medical Family Health Team,303-4256 Portage Road,Niagara Falls ON  L2E 6A4,Canada,Phone:905-354-9393,County:Regional Municipality of Niagara,Electoral District:04
A5-4725 Dorchester Road,Niagara Falls ON  L2E 0A8,Canada,Phone:289-296-7600,Fax:289-296-7666,County:Regional Municipality of Niagara,Electoral District:04</t>
  </si>
  <si>
    <t>Psychiatry||Effective: 28 Nov 2012||CPSO Recognized Specialist</t>
  </si>
  <si>
    <t>First certificate of registration issued: Restricted certificate||Effective:   11 Jan 2010
Terms and conditions imposed on certificate by Registration Committee||Effective:   11 Jan 2010
Expiry date attached to certificate of registration.||Expiry Date: 10 Jan 2013
Expired: Terms and conditions imposed on certificate by Registration Committee||Effective:   28 Nov 2012
Subsequent certificate of registration issued: Restricted certificate||Effective:   28 Nov 2012
Terms and conditions amended by Registration Committee||Effective:   26 Feb 2014
Terms and conditions amended by Registration Committee||Effective:   20 Nov 2014
Terms and conditions amended by Registration Committee||Effective:   18 Sep 2015
Terms and conditions amended by Registration Committee||Effective:   28 Jan 2016</t>
  </si>
  <si>
    <t>Yatsynovich Medicine Professional Corporation</t>
  </si>
  <si>
    <t>Issued Date:  Apr 08 2010</t>
  </si>
  <si>
    <t>Dr. V. Yatsynovich (CPSO# 92412)</t>
  </si>
  <si>
    <t>4725 Dorchester Road,Suite A6,Niagara Falls ON  L2E 0A8,(289) 296-7600
RNHS Psychiatry Department,RNHS Psychiatry Department,580 Harwood Avenue South,Ajax ON  L1S 2J4,(905) 683-2320</t>
  </si>
  <si>
    <t>62975</t>
  </si>
  <si>
    <t xml:space="preserve">Active Member as of 21 Nov 1994 </t>
  </si>
  <si>
    <t xml:space="preserve">Independent Practice as of 21 Nov 1994 </t>
  </si>
  <si>
    <t>University of Madras, 1982</t>
  </si>
  <si>
    <t>410 Highway 8,Stoney Creek ON  L8G 1G2</t>
  </si>
  <si>
    <t>(905) 631-1445</t>
  </si>
  <si>
    <t>(905) 594-1237</t>
  </si>
  <si>
    <t>First certificate of registration issued: Postgraduate Education Certificate||Effective:   03 Aug 1990
Expired: Terms and conditions of certificate of registration||Expiry:      30 Jun 1993
Subsequent certificate of registration issued: Restricted certificate||Effective:   16 Dec 1993
Expired: Terms and conditions of certificate of registration||Expiry:      15 Oct 1994
Subsequent certificate of registration Issued: Independent Practice Certificate||Effective:   21 Nov 1994</t>
  </si>
  <si>
    <t>Vimala Chinnasamy Medicine Professional Corporation</t>
  </si>
  <si>
    <t>Issued Date:  Sep 14 2012</t>
  </si>
  <si>
    <t>Dr. V. Chinnasamy (CPSO# 62975)</t>
  </si>
  <si>
    <t>410 Highway 8,Stoney Creek ON  L8G 1G2,(900) 563-1445</t>
  </si>
  <si>
    <t>76513</t>
  </si>
  <si>
    <t>The Royal Ottawa Hospital,Department of Geriatric Psychiatry,1145 Carling Avenue,Ottawa ON  K1Z 7K4</t>
  </si>
  <si>
    <t>Psychiatry||Effective: 30 Jun 2006||RCPSC Specialist
Geriatric Psychiatry||Effective: 26 Sep 2013||RCPSC Specialist</t>
  </si>
  <si>
    <t>The University of Western Ontario, 01 Jul 2001  to 30 Jun 2002|PostGrad Yr 1 - Anatomical Pathology
The University of Western Ontario, 01 Jul 2002  to 11 Aug 2002|PostGrad Yr 1 - Psychiatry
The University of Western Ontario, 12 Aug 2002  to 11 Aug 2003|PostGrad Yr 2 - Psychiatry
The University of Western Ontario, 12 Aug 2003  to 30 Jun 2004|PostGrad Yr 3 - Psychiatry
University of Ottawa, 01 Jul 2004  to 30 Jun 2005|PostGrad Yr 4 - Psychiatry
University of Ottawa, 01 Jul 2005  to 30 Jun 2006|PostGrad Yr 5 - Psychiatry
University of Ottawa, 01 Jul 2006  to 19 Dec 2006|Clinical Fellow - Psychiatry</t>
  </si>
  <si>
    <t>Tailor Lodha Medicine Professional Corporation</t>
  </si>
  <si>
    <t>Dr. V. Lodha (CPSO# 76513),Dr. C. Tailor (CPSO# 80880)</t>
  </si>
  <si>
    <t>The Royal Ottawa Hospital,Department of Geriatric Psychiatry,1145 Carling Avenue,Ottawa ON  K1Z 7K4,(613) 722-6521
LMC Diabetes and Endocrinology,LMC Diabetes and Endocrinology,208 - 4100 Strandherd Drive,Ottawa ON  K2V 0V2,(613) 505-9704</t>
  </si>
  <si>
    <t>70131</t>
  </si>
  <si>
    <t>Glenrose Rehabilitation Hospital,10230-111 Ave NW,Edmonton AB  T5G 0B7</t>
  </si>
  <si>
    <t>780-735-7914 Ext. 33235</t>
  </si>
  <si>
    <t>780-735-8846</t>
  </si>
  <si>
    <t>Psychiatry||Effective: 30 Jun 2001||RCPSC Specialist
Geriatric Psychiatry||Effective: 26 Sep 2013||RCPSC Specialist</t>
  </si>
  <si>
    <t>Vincent L. Woo Medicine Professional Corporation</t>
  </si>
  <si>
    <t>Inactive: Sep 17 2018</t>
  </si>
  <si>
    <t>82141</t>
  </si>
  <si>
    <t xml:space="preserve">Restricted as of 19 Jun 2009 </t>
  </si>
  <si>
    <t>University of Naples, 1998</t>
  </si>
  <si>
    <t>CAMH College Street Site,Schizophrenia Program,250 College Street,Toronto ON  M5T 1R8</t>
  </si>
  <si>
    <t>(416) 535-8501 Ext. 34421</t>
  </si>
  <si>
    <t>Psychiatry||Effective: 19 Jun 2009||CPSO Recognized Specialist</t>
  </si>
  <si>
    <t>University of Toronto, 16 May 2005  to 07 Aug 2005|PEAP - Clinical Fellow - Psychiatry
University of Toronto, 08 Aug 2005  to 30 Jun 2006|Clinical Fellow - Psychiatry
University of Toronto, 01 Jul 2006  to 30 Jun 2007|Clinical Fellow - Psychiatry
University of Toronto, 01 Jul 2007  to 30 Jun 2008|Clinical Fellow - Psychiatry
University of Toronto, 01 Jul 2008  to 04 Aug 2008|Clinical Fellow - Psychiatry</t>
  </si>
  <si>
    <t>First certificate of registration issued: Pre Entry Assessment Program Certificate||Effective:   16 May 2005
Transfer of class of registration to: Postgraduate Education Certificate||Effective:   08 Aug 2005
Expired: Terms and conditions of certificate of registration||Expiry:      04 Aug 2008
Subsequent certificate of registration issued: Restricted certificate||Effective:   11 Sep 2008
Expired: Terms and conditions imposed on certificate by Registration Committee||Effective:   17 Apr 2009
Subsequent certificate of registration issued: Restricted certificate||Effective:   19 Jun 2009
Terms and conditions amended by Registration Committee||Effective:   27 Sep 2013
Expiry date removed from certificate of registration.||Effective:   27 Sep 2013</t>
  </si>
  <si>
    <t>57227</t>
  </si>
  <si>
    <t xml:space="preserve">Independent Practice as of 04 Sep 1986 </t>
  </si>
  <si>
    <t>English, French, Italian, Portuguese</t>
  </si>
  <si>
    <t>Chef de pedopsychiatrie,Hopital Maisonneuve-Rosemont,Pavillon Rosemont,5689 Boulevard Rosemont,Montreal QC  H1T 2H1</t>
  </si>
  <si>
    <t>(514) 252-3923</t>
  </si>
  <si>
    <t>(514) 252-3931</t>
  </si>
  <si>
    <t>4201 rue Ontario est,Montreal QC  H1V 1K2,Canada,Phone:(514) 253-9717 Ext. 15561,Fax:(514) 522-1963,County:Electoral District</t>
  </si>
  <si>
    <t>First certificate of registration issued: Postgraduate Education Certificate||Effective:   01 Jul 1986
Transfer of class of registration to: Independent Practice Certificate||Effective:   04 Sep 1986</t>
  </si>
  <si>
    <t>108525</t>
  </si>
  <si>
    <t xml:space="preserve">Active Member as of 16 Feb 2016 </t>
  </si>
  <si>
    <t xml:space="preserve">Restricted as of 16 Feb 2016 </t>
  </si>
  <si>
    <t>University of Lucknow, 1971</t>
  </si>
  <si>
    <t>Geriatric Mental Health,Room # A2-605, LHSC-VH,PO Box 5010,800 Commissioners Road East,London ON  N6A 5W9</t>
  </si>
  <si>
    <t>(519) 685-8500 Ext. 75519</t>
  </si>
  <si>
    <t>(519) 667-6707</t>
  </si>
  <si>
    <t>Psychiatry||Effective: 16 Feb 2016||CPSO Recognized Specialist</t>
  </si>
  <si>
    <t>First certificate of registration issued: Restricted certificate||Effective:   16 Feb 2016
Terms and conditions imposed on certificate by Registration Committee||Effective:   16 Feb 2016
Expiry date attached to certificate of registration.||Expiry Date: 30 Jun 2018
Expiry date attached to certificate of registration.||Expiry Date: 07 Feb 2019</t>
  </si>
  <si>
    <t>42441</t>
  </si>
  <si>
    <t xml:space="preserve">Active Member as of 04 Jan 1977 </t>
  </si>
  <si>
    <t>University of Delhi, 1975</t>
  </si>
  <si>
    <t>400A-2555 St. Joseph Blvd,Orleans ON  K1C 1S6</t>
  </si>
  <si>
    <t>(613) 834-8913</t>
  </si>
  <si>
    <t>First certificate of registration issued: Postgraduate Education Certificate||Effective:   04 Jan 1977
Transfer of class of registration to: Hospital Practice Certificate||Effective:   01 Jul 1981
Transfer of class of registration to: Independent Practice Certificate||Effective:   23 Jul 1991</t>
  </si>
  <si>
    <t>Vinod Malik Medicine Professional Corporation</t>
  </si>
  <si>
    <t>Dr. V. Malik (CPSO# 42441)</t>
  </si>
  <si>
    <t>Suite 400,2555 St. Joseph Boulevard,Ottawa ON  K1C 1S6,(613) 834-8913</t>
  </si>
  <si>
    <t>52596</t>
  </si>
  <si>
    <t xml:space="preserve">Independent Practice as of 10 Jan 1991 </t>
  </si>
  <si>
    <t>English, Hindi, Kannada, Marathi</t>
  </si>
  <si>
    <t>Karnatak University Dharwar, 1971</t>
  </si>
  <si>
    <t>First certificate of registration issued: Postgraduate Education Certificate||Effective:   01 Jul 1974
Expired: Terms and conditions of certificate of registration||Expiry:      14 Jun 1979
Subsequent certificate of registration Issued: Hospital Practice Certificate||Effective:   01 Jun 1983
Transfer of class of registration to: Independent Practice Certificate||Effective:   10 Jan 1991</t>
  </si>
  <si>
    <t>83012</t>
  </si>
  <si>
    <t>Mental Health Building,Parkwood Institute,550 Wellington Road,London ON  N6C 0A7</t>
  </si>
  <si>
    <t>800 Commissioners Rd. E,London ON  N6A 5W9,Canada,Phone:(519) 685-8500,County:County of Middlesex,Electoral District:02</t>
  </si>
  <si>
    <t>London Health Sciences Centre South Street Hospital:London
London Health Sciences Centre Victoria Hospital:London
London Health Sciences Centre,University Site:London
St Joseph's Health Care,St Thomas Mental Health Site:St Thomas
St Joseph's Health Care-St Joseph's Site,London:London</t>
  </si>
  <si>
    <t>59314</t>
  </si>
  <si>
    <t xml:space="preserve">Independent Practice as of 16 Oct 2006 </t>
  </si>
  <si>
    <t>Mount Sinai Hospital,Level 1 Room L1 012,60 Murray Street,Toronto ON  M5T 3L9</t>
  </si>
  <si>
    <t>(416) 586-4800 Ext. 6159</t>
  </si>
  <si>
    <t>Psychiatry||Effective: 11 Sep 2006||RCPSC Specialist
Geriatric Psychiatry||Effective: 21 Sep 2015||RCPSC Specialist</t>
  </si>
  <si>
    <t>University of Toronto, 13 Jun 1988  to 12 Jun 1989|Other - Comprehensive Internship
University of Toronto, 05 Sep 1989  to 15 Dec 1989|Other - Rotating Internship
University of Toronto, 01 Jan 1990  to 31 Dec 1990|Resident 1 - Psychiatry
University of Toronto, 01 Jan 1991  to 30 Jun 1991|Resident 1 - Psychiatry
University of Toronto, 01 Jul 1991  to 30 Jun 1992|Resident 2 - Psychiatry
University of Toronto, 01 Jul 2002  to 30 Jun 2003|PostGrad Yr 2 - Psychiatry
University of Toronto, 01 Jul 2003  to 30 Jun 2004|PostGrad Yr 3 - Psychiatry
University of Toronto, 01 Jul 2004  to 30 Jun 2005|PostGrad Yr 4 - Psychiatry
University of Toronto, 01 Jul 2005  to 30 Jun 2006|PostGrad Yr 5 - Psychiatry
University of Toronto, 01 Jul 2006  to 11 Sep 2006|PostGrad Yr 5 - Psychiatry
University of Toronto, 12 Sep 2006  to 30 Jun 2007|Clinical Fellow - Psychiatry
University of Toronto, 01 Jul 2007  to 30 Jun 2008|Clinical Fellow - Psychiatry
University of Toronto, 01 Jul 2008  to 11 Sep 2008|Clinical Fellow - Psychiatry</t>
  </si>
  <si>
    <t>First certificate of registration issued: Postgraduate Education Certificate||Effective:   13 Jun 1988
Expired: Terms and conditions of certificate of registration||Expiry:      12 Jun 1989
Subsequent certificate of registration Issued: Postgraduate Education Certificate||Effective:   05 Sep 1989
Expired: Terms and conditions of certificate of registration||Expiry:      01 Dec 1989
Subsequent certificate of registration Issued: Postgraduate Education Certificate||Effective:   02 Dec 1989
Expired: Terms and conditions of certificate of registration||Expiry:      15 Dec 1989
Subsequent certificate of registration Issued: Postgraduate Education Certificate||Effective:   01 Jan 1990
Expired: Terms and conditions of certificate of registration||Expiry:      30 Jun 1992
Subsequent certificate of registration Issued: Postgraduate Education Certificate||Effective:   01 Jul 2002
Transfer of class of registration to: Independent Practice Certificate||Effective:   16 Oct 2006</t>
  </si>
  <si>
    <t>59055</t>
  </si>
  <si>
    <t xml:space="preserve">Active Member as of 16 Oct 1987 </t>
  </si>
  <si>
    <t xml:space="preserve">Independent Practice as of 16 Oct 1987 </t>
  </si>
  <si>
    <t>St. Joseph's Health Centre,Department of Psychiatry,Toronto ON  M6R 1B5</t>
  </si>
  <si>
    <t>(416) 530-6000 Ext. 3101</t>
  </si>
  <si>
    <t>(416) 530-6363</t>
  </si>
  <si>
    <t>First certificate of registration issued: Independent Practice Certificate||Effective:   16 Oct 1987</t>
  </si>
  <si>
    <t>96777</t>
  </si>
  <si>
    <t xml:space="preserve">Active Member as of 02 Sep 2011 </t>
  </si>
  <si>
    <t xml:space="preserve">Independent Practice as of 02 Sep 2011 </t>
  </si>
  <si>
    <t>English, French, Italian, Spanish</t>
  </si>
  <si>
    <t>University of Alberta, 2000</t>
  </si>
  <si>
    <t>P O Box 2966,150 Geddes Street,Elora ON  N0B 1S0</t>
  </si>
  <si>
    <t>(519) 803-4718</t>
  </si>
  <si>
    <t>Psychiatry||Effective: 01 Apr 2007||RCPSC Specialist</t>
  </si>
  <si>
    <t>First certificate of registration issued: Independent Practice Certificate||Effective:   02 Sep 2011</t>
  </si>
  <si>
    <t>Vivian Polak Medicine Professional Corporation</t>
  </si>
  <si>
    <t>Issued Date:  Dec 24 2012</t>
  </si>
  <si>
    <t>Dr. V. Polak (CPSO# 96777)</t>
  </si>
  <si>
    <t>150 Geddes Street,PO Box 2966,Elora ON  N0B 1S0</t>
  </si>
  <si>
    <t>84342</t>
  </si>
  <si>
    <t>Women's College Hospital,Women's Mental Health Program,76 Grenville Street,Toronto ON  M5S 1B2</t>
  </si>
  <si>
    <t>North York General Hospital,4001 Leslie St.,Toronto ON  M2K 1E1,Canada,Phone:(416) 756-6000,County:City of Toronto,Electoral District:10</t>
  </si>
  <si>
    <t>North York General Hospital,General Division:Toronto
Women's College Hospital:Toronto</t>
  </si>
  <si>
    <t>University of Toronto, 01 Jul 2006  to 30 Jun 2007|PostGrad Yr 1 - Psychiatry
University of Toronto, 01 Jul 2007  to 30 Jun 2008|PostGrad Yr 2 - Psychiatry
University of Toronto, 01 Jul 2008  to 30 Jun 2009|PostGrad Yr 2 - Psychiatry
University of Toronto, 01 Jul 2009  to 30 Jun 2010|PostGrad Yr 3 - Psychiatry
University of Toronto, 01 Jul 2010  to 07 Aug 2011|PostGrad Yr 3 - Psychiatry
University of Toronto, 08 Aug 2011  to 30 Jun 2012|PostGrad Yr 4 - Psychiatry
University of Toronto, 01 Jul 2012  to 30 Jun 2013|PostGrad Yr 4 - Psychiatry
University of Toronto, 01 Jul 2013  to 31 Jul 2013|PostGrad Yr 4 - Psychiatry
University of Toronto, 01 Aug 2013  to 30 Jun 2014|PostGrad Yr 5 - Psychiatry</t>
  </si>
  <si>
    <t>First certificate of registration issued: Postgraduate Education Certificate||Effective:   01 Jul 2006
Expired: Terms and conditions of certificate of registration||Expiry:      30 Jun 2014
Subsequent certificate of registration Issued: Independent Practice Certificate||Effective:   27 Aug 2014</t>
  </si>
  <si>
    <t>63108</t>
  </si>
  <si>
    <t xml:space="preserve">Active Member as of 05 Dec 1997 </t>
  </si>
  <si>
    <t xml:space="preserve">Independent Practice as of 05 Dec 1997 </t>
  </si>
  <si>
    <t>101 Queensway W. U# 202,Mississauga ON  L5B 2P7</t>
  </si>
  <si>
    <t>905-272-1114</t>
  </si>
  <si>
    <t>905-272-1147</t>
  </si>
  <si>
    <t>1408 ernest ave,London ON  N6E 1M2,Canada,Phone:519-685-6719,Fax:519-685-7338,County:County of Middlesex,Electoral District:02</t>
  </si>
  <si>
    <t>University of Toronto, 01 Jul 1990  to 30 Jun 1991|Resident 1 - Psychiatry
University of Toronto, 01 Jul 1991  to 30 Jun 1992|Resident 2 - Psychiatry
University of Toronto, 01 Jul 1992  to 31 Dec 1992|Resident 2 - Psychiatry
University of Toronto, 01 Jan 1993  to 30 Jun 1993|Resident 3 - Psychiatry
University of Toronto, 01 Jul 1993  to 30 Nov 1993|Resident 3 - Psychiatry
University of Toronto, 01 Dec 1993  to 30 Jun 1994|Resident 4 - Psychiatry
University of Toronto, 01 Jul 1994  to 31 Dec 1994|Resident 4 - Psychiatry
University of Toronto, 01 Jan 1995  to 30 Jun 1995|Resident 4 - Psychiatry
University of Toronto, 01 Jul 1995  to 31 Dec 1995|Resident 4 - Psychiatry</t>
  </si>
  <si>
    <t>First certificate of registration issued: Postgraduate Education Certificate||Effective:   05 Sep 1990
Expired: Terms and conditions of certificate of registration||Expiry:      31 Dec 1995
Subsequent certificate of registration issued: Restricted certificate||Effective:   19 Jul 1996
Terms and conditions amended by Registration Committee||Effective:   30 Jun 1997
Expired: Terms and conditions imposed on certificate by Registration Committee||Effective:   05 Dec 1997
Subsequent certificate of registration Issued: Independent Practice Certificate||Effective:   05 Dec 1997</t>
  </si>
  <si>
    <t>V. El-Kholi Medicine Professional Corporation</t>
  </si>
  <si>
    <t>Dr. V. El-Kholi (CPSO# 63108)</t>
  </si>
  <si>
    <t>Mississauga Sleep Clinic,310 - 77 Queensway West,Mississauga ON  L5B 1B7,(905) 272-1114
216 - 40 Finchgate Boulevard,216 - 40 Finchgate Boulevard,Brampton ON  L6T 3J1,(905) 456-3699
205 - 1408 Ernst Avenue,205 - 1408 Ernst Avenue,London ON  N6E 3B2,(519) 688-6719
824 King Street West,824 King Street West,Kitchener ON  N2G 1G1,(519) 579-2002
William Osler Health Centre,William Osler Health Centre,Brampton Civic Hospital,2100 Bovaird Drive,Brampton ON  L6R 3J7,(905) 494-6710</t>
  </si>
  <si>
    <t>22909</t>
  </si>
  <si>
    <t xml:space="preserve">Active Member as of 26 Aug 2009 </t>
  </si>
  <si>
    <t xml:space="preserve">Independent Practice as of 26 Aug 2009 </t>
  </si>
  <si>
    <t>2-110 Lowther Avenue,Toronto ON  M5R 1E3</t>
  </si>
  <si>
    <t>(416) 519-3685</t>
  </si>
  <si>
    <t>4165193685</t>
  </si>
  <si>
    <t>First certificate of registration issued: Postgraduate Education Certificate||Effective:   10 Jun 1969
Transfer of class of registration to: Independent Practice Certificate||Effective:   30 Jun 1970
Expired: Failure to Renew Membership||Expiry:      14 Aug 2009
Subsequent certificate of registration Issued: Independent Practice Certificate||Effective:   26 Aug 2009</t>
  </si>
  <si>
    <t>Vivien Anne Smith Medicine Professional Corporation</t>
  </si>
  <si>
    <t>Inactive: Jul 18 2008</t>
  </si>
  <si>
    <t>Dr. V. Smith (CPSO# 22909)</t>
  </si>
  <si>
    <t>Suite 1,110 Lowther Avenue,Toronto ON  M5R 1E3,(416) 519-3685</t>
  </si>
  <si>
    <t>68883</t>
  </si>
  <si>
    <t>Compass ACT Team,2nd Floor,671 Danforth Avenue,Toronto ON  M4J 1L3</t>
  </si>
  <si>
    <t>(416) 461-2000 Ext. 288</t>
  </si>
  <si>
    <t>(416) 461-2222</t>
  </si>
  <si>
    <t>Michael Garron Hospital,Toronto ON  M4C 3E7,Canada,Phone:416 469 6580,Fax:416 461 2222,County:City of Toronto,Electoral District:10</t>
  </si>
  <si>
    <t>Michael Garron Hospital - Toronto East Health Network:Toronto
Ross Memorial Hospital:Lindsay
St Michael's Hospital:Toronto</t>
  </si>
  <si>
    <t>Dr. Vivien Parker Medicine Professional Corporation</t>
  </si>
  <si>
    <t>Issued Date:  Apr 26 2007</t>
  </si>
  <si>
    <t>Dr. V. Parker (CPSO# 68883)</t>
  </si>
  <si>
    <t>Compass ACT Team,2nd Floor,671 Danforth Avenue,Toronto ON  M4J 1L3,(416) 461-2000</t>
  </si>
  <si>
    <t>19198</t>
  </si>
  <si>
    <t>English, Latvian</t>
  </si>
  <si>
    <t>19 Oaklands Avenue,Toronto ON  M4V 2E4</t>
  </si>
  <si>
    <t>(416) 920-5861</t>
  </si>
  <si>
    <t>First certificate of registration issued: Postgraduate Education Certificate||Effective:   01 Jul 1963
Transfer of class of registration to: Independent Practice Certificate||Effective:   02 Jul 1964</t>
  </si>
  <si>
    <t>Dr. V. Gulens Medicine Professional Corporation</t>
  </si>
  <si>
    <t>Dr. V. Gulens (CPSO# 19198)</t>
  </si>
  <si>
    <t>19 Oaklands Avenue,Toronto ON  M4V 2E4,(416) 920-5861</t>
  </si>
  <si>
    <t>90356</t>
  </si>
  <si>
    <t xml:space="preserve">Active Member as of 10 Sep 2014 </t>
  </si>
  <si>
    <t xml:space="preserve">Independent Practice as of 19 Sep 2017 </t>
  </si>
  <si>
    <t>Philipps University at Marburg, 1986</t>
  </si>
  <si>
    <t>LHSC Victoria Hospital,Department of Psychiatry,800 Commissioners Road East,London ON  N6A 5W9</t>
  </si>
  <si>
    <t>(519) 667-6861</t>
  </si>
  <si>
    <t>First certificate of registration issued: Restricted certificate||Effective:   15 Apr 2009
Terms and conditions imposed on certificate by Registration Committee||Effective:   15 Apr 2009
Expiry date attached to certificate of registration.||Expiry Date: 30 Jun 2011
Terms and conditions amended by Registration Committee||Effective:   06 Nov 2013
Expiry date removed from certificate of registration.||Effective:   07 Nov 2013
Expired: Terms and conditions imposed on certificate by Registration Committee||Effective:   10 Sep 2014
Subsequent certificate of registration Issued: Academic Practice Certificate||Effective:   10 Sep 2014
Transfer of class of registration to: Independent Practice Certificate||Effective:   19 Sep 2017</t>
  </si>
  <si>
    <t>V.S. Hocke Medicine Professional Corporation</t>
  </si>
  <si>
    <t>Issued Date:  Oct 22 2013</t>
  </si>
  <si>
    <t>Dr. V. Hocke (CPSO# 90356)</t>
  </si>
  <si>
    <t>LHSC Victoria Hospital,Department of Psychiatry,800 Commissioners Road East,London ON  N6A 5W9,(519) 667-6861</t>
  </si>
  <si>
    <t>61865</t>
  </si>
  <si>
    <t xml:space="preserve">Active Member as of 01 Jun 2007 </t>
  </si>
  <si>
    <t xml:space="preserve">Independent Practice as of 10 Jul 1996 </t>
  </si>
  <si>
    <t>Thunder Bay Regional Health Centre,980 Oliver Road,Thunder Bay ON  P7B 6V4,Canada,County:District of Thunder Bay,Electoral District:09
St Joseph Care Group,Bethammi Nursing Home,63 Carrie Street,Thunder Bay ON  P7A 4J2,Canada,County:District of Thunder Bay,Electoral District:09</t>
  </si>
  <si>
    <t>Egypt</t>
  </si>
  <si>
    <t>University of Toronto, 01 Nov 1989  to 30 Jun 1990|Clinical Fellow - Neurosurgery
University of Toronto, 01 Jul 1990  to 31 Dec 1990|Clinical Fellow - Neurosurgery
Queen's University, 01 Jan 1991  to 30 Jun 1991|Resident 1 - Psychiatry
University of Toronto, 01 Jul 1991  to 31 Dec 1991|Resident 1 - Psychiatry
University of Toronto, 01 Jan 1992  to 30 Jun 1992|Resident 2 - Psychiatry
University of Toronto, 01 Jul 1992  to 30 Jun 1993|Resident 2 - Psychiatry
University of Toronto, 01 Jul 1993  to 30 Jun 1994|Resident 3 - Psychiatry
University of Toronto, 01 Jul 1994  to 30 Jun 1995|Resident 4 - Psychiatry
University of Toronto, 01 Jul 1995  to 30 Jun 1996|Resident 4 - Psychiatry</t>
  </si>
  <si>
    <t>First certificate of registration issued: Postgraduate Education Certificate||Effective:   10 Jan 1990
Transfer of class of registration to: Independent Practice Certificate||Effective:   10 Jul 1996
Suspension of registration imposed: Discipline Committee||Effective:   01 Dec 2006
Suspension of registration removed||Effective:   01 Jun 2007</t>
  </si>
  <si>
    <t>Dr. W. Abouelnasr Medicine Professional Corporation</t>
  </si>
  <si>
    <t>Issued Date:  Jan 29 2013</t>
  </si>
  <si>
    <t>Dr. W. Abouelnasr (CPSO# 61865)</t>
  </si>
  <si>
    <t>East Toronto Health Centre,1496 Danforth Avenue,Toronto ON  M4J 1N4,(416) 778-1496
980 Oliver Road,980 Oliver Road,Thunder Bay ON  P7B 6V4,(807) 684-6425
63 Carrie Street,63 Carrie Street,Thunder Bay ON  P7A 6C2,(807) 344-3422</t>
  </si>
  <si>
    <t>81101</t>
  </si>
  <si>
    <t>North York General Hospital,Mental Health Program,4001 Leslie Street, 8 North,Toronto ON  M2K 1E1</t>
  </si>
  <si>
    <t>(416) 756-6322</t>
  </si>
  <si>
    <t>North York General Hospital,Genetics Program,4001 Leslie Street, 3SE,Toronto ON  M2K 1E1,Canada,Phone:(416) 756-6345,Fax:(416) 756-6727,County:City of Toronto,Electoral District:10
3280 Midland Ave, Unit 22,Toronto ON  M1V 4W9,Canada,Phone:416-479-7600,Fax:416-479-7601,County:City of Toronto,Electoral District:10</t>
  </si>
  <si>
    <t>Dr. W.L. Alan Fung Medicine Professional Corporation</t>
  </si>
  <si>
    <t>Dr. W. Fung (CPSO# 81101)</t>
  </si>
  <si>
    <t>North York General Hospital,Suite 8 North,4001 Leslie Street,Toronto ON  M2K 1E1,(416) 633-9420
Unit 22,Unit 22,3280 Midland Avenue,Toronto ON  M1V 4W9,(416) 479-7600
North York General Hospital,North York General Hospital,Suite 3 SE,4001 Leslie Street,Toronto ON  M2K 1E1,(416) 756-6345</t>
  </si>
  <si>
    <t>61769</t>
  </si>
  <si>
    <t xml:space="preserve">Active Member as of 30 Oct 1989 </t>
  </si>
  <si>
    <t xml:space="preserve">Independent Practice as of 30 Oct 1989 </t>
  </si>
  <si>
    <t>Ho, Walter I Chie (used until: 26 Apr 2001 )</t>
  </si>
  <si>
    <t>713 Montreal Road,Ottawa ON  K1K 0T2</t>
  </si>
  <si>
    <t>Montfort Hospital:Ottawa
Ottawa Hospital,General Site:Ottawa</t>
  </si>
  <si>
    <t>University of Ottawa, 14 Mar 2003  to 13 Mar 2004|PostGrad Yr 2 - Psychiatry
University of Ottawa, 14 Mar 2004  to 13 Mar 2005|PostGrad Yr 3 - Psychiatry
University of Ottawa, 11 Mar 2005  to 10 Mar 2006|PostGrad Yr 4 - Psychiatry
University of Ottawa, 11 Mar 2006  to 10 Mar 2007|PostGrad Yr 5 - Psychiatry</t>
  </si>
  <si>
    <t>First certificate of registration issued: Independent Practice Certificate||Effective:   30 Oct 1989</t>
  </si>
  <si>
    <t>Walter Hoe Medicine Professional Corporation</t>
  </si>
  <si>
    <t>Issued Date:  Jul 28 2009</t>
  </si>
  <si>
    <t>Dr. W. Hoe (CPSO# 61769)</t>
  </si>
  <si>
    <t>713 Montreal Road,Ottawa ON  K1K 0T2,(613) 761-4621</t>
  </si>
  <si>
    <t>31236</t>
  </si>
  <si>
    <t xml:space="preserve">Independent Practice as of 26 Nov 1979 </t>
  </si>
  <si>
    <t>20 Cleary Avenue,Ottawa ON  K2A 3Z9</t>
  </si>
  <si>
    <t>(613) 794-6004</t>
  </si>
  <si>
    <t>(613) 727-1254</t>
  </si>
  <si>
    <t>First certificate of registration issued: Postgraduate Education Certificate||Effective:   01 Jul 1978
Transfer of class of registration to: Independent Practice Certificate||Effective:   26 Nov 1979</t>
  </si>
  <si>
    <t>Walter M. Potoczny Medicine Professional Corporation</t>
  </si>
  <si>
    <t>Dr. W. Potoczny (CPSO# 31236)</t>
  </si>
  <si>
    <t>20 Cleary Avenue,Ottawa ON  K2A 3Z9,(613) 794-6004</t>
  </si>
  <si>
    <t>16754</t>
  </si>
  <si>
    <t xml:space="preserve">Active Member as of 05 Jul 1958 </t>
  </si>
  <si>
    <t xml:space="preserve">Independent Practice as of 05 Jul 1958 </t>
  </si>
  <si>
    <t>First certificate of registration issued: Independent Practice Certificate||Effective:   05 Jul 1958</t>
  </si>
  <si>
    <t>61507</t>
  </si>
  <si>
    <t xml:space="preserve">Active Member as of 17 Jul 1989 </t>
  </si>
  <si>
    <t xml:space="preserve">Independent Practice as of 17 Jul 1989 </t>
  </si>
  <si>
    <t>McGill University Health Centre,Department of Psychiatry -  B6.164,1650 Cedar Avenue,Montreal QC  H3G 1A4</t>
  </si>
  <si>
    <t>(514) 934-1934 Ext. 42055</t>
  </si>
  <si>
    <t>(514) 934-8237</t>
  </si>
  <si>
    <t>First certificate of registration issued: Independent Practice Certificate||Effective:   17 Jul 1989</t>
  </si>
  <si>
    <t>81965</t>
  </si>
  <si>
    <t>Ain Shams University, 1980</t>
  </si>
  <si>
    <t>Oakville-Trafalgar,Memorial Hospital,Department of Psychiatry,3001 Hospital Gate,Oakville ON  L6R 3J7</t>
  </si>
  <si>
    <t>(905) 8452571 Ext. 4900</t>
  </si>
  <si>
    <t>1070 STONECHURCH RD ,EAST,Hamilton ON  L8W 3K8,Canada,Phone:(905)645-0520,Fax:(905) 645-0528,County:Regional Municipality of Hamilton-Wentworth,Electoral District:04</t>
  </si>
  <si>
    <t>First certificate of registration issued: Restricted certificate||Effective:   01 Oct 2004
Terms and conditions imposed on certificate by Registration Committee||Effective:   01 Oct 2004
Expiry date attached to certificate of registration.||Expiry Date: 30 Jun 2007
Terms and conditions amended by Registration Committee||Effective:   16 Sep 2005
Expired: Terms and conditions imposed on certificate by Registration Committee||Effective:   30 Jun 2009
Subsequent certificate of registration issued: Restricted certificate||Effective:   01 Jul 2009
Terms and conditions amended by Registration Committee||Effective:   17 Oct 2013
Expiry date removed from certificate of registration.||Effective:   17 Oct 2013</t>
  </si>
  <si>
    <t>Wassim Soliman Medicine Professional Corporation</t>
  </si>
  <si>
    <t>Dr. W. Soliman (CPSO# 81965)</t>
  </si>
  <si>
    <t>Oakville-Trafalgar Memorial Hospital,Department of Psychiatry,3001 Hospital Gate,Oakville ON  L6M 0L8,(905) 845-2571
1070 Stonechurch Road East,1070 Stonechurch Road East,Hamilton ON  L8W 3K8,(905) 645-0520</t>
  </si>
  <si>
    <t>84262</t>
  </si>
  <si>
    <t>CAMH Clarke Site,Department of Psychiatry,250 College Street,Rm 1115,Toronto ON  M5T 1R8</t>
  </si>
  <si>
    <t>(416) 535-8501 Ext. 34947</t>
  </si>
  <si>
    <t>68058</t>
  </si>
  <si>
    <t>Department of Psychiatry,St Joseph's Health Centre,30 The Queensway,Toronto ON  M6R 1B5</t>
  </si>
  <si>
    <t>(416) 530-6000 Ext. 3041</t>
  </si>
  <si>
    <t>First certificate of registration issued: Postgraduate Education Certificate||Effective:   01 Jul 1994
Expired: Terms and conditions of certificate of registration||Expiry:      30 Jun 1999
Subsequent certificate of registration Issued: Independent Practice Certificate||Effective:   03 Mar 2000</t>
  </si>
  <si>
    <t>Wendy A. L. Moore Medicine Professional Corporation</t>
  </si>
  <si>
    <t>Issued Date:  Jan 09 2017</t>
  </si>
  <si>
    <t>Dr. W. Moore (CPSO# 68058)</t>
  </si>
  <si>
    <t>Department of Psychiatry,St Joseph's Health Centre,30 The Queensway,Suite G117 OPMH 5FL,Toronto ON  M6R 1B5,(416) 530-6000</t>
  </si>
  <si>
    <t>50276</t>
  </si>
  <si>
    <t xml:space="preserve">Independent Practice as of 24 Jul 1987 </t>
  </si>
  <si>
    <t>343-987-1750</t>
  </si>
  <si>
    <t>613-274-0417</t>
  </si>
  <si>
    <t>University of Ottawa, 15 Jun 1982  to 15 Jun 1983|Other - Rotating Internship
University of Ottawa, 01 Jul 1983  to 30 Jun 1984|Resident 1 - Anesthesiology
University of Ottawa, 01 Jul 1984  to 30 Jun 1985|Resident 1 - Psychiatry
University of Ottawa, 01 Jul 1985  to 30 Jun 1986|Resident 2 - Psychiatry
University of Ottawa, 01 Jul 1986  to 30 Jun 1987|Resident 3 - Psychiatry
University of Ottawa, 01 Jul 1987  to 31 Dec 1987|Resident 4 - Psychiatry
University of Ottawa, 11 Jan 1988  to 30 Jun 1988|Clinical Fellow - Psychiatry
University of Ottawa, 01 Jul 1988  to 31 Dec 1988|Clinical Fellow - Psychiatry</t>
  </si>
  <si>
    <t>First certificate of registration issued: Postgraduate Education Certificate||Effective:   15 Jun 1982
Transfer of class of registration to: Independent Practice Certificate||Effective:   24 Jul 1987</t>
  </si>
  <si>
    <t>Dr. Wendy Cole Medicine Professional Corporation</t>
  </si>
  <si>
    <t>Issued Date:  Sep 18 2012</t>
  </si>
  <si>
    <t>Dr. W. Cole (CPSO# 50276)</t>
  </si>
  <si>
    <t>Queensway Carleton Hospital,Department of Psychiatry,3045 Baseline Road,Nepean ON  K2H 8P4,(343) 987-1750</t>
  </si>
  <si>
    <t>63703</t>
  </si>
  <si>
    <t xml:space="preserve">Independent Practice as of 01 Dec 1992 </t>
  </si>
  <si>
    <t>Children's Hospital of,Eastern Ontario,Department of Psychiatry,401 Smyth Road,Ottawa ON  K1H 8L1</t>
  </si>
  <si>
    <t>(613) 737-7600 Ext. 3609</t>
  </si>
  <si>
    <t>Queen's University, 01 Jul 1995  to 30 Jun 1996|Resident 2 - Psychiatry
Queen's University, 01 Jul 1996  to 30 Jun 1997|Resident 3 - Psychiatry
Queen's University, 01 Jul 1997  to 31 Dec 1997|Resident 3 - Psychiatry
Queen's University, 01 Jan 1998  to 30 Jun 1998|Resident 4 - Psychiatry
Queen's University, 01 Jul 1998  to 30 Sep 1998|Resident 4 - Psychiatry
University of Ottawa, 01 Jul 1999  to 30 Jun 2000|Clinical Fellow - Psychiatry</t>
  </si>
  <si>
    <t>First certificate of registration issued: Postgraduate Education Certificate||Effective:   01 Jul 1991
Transfer of class of registration to: Independent Practice Certificate||Effective:   01 Dec 1992</t>
  </si>
  <si>
    <t>W.J. Spettigue Medicine Professional Corporation</t>
  </si>
  <si>
    <t>Issued Date:  Sep 19 2011</t>
  </si>
  <si>
    <t>Dr. W. Spettigue (CPSO# 63703)</t>
  </si>
  <si>
    <t>Children's Hospital of,Eastern Ontario,Department of Psychiatry,401 Smyth Road,Ottawa ON  K1H 8L1,(613) 737-7600</t>
  </si>
  <si>
    <t>65561</t>
  </si>
  <si>
    <t>27 Prince Arthur Avenue,Toronto ON  M5R 1B2</t>
  </si>
  <si>
    <t>(416) 923-8838</t>
  </si>
  <si>
    <t>(416) 923-8820</t>
  </si>
  <si>
    <t>Dr. Wendy Yiu Medicine Professional Corporation</t>
  </si>
  <si>
    <t>Issued Date:  Aug 08 2013</t>
  </si>
  <si>
    <t>Dr. W. Yiu (CPSO# 65561)</t>
  </si>
  <si>
    <t>27 Prince Arthur Avenue,Toronto ON  M5R 1B2,(416) 923-8838</t>
  </si>
  <si>
    <t>93688</t>
  </si>
  <si>
    <t>St. Joseph's Healthcare, Hamilton,West 5th Campus,100 West 5th Street,Hamilton ON  L8N 3K7</t>
  </si>
  <si>
    <t>(905)522-1155 Ext. 35533</t>
  </si>
  <si>
    <t>University of Toronto, 01 Jul 2010  to 30 Jun 2011|PostGrad Yr 1 - Psychiatry
University of Toronto, 01 Jul 2011  to 30 Jun 2012|PostGrad Yr 2 - Psychiatry
University of Toronto, 01 Jul 2012  to 30 Jun 2013|PostGrad Yr 3 - Psychiatry
University of Toronto, 01 Jul 2013  to 30 Jun 2014|PostGrad Yr 4 - Psychiatry
University of Toronto, 01 Jul 2014  to 30 Jun 2015|PostGrad Yr 5 - Psychiatry
University of Toronto, 01 Jul 2015  to 30 Jun 2016|PostGrad Yr 6 - Forensic Psychiatry</t>
  </si>
  <si>
    <t>First certificate of registration issued: Postgraduate Education Certificate||Effective:   01 Jul 2010
Expired: Terms and conditions of certificate of registration||Expiry:      05 Sep 2013
Subsequent certificate of registration issued: Restricted certificate||Effective:   05 Sep 2013
Expired: Terms and conditions imposed on certificate by Registration Committee||Effective:   30 Jun 2014
Subsequent certificate of registration Issued: Postgraduate Education Certificate||Effective:   01 Jul 2014
Expired: Terms and conditions of certificate of registration||Expiry:      16 Jul 2014
Subsequent certificate of registration issued: Restricted certificate||Effective:   16 Jul 2014
Expired: Terms and conditions imposed on certificate by Registration Committee||Effective:   30 Jun 2015
Subsequent certificate of registration Issued: Independent Practice Certificate||Effective:   30 Jun 2015</t>
  </si>
  <si>
    <t>Dr. Wesley Sutton Medicine Professional Corporation</t>
  </si>
  <si>
    <t>Issued Date:  Jan 17 2017</t>
  </si>
  <si>
    <t>Dr. W. Sutton (CPSO# 93688)</t>
  </si>
  <si>
    <t>Centre for Addiction and Mental Health,Unit 1,100 West 5th Street,PO Box 585,Hamilton ON  L8N 3K7,(905) 522-1155</t>
  </si>
  <si>
    <t>31787</t>
  </si>
  <si>
    <t xml:space="preserve">Active Member as of 08 Jul 1980 </t>
  </si>
  <si>
    <t xml:space="preserve">Independent Practice as of 08 Jul 1980 </t>
  </si>
  <si>
    <t>English, Jamaican Creole</t>
  </si>
  <si>
    <t>University of the West Indies, 1973</t>
  </si>
  <si>
    <t>(905) 895-4521 Ext. 2904</t>
  </si>
  <si>
    <t>First certificate of registration issued: Independent Practice Certificate||Effective:   08 Jul 1980</t>
  </si>
  <si>
    <t>William A. Look Hong Medicine Professional Corporation</t>
  </si>
  <si>
    <t>Issued Date:  Jun 21 2011</t>
  </si>
  <si>
    <t>Dr. N. Look Hong (CPSO# 81038),Dr. W. Look Hong (CPSO# 31787)</t>
  </si>
  <si>
    <t>Southlake Regional Health Centre,596 Davis Drive,Newmarket ON  L3Y 2P9,(905) 895-4521</t>
  </si>
  <si>
    <t>60016</t>
  </si>
  <si>
    <t xml:space="preserve">Independent Practice as of 17 Jun 1989 </t>
  </si>
  <si>
    <t>University of Calgary, 1985</t>
  </si>
  <si>
    <t>(416) 901-9020 Ext. 2325</t>
  </si>
  <si>
    <t>First certificate of registration issued: Postgraduate Education Certificate||Effective:   13 Jun 1988
Transfer of class of registration to: Independent Practice Certificate||Effective:   17 Jun 1989</t>
  </si>
  <si>
    <t>Gnam and Paek Medicine Professional Corporation</t>
  </si>
  <si>
    <t>Issued Date:  Oct 07 2015</t>
  </si>
  <si>
    <t>Dr. W. Gnam (CPSO# 60016),Dr. W. Paek (CPSO# 58104)</t>
  </si>
  <si>
    <t>TS Medical Centre,692 Euclid Avenue,Toronto ON  M6G 2T9,(416) 901-9020
Suite 8711,Suite 8711,700 University Avenue,Toronto ON  M5G 1Z5,(416) 586-4800</t>
  </si>
  <si>
    <t>33039</t>
  </si>
  <si>
    <t xml:space="preserve">Active Member as of 05 Nov 1981 </t>
  </si>
  <si>
    <t xml:space="preserve">Independent Practice as of 05 Nov 1981 </t>
  </si>
  <si>
    <t>255 Townline Road East,Rural Route 5,Cayuga ON  N0A 1E0</t>
  </si>
  <si>
    <t>(905) 772-7218</t>
  </si>
  <si>
    <t>West Haldimand General Hospital,75 Parkview Road,Hagersville ON  N0A 1H0,Canada,County:Regional Municipality of Haldimand-Norfolk,Electoral District:04
Haldimand War Memorial Hospital,206 John Street,Dunnville ON  N1A 2P7,Canada,County:Regional Municipality of Haldimand-Norfolk,Electoral District:04</t>
  </si>
  <si>
    <t>Haldimand War Memorial Hospital:Dunnville
West Haldimand,General Hospital:Hagersville</t>
  </si>
  <si>
    <t>Psychiatry||Effective: 05 Jun 1984||RCPSC Specialist
Geriatric Psychiatry||Effective: 21 Sep 2015||RCPSC Specialist</t>
  </si>
  <si>
    <t>First certificate of registration issued: Postgraduate Education Certificate||Effective:   14 Jun 1980
Transfer of class of registration to: Independent Practice Certificate||Effective:   05 Nov 1981</t>
  </si>
  <si>
    <t>27915</t>
  </si>
  <si>
    <t>State University of Iowa, 1971</t>
  </si>
  <si>
    <t>Toronto West Professional Centre,Suite 419,2425 Bloor Street West,Toronto ON  M6S 4W4</t>
  </si>
  <si>
    <t>(416) 909-7621</t>
  </si>
  <si>
    <t>(416) 769-3517</t>
  </si>
  <si>
    <t>First certificate of registration issued: Independent Practice Certificate||Effective:   16 Oct 1975
Expired: Failure to Renew Membership||Expiry:      02 Aug 2002
Subsequent certificate of registration Issued: Independent Practice Certificate||Effective:   09 Aug 2002</t>
  </si>
  <si>
    <t>Dr. W. H. Wehrspann Medicine Professional Corporation</t>
  </si>
  <si>
    <t>Issued Date:  May 05 2006</t>
  </si>
  <si>
    <t>Dr. W. Wehrspann (CPSO# 27915)</t>
  </si>
  <si>
    <t>Toronto West Professional Centre,419 - 2425 Bloor Street West,Toronto ON  M6S 4W4,(416) 909-7621</t>
  </si>
  <si>
    <t>31615</t>
  </si>
  <si>
    <t xml:space="preserve">Independent Practice as of 24 Jun 1980 </t>
  </si>
  <si>
    <t>500 Church Street,Penetanguishene,L9M 1G3,Penetanguishene ON  M1L 2K9</t>
  </si>
  <si>
    <t>705 549 3181 Ext. 2366</t>
  </si>
  <si>
    <t>Centre of Addiction &amp; Mental Health,- College Street Site:Toronto
Grand River Hospital Corporation,Kitchener Waterloo Site:Kitchener
Stratford General Hospital:Stratford
Waypoint Centre for Mental Health Care:Penetanguishene</t>
  </si>
  <si>
    <t>University of Toronto, 01 Jan 1985  to 31 Dec 1985|Resident 1 - Psychiatry
University of Toronto, 01 Jan 1986  to 31 Dec 1986|Resident 2 - Psychiatry
University of Toronto, 01 Jan 1987  to 31 Dec 1987|Resident 3 - Psychiatry
University of Toronto, 01 Jan 1988  to 31 Dec 1988|Resident 4 - Psychiatry</t>
  </si>
  <si>
    <t>First certificate of registration issued: Postgraduate Education Certificate||Effective:   04 Jul 1979
Transfer of class of registration to: Independent Practice Certificate||Effective:   24 Jun 1980</t>
  </si>
  <si>
    <t>W. Johnston Medicine Professional Corporation</t>
  </si>
  <si>
    <t>Issued Date:  Mar 31 2006</t>
  </si>
  <si>
    <t>Dr. W. Johnston (CPSO# 31615)</t>
  </si>
  <si>
    <t>55 Civic Road,Scarborough ON  M1L 2K9,(416) 750-3513</t>
  </si>
  <si>
    <t>87818</t>
  </si>
  <si>
    <t xml:space="preserve">Active Member as of 16 Oct 2007 </t>
  </si>
  <si>
    <t>University of Waterloo,Health Services,200 University Avenue West,Waterloo ON  N2L 3G1</t>
  </si>
  <si>
    <t>(519) 888-4567 Ext. 31982</t>
  </si>
  <si>
    <t>519-888-4321</t>
  </si>
  <si>
    <t>Suite 1004,20 Erb Street West,Waterloo ON  N2L 1T2,Canada,Phone:(519) 746-1511,Fax:(519) 746-4978,County:Regional Municipality of Waterloo,Electoral District:03</t>
  </si>
  <si>
    <t>First certificate of registration issued: Independent Practice Certificate||Effective:   16 Oct 2007</t>
  </si>
  <si>
    <t>Snelgrove &amp; Nesdoly Medicine Professional Corporation</t>
  </si>
  <si>
    <t>Dr. W. Snelgrove (CPSO# 87818),Dr. C. Nesdoly (CPSO# 87778)</t>
  </si>
  <si>
    <t>Marsland Centre,1004 - 20 Erb Street West,Waterloo ON  N2L 1T2,(519) 746-1511
University of Waterloo,University of Waterloo,Health Services,200 University Avenue West,Waterloo ON  M2L 3G1,(519) 888-4567
William Osler Health System,William Osler Health System,Etobicoke General Hospital,101 Humber College Boulevard,Etobicoke ON  M9V 1R8,(416) 494-2120
William Osler Health System,William Osler Health System,Brampton Civic Hospital,2100 Bovaird Drive East,Room 4N 758,Brampton ON  L6R 3J7,(905) 494-6586</t>
  </si>
  <si>
    <t>55555</t>
  </si>
  <si>
    <t>Waypoint Centre for Mental Health C,500 Church Street,Penetanguishene ON  L9M 1G3</t>
  </si>
  <si>
    <t>Bluewater Health,89 Norman Street,Sarnia ON  N7T 6S3,Canada,Phone:(519) 464-4500 Ext. 5412,County:County of Lambton,Electoral District:01</t>
  </si>
  <si>
    <t>Bluewater Health:Sarnia
Waypoint Centre for Mental Health Care:Penetanguishene</t>
  </si>
  <si>
    <t>The University of Western Ontario, 15 Jun 1985  to 14 Jun 1986|Other - Rotating Internship
The University of Western Ontario, 01 Jul 1986  to 30 Jun 1987|Resident 1 - Psychiatry
The University of Western Ontario, 01 Jul 1987  to 30 Jun 1988|Resident 2 - Psychiatry
The University of Western Ontario, 01 Jul 1988  to 30 Jun 1989|Resident 3 - Psychiatry
The University of Western Ontario, 01 Jul 1989  to 30 Jun 1990|Resident 4 - Psychiatry</t>
  </si>
  <si>
    <t>First certificate of registration issued: Postgraduate Education Certificate||Effective:   15 Jun 1985
Transfer of class of registration to: Independent Practice Certificate||Effective:   29 Dec 1986</t>
  </si>
  <si>
    <t>William J. Komer Medicine Professional Corporation</t>
  </si>
  <si>
    <t>Issued Date:  Sep 08 2004</t>
  </si>
  <si>
    <t>Dr. W. Komer (CPSO# 55555)</t>
  </si>
  <si>
    <t>Suite 513,509 Commissioners Road West,London ON  N6J 1Y5,(519) 670-4060
Waypoint Centre for Mental Health,Waypoint Centre for Mental Health,500 Church Street,Penetanguishene ON  L9M 1G3,(705) 549-3181
Bluewater Health,Bluewater Health,89 Norman Street,Sarnia ON  N7T 6S3,(519) 464-4500</t>
  </si>
  <si>
    <t>64583</t>
  </si>
  <si>
    <t>Chinese, English, Filipino, Taiwanese</t>
  </si>
  <si>
    <t>Far Eastern University, 1976</t>
  </si>
  <si>
    <t>4190 Finch Avenue East,Suite 203,Scarborough ON  M1S 4T7</t>
  </si>
  <si>
    <t>(416) 299-8060</t>
  </si>
  <si>
    <t>(416) 299-9046</t>
  </si>
  <si>
    <t>University of Toronto, 01 Jul 1991  to 30 Jun 1992|Resident 1 - Psychiatry
University of Toronto, 01 Jul 1992  to 30 Jun 1993|Resident 2 - Psychiatry
University of Toronto, 01 Jul 1993  to 31 Aug 1993|Resident 2 - Psychiatry
University of Toronto, 01 Sep 1993  to 30 Jun 1994|Resident 3 - Psychiatry
University of Toronto, 01 Jul 1994  to 31 Aug 1994|Resident 3 - Psychiatry
University of Toronto, 01 Sep 1994  to 30 Jun 1995|Resident 4 - Psychiatry
University of Toronto, 01 Jul 1995  to 31 Aug 1996|Resident 4 - Psychiatry</t>
  </si>
  <si>
    <t>First certificate of registration issued: Postgraduate Education Certificate||Effective:   12 Sep 1991
Expired: Terms and conditions of certificate of registration||Expiry:      31 Aug 1995
Subsequent certificate of registration issued: Restricted certificate||Effective:   01 Sep 1995
Expired: Terms and conditions of certificate of registration||Expiry:      22 Dec 1995
Subsequent certificate of registration Issued: Independent Practice Certificate||Effective:   22 Dec 1995</t>
  </si>
  <si>
    <t>61391</t>
  </si>
  <si>
    <t xml:space="preserve">Independent Practice as of 18 Jul 1990 </t>
  </si>
  <si>
    <t>150 Delhi Street,Guelph ON  N1E 6K9</t>
  </si>
  <si>
    <t>First certificate of registration issued: Postgraduate Education Certificate||Effective:   28 Jun 1989
Transfer of class of registration to: Independent Practice Certificate||Effective:   18 Jul 1990</t>
  </si>
  <si>
    <t>50160</t>
  </si>
  <si>
    <t>Peel Children's Centre,85 Adventura Court,Mississauga ON  L5T 2Y6</t>
  </si>
  <si>
    <t>(905) 795-3500 Ext. 2220</t>
  </si>
  <si>
    <t>257 Roseland CR,Burlington ON  L7N 1S4,Canada,Phone:(905) 632-5864,County:Regional Municipality of Halton,Electoral District:04</t>
  </si>
  <si>
    <t>First certificate of registration issued: Postgraduate Education Certificate||Effective:   15 Jun 1981
Transfer of class of registration to: Independent Practice Certificate||Effective:   29 Aug 1983</t>
  </si>
  <si>
    <t>Bishop Martin Medicine Professional Corporation</t>
  </si>
  <si>
    <t>Issued Date:  Aug 23 2013</t>
  </si>
  <si>
    <t>Dr. W. Bishop (CPSO# 50160),Dr. D. Martin (CPSO# 51040)</t>
  </si>
  <si>
    <t>Peel Children's Centre,85 A Adventura Court,Mississauga ON  L5T 2Y6,(905) 795-3500
Unit 205,Unit 205,2289 Fairview Street,Burlington ON  L7R 2E3,(905) 632-5864</t>
  </si>
  <si>
    <t>30963</t>
  </si>
  <si>
    <t xml:space="preserve">Active Member as of 13 Jul 1979 </t>
  </si>
  <si>
    <t xml:space="preserve">Independent Practice as of 13 Jul 1979 </t>
  </si>
  <si>
    <t>University of the West Indies, 1972</t>
  </si>
  <si>
    <t>2077 Lakeshore Blvd. West,Etobicoke ON  M8V 4C2</t>
  </si>
  <si>
    <t>416-901-4751</t>
  </si>
  <si>
    <t>Trinidad and Tobago</t>
  </si>
  <si>
    <t>First certificate of registration issued: Independent Practice Certificate||Effective:   13 Jul 1979</t>
  </si>
  <si>
    <t>Dr. Winston Gormandy Medicine Professional Corporation</t>
  </si>
  <si>
    <t>Issued Date:  Oct 22 2004</t>
  </si>
  <si>
    <t>Dr. W. Gormandy (CPSO# 30963)</t>
  </si>
  <si>
    <t>2077 Lakeshore Boulevard West,Etobicoke ON  M8V 4C2,(416) 901-4751</t>
  </si>
  <si>
    <t>84391</t>
  </si>
  <si>
    <t>St Michaels Hospital,Mental Health Services,30 Bond Street,Toronto ON  M5B 1W8</t>
  </si>
  <si>
    <t>University of Toronto, 01 Jul 2006  to 30 Jun 2007|PostGrad Yr 1 - Psychiatry
University of Toronto, 01 Jul 2007  to 30 Jun 2008|PostGrad Yr 2 - Psychiatry
University of Toronto, 01 Jul 2008  to 30 Jun 2009|PostGrad Yr 3 - Psychiatry
University of Toronto, 01 Jul 2009  to 30 Jun 2010|PostGrad Yr 4 - Psychiatry
University of Toronto, 01 Jul 2010  to 30 Jun 2011|PostGrad Yr 5 - Psychiatry
University of Toronto, 01 Jul 2011  to 30 Jun 2012|Clinical Fellow - Psychiatry</t>
  </si>
  <si>
    <t>Lamba &amp; Gowda Medicine Professional Corporation</t>
  </si>
  <si>
    <t>Issued Date:  Jul 03 2014</t>
  </si>
  <si>
    <t>Dr. S. Gowda (CPSO# 96954),Dr. W. Lamba (CPSO# 84391)</t>
  </si>
  <si>
    <t>St. Michael's Hospital,Mental Health Services,30 Bond Street,CC 17 - 045,Toronto ON  M9N 1N8,(416) 864-3082
1235 Wilson Avenue,1235 Wilson Avenue,Toronto ON  M3M 0B2,(416) 242-1000</t>
  </si>
  <si>
    <t>94401</t>
  </si>
  <si>
    <t xml:space="preserve">Active Member as of 03 Sep 2010 </t>
  </si>
  <si>
    <t xml:space="preserve">Independent Practice as of 03 Sep 2010 </t>
  </si>
  <si>
    <t>Jagiellonian University, 2003</t>
  </si>
  <si>
    <t>McMaster University, 01 Sep 2010  to 30 Jun 2011|Clinical Fellow - Psychiatry
McMaster University, 01 Jul 2011  to 31 Aug 2011|Clinical Fellow - Psychiatry</t>
  </si>
  <si>
    <t>First certificate of registration issued: Independent Practice Certificate||Effective:   03 Sep 2010</t>
  </si>
  <si>
    <t>Czernikiewicz Medicine Professional Corporation</t>
  </si>
  <si>
    <t>Issued Date:  Oct 01 2013</t>
  </si>
  <si>
    <t>Dr. W. Czernikiewicz (CPSO# 94401)</t>
  </si>
  <si>
    <t>31252</t>
  </si>
  <si>
    <t xml:space="preserve">Active Member as of 13 Dec 1979 </t>
  </si>
  <si>
    <t xml:space="preserve">Independent Practice as of 13 Dec 1979 </t>
  </si>
  <si>
    <t>(416) 925-6573</t>
  </si>
  <si>
    <t>First certificate of registration issued: Independent Practice Certificate||Effective:   13 Dec 1979</t>
  </si>
  <si>
    <t>90759</t>
  </si>
  <si>
    <t xml:space="preserve">Active Member as of 30 Jul 2015 </t>
  </si>
  <si>
    <t xml:space="preserve">Independent Practice as of 30 Jul 2015 </t>
  </si>
  <si>
    <t>CAMH,250 College St - Room 1116,Toronto ON  M5T 1R8</t>
  </si>
  <si>
    <t>(416) 535-8501 Ext. 30874</t>
  </si>
  <si>
    <t>University of Toronto, 01 Jul 2009  to 30 Jun 2010|PostGrad Yr 1 - Psychiatry
University of Toronto, 01 Jul 2010  to 30 Jun 2011|PostGrad Yr 2 - Psychiatry
University of Toronto, 01 Jul 2011  to 30 Jun 2012|PostGrad Yr 3 - Psychiatry
University of Toronto, 01 Jul 2012  to 30 Jun 2013|PostGrad Yr 4 - Psychiatry
University of Toronto, 01 Jul 2013  to 30 Jun 2014|PostGrad Yr 4 - Psychiatry
University of Toronto, 01 Jul 2014  to 30 Jun 2015|PostGrad Yr 5 - Psychiatry</t>
  </si>
  <si>
    <t>First certificate of registration issued: Postgraduate Education Certificate||Effective:   01 Jul 2009
Expired: Terms and conditions of certificate of registration||Expiry:      30 Jun 2015
Subsequent certificate of registration Issued: Independent Practice Certificate||Effective:   30 Jul 2015</t>
  </si>
  <si>
    <t>89746</t>
  </si>
  <si>
    <t xml:space="preserve">Active Member as of 13 Aug 2008 </t>
  </si>
  <si>
    <t xml:space="preserve">Independent Practice as of 13 Aug 2008 </t>
  </si>
  <si>
    <t>Toronto General Hospital,200 Elizabeth Street,Toronto ON  M5G 2C4</t>
  </si>
  <si>
    <t>(416) 340-4464</t>
  </si>
  <si>
    <t>London Health Sciences Centre Victoria Hospital:London
Timmins and District Hospital:Timmins
University Health Network,Toronto General Hospital Site:Toronto</t>
  </si>
  <si>
    <t>First certificate of registration issued: Independent Practice Certificate||Effective:   13 Aug 2008</t>
  </si>
  <si>
    <t>Dr. Yasir Khan Medicine Professional Corporation</t>
  </si>
  <si>
    <t>Dr. Y. Khan (CPSO# 89746)</t>
  </si>
  <si>
    <t>Toronto General Hospital,Suite 8-225,Eaton Wing North,200 Elizabeth Street,Toronto ON  M5G 2C4,(416) 340-4464</t>
  </si>
  <si>
    <t>83574</t>
  </si>
  <si>
    <t xml:space="preserve">Active Member as of 28 Jul 2005 </t>
  </si>
  <si>
    <t xml:space="preserve">Independent Practice as of 28 Jul 2005 </t>
  </si>
  <si>
    <t>King Saud University, 1993</t>
  </si>
  <si>
    <t>Neuroscience Center, KFSH-Dammam;,P.O. Box 15215,Dammam 31444,Saudi Arabia</t>
  </si>
  <si>
    <t>+966138442222 Ext. 3013</t>
  </si>
  <si>
    <t>+966138150315</t>
  </si>
  <si>
    <t>Saskatchewan
Saudi Arabia</t>
  </si>
  <si>
    <t>First certificate of registration issued: Independent Practice Certificate||Effective:   28 Jul 2005</t>
  </si>
  <si>
    <t>Yasser Ad-Dab'bagh Medicine Professional Corporation</t>
  </si>
  <si>
    <t>Inactive: Aug 15 2014</t>
  </si>
  <si>
    <t>105164</t>
  </si>
  <si>
    <t xml:space="preserve">Active Member as of 05 Nov 2014 </t>
  </si>
  <si>
    <t xml:space="preserve">Independent Practice as of 05 Nov 2014 </t>
  </si>
  <si>
    <t>University Hassan II - Ain Chok, 2000</t>
  </si>
  <si>
    <t>NmcRoyal Hospital KLF city,Khalifa city 35233 AD,United Arab Emirates</t>
  </si>
  <si>
    <t>+971 503218533</t>
  </si>
  <si>
    <t>United Arab Emirates</t>
  </si>
  <si>
    <t>First certificate of registration issued: Independent Practice Certificate||Effective:   05 Nov 2014</t>
  </si>
  <si>
    <t>110423</t>
  </si>
  <si>
    <t xml:space="preserve">Active Member as of 09 Aug 2016 </t>
  </si>
  <si>
    <t xml:space="preserve">Independent Practice as of 09 Aug 2016 </t>
  </si>
  <si>
    <t>Ross University, 2011</t>
  </si>
  <si>
    <t>St Josephs Healthcare,100 West 5th Street,Hamilton ON  L8N 3K7</t>
  </si>
  <si>
    <t>Trillium Health Partners,100 Queensway W. Mississauga,Mississauga ON  L5B 1B8,Canada,Phone:647-971-1906,County:Regional Municipality of Peel,Electoral District:05</t>
  </si>
  <si>
    <t>St Joseph's Healthcare System,Hamilton:Hamilton
Trillium Health Partners,Mississauga Hospital:Mississauga</t>
  </si>
  <si>
    <t>Psychiatry||Effective: 31 Jul 2016||RCPSC Specialist</t>
  </si>
  <si>
    <t>First certificate of registration issued: Restricted certificate||Effective:   01 Jul 2016
Terms and conditions imposed on certificate by Registration Committee||Effective:   01 Jul 2016
Expiry date attached to certificate of registration.||Expiry Date: 31 Dec 2017
Expired: Terms and conditions imposed on certificate by Registration Committee||Effective:   09 Aug 2016
Subsequent certificate of registration Issued: Independent Practice Certificate||Effective:   09 Aug 2016</t>
  </si>
  <si>
    <t>Yedishtra Naidoo Medicine Professional Corporation</t>
  </si>
  <si>
    <t>Dr. Y. Naidoo (CPSO# 110423)</t>
  </si>
  <si>
    <t>St Joseph's Healthcare,100 West 5th Street,Hamilton ON  L9C 0E3,(905) 522-1155</t>
  </si>
  <si>
    <t>95517</t>
  </si>
  <si>
    <t>English, Russian, Spanish</t>
  </si>
  <si>
    <t>St George's University of Grenada, 2011</t>
  </si>
  <si>
    <t>712 Davis Dr.,Suite 308,Newmarket ON  L3Y 8C3</t>
  </si>
  <si>
    <t>(844) 942-4448</t>
  </si>
  <si>
    <t>(844) 424-4484</t>
  </si>
  <si>
    <t>University of Toronto, 01 Jul 2011  to 22 Sep 2011|Assessment Verification Period - Psychiatry
University of Toronto, 23 Sep 2011  to 30 Jun 2012|PostGrad Yr 1 - Psychiatry
University of Toronto, 01 Jul 2012  to 30 Jun 2013|PostGrad Yr 2 - Psychiatry
University of Toronto, 01 Jul 2013  to 30 Jun 2014|PostGrad Yr 3 - Psychiatry
University of Toronto, 01 Jul 2014  to 30 Jun 2015|PostGrad Yr 4 - Psychiatry
University of Toronto, 01 Jul 2015  to 30 Jun 2016|PostGrad Yr 5 - Psychiatry</t>
  </si>
  <si>
    <t>First certificate of registration issued: Pre Entry Assessment Program Certificate||Effective:   01 Jul 2011
Transfer of class of registration to: Postgraduate Education Certificate||Effective:   23 Sep 2011
Expired: Terms and conditions of certificate of registration||Expiry:      30 Jun 2016
Subsequent certificate of registration Issued: Independent Practice Certificate||Effective:   18 Jul 2016</t>
  </si>
  <si>
    <t>Haggith Medicine Professional Corporation</t>
  </si>
  <si>
    <t>Issued Date:  Nov 09 2016</t>
  </si>
  <si>
    <t>Dr. Y. Haggith (CPSO# 95517)</t>
  </si>
  <si>
    <t>30 Prospect Street,Suite 302,Newmarket ON  L3Y 3S9,(844) 942-4448</t>
  </si>
  <si>
    <t>91316</t>
  </si>
  <si>
    <t>Our Lady of Fatima University, 2000</t>
  </si>
  <si>
    <t>Toronto Western Hospital,9 EW  - 399 Bathurst Street,Toronto ON  M5T 2S8</t>
  </si>
  <si>
    <t>416 603 5661</t>
  </si>
  <si>
    <t>Hong Fook Mental Health Association,Unit 22,3280 Midland Ave., Scarborough,Ontario, M1V 4W9,Toronto ON  M1V 4W9,Canada,Phone:(416)493-4242,Fax:(416)595-6332,County:City of Toronto,Electoral District:10</t>
  </si>
  <si>
    <t>McMaster University, 01 Jul 2009  to 23 Sep 2009|Assessment Verification Period - Psychiatry
McMaster University, 24 Sep 2009  to 30 Jun 2010|PostGrad Yr 1 - Psychiatry
McMaster University, 01 Jul 2010  to 30 Jun 2011|PostGrad Yr 2 - Psychiatry
McMaster University, 01 Jul 2011  to 30 Jun 2012|PostGrad Yr 3 - Psychiatry
McMaster University, 01 Jul 2012  to 30 Jun 2013|PostGrad Yr 4 - Psychiatry
McMaster University, 01 Jul 2013  to 30 Jun 2014|PostGrad Yr 5 - Psychiatry
McMaster University, 01 Jul 2014  to 31 Dec 2014|PostGrad Yr 5 - Psychiatry</t>
  </si>
  <si>
    <t>First certificate of registration issued: Pre Entry Assessment Program Certificate||Effective:   01 Jul 2009
Transfer of class of registration to: Postgraduate Education Certificate||Effective:   24 Sep 2009
Expired: Terms and conditions of certificate of registration||Expiry:      31 Dec 2014
Subsequent certificate of registration Issued: Independent Practice Certificate||Effective:   30 Jun 2015</t>
  </si>
  <si>
    <t>Dr. Nancy Lin Medicine Professional Corporation</t>
  </si>
  <si>
    <t>Dr. Y. Lin (CPSO# 91316)</t>
  </si>
  <si>
    <t>22 - 3280 Midland Avenue,Scarborough ON  M1V 4W9,(416) 479-7600
Toronto Western Hospital,Toronto Western Hospital,Suite 9 E W,399 Bathurst Street,Toronto ON  M5T 2S8,(416) 603-5349</t>
  </si>
  <si>
    <t>58361</t>
  </si>
  <si>
    <t xml:space="preserve">Independent Practice as of 12 Jun 1989 </t>
  </si>
  <si>
    <t>Ottawa Hospital Civic Campus,D6,1053 Carling Avenue,Ottawa ON  K1Y 4E9</t>
  </si>
  <si>
    <t>University of Ottawa, 15 Jun 1987  to 15 Jun 1988|Other - Rotating Internship
University of Ottawa, 01 Jul 1988  to 30 Jun 1989|Resident 1 - Psychiatry
University of Ottawa, 01 Jul 1989  to 30 Jun 1990|Resident 2 - Psychiatry
University of Ottawa, 01 Jul 1990  to 30 Jun 1991|Resident 3 - Psychiatry
University of Ottawa, 01 Jul 1991  to 30 Jun 1992|Resident 4 - Psychiatry</t>
  </si>
  <si>
    <t>First certificate of registration issued: Postgraduate Education Certificate||Effective:   15 Jun 1987
Transfer of class of registration to: Independent Practice Certificate||Effective:   12 Jun 1989
Expiry date attached to certificate of registration.||Expiry Date: 30 Jun 1990</t>
  </si>
  <si>
    <t>Yoland Charbonneau Medicine Professional Corporation</t>
  </si>
  <si>
    <t>Dr. Y. Charbonneau (CPSO# 58361)</t>
  </si>
  <si>
    <t>Ottawa Hospital Civic Campus,D-6,1053 Carling Avenue,Ottawa ON  K1Y 4E9,(613) 761-4588</t>
  </si>
  <si>
    <t>51009</t>
  </si>
  <si>
    <t xml:space="preserve">Active Member as of 13 Feb 1993 </t>
  </si>
  <si>
    <t xml:space="preserve">Independent Practice as of 22 Dec 2005 </t>
  </si>
  <si>
    <t>Department of Psychiatry,Lakeridge Health Corporation Oshawa,1 Hospital Court,Oshawa ON  L1G 2B9</t>
  </si>
  <si>
    <t>(905) 433-2206</t>
  </si>
  <si>
    <t>University of Toronto, 01 Jul 1978  to 30 Jun 1979|Resident 1 - Psychiatry
University of Toronto, 01 Jul 1979  to 30 Jun 1980|Resident 2 - Psychiatry
University of Toronto, 01 Jul 1980  to 30 Jun 1981|Resident 3 - Psychiatry
University of Toronto, 01 Jul 1981  to 30 Jun 1982|Resident 4 - Psychiatry
University of Toronto, 01 Jul 1982  to 30 Jun 1983|Clinical Fellow - Psychiatry
University of Toronto, 01 Jul 1983  to 30 Jun 1984|Clinical Fellow - Psychiatry</t>
  </si>
  <si>
    <t>First certificate of registration issued: Postgraduate Education Certificate||Effective:   01 Jul 1978
Transfer of class of registration to: Hospital Practice Certificate||Effective:   29 Jul 1983
Transfer of class of registration to: Independent Practice Certificate||Effective:   22 Dec 2005</t>
  </si>
  <si>
    <t>Yosef Kwamie Medicine Professional Corporation</t>
  </si>
  <si>
    <t>Dr. Y. Kwamie (CPSO# 51009)</t>
  </si>
  <si>
    <t>Lakeridge Health Corporation Oshawa,Department of Psychiatry,1 Hospital Court,Oshawa ON  L1G 2B9,(905) 433-2206</t>
  </si>
  <si>
    <t>85709</t>
  </si>
  <si>
    <t xml:space="preserve">Active Member as of 09 Aug 2012 </t>
  </si>
  <si>
    <t xml:space="preserve">Independent Practice as of 09 Aug 2012 </t>
  </si>
  <si>
    <t>Universita Palackeho, 2005</t>
  </si>
  <si>
    <t>1235 Wilson Ave,Toronto ON  M3M 0B2</t>
  </si>
  <si>
    <t>4165004585</t>
  </si>
  <si>
    <t>Queen's University, 01 Nov 2006  to 23 Jan 2007|Assessment Verification Period - Family Medicine
Queen's University, 24 Jan 2007  to 31 Oct 2007|PostGrad Yr 1 - Family Medicine
Queen's University, 01 Nov 2007  to 30 Jun 2008|PostGrad Yr 2 - Family Medicine
Queen's University, 01 Jul 2008  to 22 Sep 2008|PostGrad Yr 2 - Family Medicine
Queen's University, 23 Sep 2008  to 27 Jul 2009|PostGrad Yr 2 - Psychiatry
Queen's University, 28 Jul 2009  to 30 Jun 2010|PostGrad Yr 3 - Psychiatry
University of Toronto, 01 Jul 2010  to 30 Jun 2011|PostGrad Yr 4 - Psychiatry
University of Toronto, 01 Jul 2011  to 30 Jun 2012|PostGrad Yr 5 - Psychiatry</t>
  </si>
  <si>
    <t>First certificate of registration issued: Pre Entry Assessment Program Certificate||Effective:   01 Nov 2006
Transfer of class of registration to: Postgraduate Education Certificate||Effective:   24 Jan 2007
Expired: Terms and conditions of certificate of registration||Expiry:      30 Jun 2012
Subsequent certificate of registration Issued: Independent Practice Certificate||Effective:   09 Aug 2012</t>
  </si>
  <si>
    <t>Yousef Papadopoulos Medicine Professional Corporation</t>
  </si>
  <si>
    <t>Issued Date:  Aug 03 2012</t>
  </si>
  <si>
    <t>Dr. Y. Papadopoulos (CPSO# 85709)</t>
  </si>
  <si>
    <t>1235 Wilson Avenue,Toronto ON  M3M 0B2,(416) 242-1000</t>
  </si>
  <si>
    <t>51660</t>
  </si>
  <si>
    <t>Ain Shams University, 1975</t>
  </si>
  <si>
    <t>(613) 544-4900 Ext. 53495</t>
  </si>
  <si>
    <t>(613) 540-6120</t>
  </si>
  <si>
    <t>Adult Mental Health Services,HDH outpatient clinic- Johnson 5,166 Brock street,Kingston ON  K7L 5G2,Canada,Phone:(613) 544-3400 Ext. ext. 2551,Fax:(613) 548-6095,County:County of Frontenac,Electoral District:06</t>
  </si>
  <si>
    <t>First certificate of registration issued: Postgraduate Education Certificate||Effective:   01 Jul 1982
Transfer of class of registration to: Independent Practice Certificate||Effective:   09 Jul 1987</t>
  </si>
  <si>
    <t>Dr. Y. Nashed Medicine Professional Corporation</t>
  </si>
  <si>
    <t>Issued Date:  May 21 2008</t>
  </si>
  <si>
    <t>Dr. Y. Nashed (CPSO# 51660)</t>
  </si>
  <si>
    <t>Providence Care- MHS,752 King Street West,Kingston ON  K7L 4X3,(613) 544-4900</t>
  </si>
  <si>
    <t>88043</t>
  </si>
  <si>
    <t xml:space="preserve">Active Member as of 25 Jan 2008 </t>
  </si>
  <si>
    <t xml:space="preserve">Independent Practice as of 25 Jan 2008 </t>
  </si>
  <si>
    <t>Aga Khan University, 1996</t>
  </si>
  <si>
    <t>3640 Wells Street,Windsor ON  N9C 1T9</t>
  </si>
  <si>
    <t>Psychiatry||Effective: 29 Apr 2005||RCPSC Specialist
Child and Adolescent Psychiatry||Effective: 21 Sep 2015||RCPSC Specialist</t>
  </si>
  <si>
    <t>First certificate of registration issued: Independent Practice Certificate||Effective:   25 Jan 2008</t>
  </si>
  <si>
    <t>Yousha Mirza Medicine Professional Corporation</t>
  </si>
  <si>
    <t>Issued Date:  Mar 10 2009</t>
  </si>
  <si>
    <t>Dr. Y. Mirza (CPSO# 88043)</t>
  </si>
  <si>
    <t>3640 Wells Street,Windsor ON  N9C 1T9,(519) 258-0484
1995 Lens Avenue,1995 Lens Avenue,Windsor ON  N8W 1L9,(519) 254-5577</t>
  </si>
  <si>
    <t>87329</t>
  </si>
  <si>
    <t xml:space="preserve">Active Member as of 04 Nov 2011 </t>
  </si>
  <si>
    <t xml:space="preserve">Restricted as of 21 Apr 2016 </t>
  </si>
  <si>
    <t>University of Alexandria, 1982</t>
  </si>
  <si>
    <t>Halton Family Health Centre,2951 Walkers Line,Burlington ON  L7M 4Y1</t>
  </si>
  <si>
    <t>(905) 336-3437 Ext. 19637</t>
  </si>
  <si>
    <t>(905) 336-9632</t>
  </si>
  <si>
    <t>University of Toronto, 01 Jul 2007  to 21 Sep 2007|Assessment Verification Period - Psychiatry
University of Toronto, 22 Sep 2007  to 30 Jun 2008|PostGrad Yr 2 - Psychiatry
University of Toronto, 01 Jul 2008  to 30 Jun 2009|PostGrad Yr 3 - Psychiatry
University of Toronto, 01 Jul 2009  to 30 Jun 2010|PostGrad Yr 4 - Psychiatry
University of Toronto, 01 Jul 2010  to 30 Jun 2011|PostGrad Yr 5 - Psychiatry</t>
  </si>
  <si>
    <t>First certificate of registration issued: Pre Entry Assessment Program Certificate||Effective:   01 Jul 2007
Transfer of class of registration to: Postgraduate Education Certificate||Effective:   22 Sep 2007
Expired: Terms and conditions of certificate of registration||Expiry:      30 Jun 2011
Subsequent certificate of registration Issued: Independent Practice Certificate||Effective:   04 Nov 2011
Transfer of class of certificate to: Restricted certificate||Effective:   21 Apr 2016
Terms and conditions imposed on certificate by member||Effective:   21 Apr 2016
Terms and conditions amended by member||Effective:   26 Jun 2017</t>
  </si>
  <si>
    <t>99533</t>
  </si>
  <si>
    <t>BUKOVINIAN STATE MEDICAL ACADEMY, 2000</t>
  </si>
  <si>
    <t>CAMH,Temerty Centre,1001 Queen Street West,Unit 4, # 126,Toronto ON  M6J 1H4</t>
  </si>
  <si>
    <t>(416) 535-8501 Ext. 34648</t>
  </si>
  <si>
    <t>University of Toronto, 17 Oct 2012  to 08 Jan 2013|PEAP - Clinical Fellow - Psychiatry
University of Toronto, 09 Jan 2013  to 30 Jun 2013|Clinical Fellow - Psychiatry
University of Toronto, 01 Jul 2013  to 01 May 2014|Clinical Fellow - Psychiatry
University of Toronto, 02 May 2014  to 30 Jun 2014|Clinical Fellow - Psychiatry
University of Toronto, 01 Jul 2014  to 31 May 2015|Clinical Fellow - Psychiatry
University of Toronto, 01 Jun 2015  to 30 Jun 2015|Clinical Fellow - Psychiatry
University of Toronto, 01 Jul 2015  to 30 Jun 2016|Clinical Fellow - Psychiatry
University of Toronto, 01 Jul 2016  to 30 Jun 2017|Clinical Fellow - Psychiatry
University of Toronto, 01 Jul 2017  to 31 Aug 2017|Clinical Fellow - Psychiatry</t>
  </si>
  <si>
    <t>First certificate of registration issued: Pre Entry Assessment Program Certificate||Effective:   17 Oct 2012
Transfer of class of registration to: Postgraduate Education Certificate||Effective:   09 Jan 2013
Expired: Terms and conditions of certificate of registration||Expiry:      19 Oct 2015
Subsequent certificate of registration issued: Restricted certificate||Effective:   19 Oct 2015
Terms and conditions amended by Registration Committee||Effective:   05 May 2016
Expired: Terms and conditions imposed on certificate by Registration Committee||Effective:   31 Aug 2017
Subsequent certificate of registration issued: Restricted certificate||Effective:   01 Sep 2017
Expiry as per terms and conditions imposed on certificate||Expiry Date: 31 Aug 2024</t>
  </si>
  <si>
    <t>Dr. Yuliya Knyahnytska Medicine Professional Corporation</t>
  </si>
  <si>
    <t>Issued Date:  Jul 19 2018</t>
  </si>
  <si>
    <t>Dr. Y. Knyahnytska (CPSO# 99533)</t>
  </si>
  <si>
    <t>Centre for Addiction and Mental Health,Temerty Centre,4-1001 Queen Street West,Room 126,Toronto ON  M6J 1H4,(416) 535-8501</t>
  </si>
  <si>
    <t>96590</t>
  </si>
  <si>
    <t xml:space="preserve">Active Member as of 18 Jul 2011 </t>
  </si>
  <si>
    <t xml:space="preserve">Independent Practice as of 06 Jan 2012 </t>
  </si>
  <si>
    <t>St Josephs Healthcare Hamilton,West 5th Campus,100 5th Street West PO Box 585,Hamilton ON  L8N 3K7</t>
  </si>
  <si>
    <t>(905) 388-2511</t>
  </si>
  <si>
    <t>(905) 575-6038</t>
  </si>
  <si>
    <t>East Region Mental Health Services,2757 King Street East,Hamilton ON  L8G 5E4,Canada,Phone:(905) 573-4801,Fax:(905) 573-4802,County:Regional Municipality of Hamilton-Wentworth,Electoral District:04</t>
  </si>
  <si>
    <t>McMaster University, 18 Jul 2011  to 30 Jun 2012|Clinical Fellow - Psychiatry
McMaster University, 01 Jul 2012  to 17 Jul 2012|Clinical Fellow - Psychiatry</t>
  </si>
  <si>
    <t>First certificate of registration issued: Postgraduate Education Certificate||Effective:   18 Jul 2011
Transfer of class of registration to: Independent Practice Certificate||Effective:   06 Jan 2012</t>
  </si>
  <si>
    <t>Y.A. Alatishe Medicine Professional Corporation</t>
  </si>
  <si>
    <t>Issued Date:  Dec 15 2016</t>
  </si>
  <si>
    <t>Dr. Y. Alatishe (CPSO# 96590)</t>
  </si>
  <si>
    <t>St Josephs Healthcare Hamilton,West 5th Campus,100 West 5th Street,PO Box 585,Hamilton ON  L8N 3K7,(905) 388-2511</t>
  </si>
  <si>
    <t>94494</t>
  </si>
  <si>
    <t xml:space="preserve">Active Member as of 01 Jan 2011 </t>
  </si>
  <si>
    <t xml:space="preserve">Independent Practice as of 30 Sep 2013 </t>
  </si>
  <si>
    <t>500 Yonge St. Medical Centre,Suite 308,Toronto ON  M4Y 1X9</t>
  </si>
  <si>
    <t>(647)920-1666</t>
  </si>
  <si>
    <t>416-920-4163</t>
  </si>
  <si>
    <t>Psychiatry||Effective: 30 Sep 2013||RCPSC Specialist</t>
  </si>
  <si>
    <t>University of Toronto, 01 Oct 2010  to 31 Dec 2010|Elective Trainee - Psychiatry
University of Toronto, 01 Jan 2011  to 30 Jun 2011|PostGrad Yr 3 - Psychiatry
University of Toronto, 01 Jul 2011  to 30 Jun 2012|PostGrad Yr 4 - Psychiatry
University of Toronto, 01 Jul 2012  to 30 Jun 2013|PostGrad Yr 5 - Psychiatry
University of Toronto, 01 Jul 2013  to 30 Sep 2013|PostGrad Yr 5 - Psychiatry</t>
  </si>
  <si>
    <t>First certificate of registration issued: Postgraduate Education Certificate||Effective:   08 Oct 2010
Expired: Terms and conditions of certificate of registration||Expiry:      31 Dec 2010
Subsequent certificate of registration Issued: Postgraduate Education Certificate||Effective:   01 Jan 2011
Transfer of class of registration to: Independent Practice Certificate||Effective:   30 Sep 2013</t>
  </si>
  <si>
    <t>Dr. Yusra Ahmad Medicine Professional Corporation</t>
  </si>
  <si>
    <t>Dr. Y. Ahmad (CPSO# 94494)</t>
  </si>
  <si>
    <t>Medical Centre,Suite 308,500 Yonge Street,Toronto ON  M4Y 1X9</t>
  </si>
  <si>
    <t>67989</t>
  </si>
  <si>
    <t>Centre for Addiction,and Mental Health,Unit 4,1001 Queen Street West,Toronto ON  M6J 1H4</t>
  </si>
  <si>
    <t>(416) 535-8501 Ext. 34319</t>
  </si>
  <si>
    <t>(416) 583-1358</t>
  </si>
  <si>
    <t>University of Toronto, 01 Jul 1994  to 30 Jun 1995|PostGrad Yr 1 - Psychiatry
University of Toronto, 01 Jul 1995  to 30 Jun 1996|Resident 1 - Psychiatry
University of Toronto, 01 Jul 1996  to 30 Jun 1997|PostGrad Yr 3 - Psychiatry
University of Toronto, 01 Jul 1997  to 30 Jun 1998|PostGrad Yr 4 - Psychiatry
University of Toronto, 01 Jul 1998  to 30 Jun 1999|PostGrad Yr 5 - Psychiatry
University of Toronto, 01 Jul 1999  to 30 Jun 2000|Clinical Fellow - Psychiatry
University of Toronto, 01 Jul 2000  to 30 Jun 2001|Clinical Fellow - Psychiatry
University of Toronto, 01 Jul 2001  to 30 Jun 2002|Clinical Fellow - Psychiatry</t>
  </si>
  <si>
    <t>Daskalakis Medicine Professional Corporation</t>
  </si>
  <si>
    <t>Issued Date:  Apr 04 2017</t>
  </si>
  <si>
    <t>Dr. Z. Daskalakis (CPSO# 67989)</t>
  </si>
  <si>
    <t>Care for Addiction and Mental Health,Unit 4-115A,1001 Queen Street West,Toronto ON  M6J 1H4,(416) 535-8501</t>
  </si>
  <si>
    <t>87157</t>
  </si>
  <si>
    <t>University of Al-Mustansiriyah, 1993</t>
  </si>
  <si>
    <t>McMaster University, 01 Jul 2007  to 09 Aug 2007|PEAP - Clinical Fellow - Psychiatry
McMaster University, 10 Aug 2007  to 30 Jun 2008|Clinical Fellow - Psychiatry
McMaster University, 01 Jul 2008  to 15 Mar 2009|Clinical Fellow - Psychiatry</t>
  </si>
  <si>
    <t>First certificate of registration issued: Pre Entry Assessment Program Certificate||Effective:   01 Jul 2007
Transfer of class of registration to: Postgraduate Education Certificate||Effective:   10 Aug 2007
Expired: Terms and conditions of certificate of registration||Expiry:      15 Mar 2009
Subsequent certificate of registration issued: Restricted certificate||Effective:   16 Mar 2009
Terms and conditions amended by Registration Committee||Effective:   20 Feb 2014
Expiry date removed from certificate of registration.||Effective:   06 Jun 2014
Terms and conditions amended by Registration Committee||Effective:   01 Jul 2014</t>
  </si>
  <si>
    <t>Drs. C &amp; Z Samaan Medicine Professional Corporation</t>
  </si>
  <si>
    <t>Issued Date:  Nov 23 2012</t>
  </si>
  <si>
    <t>Dr. Z. Samaan (CPSO# 87157),Dr. M. Samaan (CPSO# 86622)</t>
  </si>
  <si>
    <t>St. Joseph's Healthcare Hamilton,Centre for Mountain Health Services,Mood Disorders Program,P.O. Box 585 100 West 5th Street,Hamilton ON  L8N 3K7,(905) 522-1155
McMaster University,McMaster University,Department of Pediatrics,1280 Main Street West,Hamilton ON  L8S 4K1,(905) 521-2100</t>
  </si>
  <si>
    <t>64277</t>
  </si>
  <si>
    <t>University of Alexandria, 1975</t>
  </si>
  <si>
    <t>The Medical Clinic for Person-,Centered Psychotherapy,265 Yorkland blvd, unit 403,Toronto ON  M2J 1S5</t>
  </si>
  <si>
    <t>416-229-2399</t>
  </si>
  <si>
    <t>416-229-9771</t>
  </si>
  <si>
    <t>First certificate of registration issued: Postgraduate Education Certificate||Effective:   02 Jul 1991
Expired: Terms and conditions of certificate of registration||Expiry:      30 Jun 1995
Subsequent certificate of registration Issued: Independent Practice Certificate||Effective:   01 Jul 1995</t>
  </si>
  <si>
    <t>112940</t>
  </si>
  <si>
    <t>(416) 323-6400 Ext. 4327</t>
  </si>
  <si>
    <t>University of Toronto, 01 Sep 2017  to 30 Jun 2018|Clinical Fellow - Psychiatry
University of Toronto, 01 Jul 2018  to 01 Sep 2018|Clinical Fellow - Psychiatry</t>
  </si>
  <si>
    <t>56096</t>
  </si>
  <si>
    <t xml:space="preserve">Active Member as of 20 Sep 1989 </t>
  </si>
  <si>
    <t xml:space="preserve">Independent Practice as of 20 Sep 1989 </t>
  </si>
  <si>
    <t>Bialystok University, 1979</t>
  </si>
  <si>
    <t>1558 Haig Boulevard,Mississauga ON  L5E 2N3</t>
  </si>
  <si>
    <t>(905) 271-8777</t>
  </si>
  <si>
    <t>First certificate of registration issued: Postgraduate Education Certificate||Effective:   01 Jul 1985
Expired: Terms and conditions of certificate of registration||Expiry:      30 Jun 1989
Subsequent certificate of registration Issued: Independent Practice Certificate||Effective:   20 Sep 1989</t>
  </si>
  <si>
    <t>68934</t>
  </si>
  <si>
    <t>9225 Leslie Street,Suite 201,Richmond Hill ON  L4B 3H6</t>
  </si>
  <si>
    <t>647 920 0660</t>
  </si>
  <si>
    <t>Psychiatry||Effective: 30 Jun 2000||RCPSC Specialist
Geriatric Psychiatry||Effective: 21 Sep 2015||RCPSC Specialist
Forensic Psychiatry||Effective: 26 Sep 2013||RCPSC Specialist</t>
  </si>
  <si>
    <t>University of Toronto, 01 Jul 1995  to 30 Jun 1996|PostGrad Yr 1 - Psychiatry
University of Toronto, 01 Jul 1996  to 30 Jun 1997|PostGrad Yr 2 - Psychiatry
University of Toronto, 01 Jul 1997  to 30 Jun 1998|PostGrad Yr 3 - Psychiatry
University of Toronto, 01 Jul 1998  to 30 Jun 1999|PostGrad Yr 4 - Psychiatry
University of Toronto, 01 Jul 1999  to 30 Jun 2000|PostGrad Yr 5 - Psychiatry
University of Toronto, 08 Dec 2000  to 30 Jun 2001|Clinical Fellow - Psychiatry</t>
  </si>
  <si>
    <t>Dr. Zohar Waisman Medicine Professional Corporation</t>
  </si>
  <si>
    <t>Dr. Z. Waisman (CPSO# 68934)</t>
  </si>
  <si>
    <t>Ontario Shores Centre for Mental Health Sciences,700 Gordon Street,Whitby ON  L1N 5S9,(905) 430-4055</t>
  </si>
  <si>
    <t>23869</t>
  </si>
  <si>
    <t xml:space="preserve">Active Member as of 15 Jul 1971 </t>
  </si>
  <si>
    <t xml:space="preserve">Independent Practice as of 15 Jul 1971 </t>
  </si>
  <si>
    <t>University of Zagreb, 1968</t>
  </si>
  <si>
    <t>Addiction Centre Toronto,1288 Danforth Avenue,Toronto ON  M4J 1M6</t>
  </si>
  <si>
    <t>(416) 462-0228</t>
  </si>
  <si>
    <t>(416) 461-7690</t>
  </si>
  <si>
    <t>First certificate of registration issued: Postgraduate Education Certificate||Effective:   01 Jul 1969
Transfer of class of registration to: Independent Practice Certificate||Effective:   15 Jul 1971</t>
  </si>
  <si>
    <t>55048</t>
  </si>
  <si>
    <t xml:space="preserve">Active Member as of 02 Jan 1985 </t>
  </si>
  <si>
    <t xml:space="preserve">Independent Practice as of 02 Nov 1989 </t>
  </si>
  <si>
    <t>University of Dar Es Salaam, 1972</t>
  </si>
  <si>
    <t>(905) 472-5733 Ext. 6536</t>
  </si>
  <si>
    <t>First certificate of registration issued: Postgraduate Education Certificate||Effective:   02 Jan 1985
Transfer of class of registration to: Hospital Practice Certificate||Effective:   02 Feb 1987
Transfer of class of registration to: Independent Practice Certificate||Effective:   02 Nov 1989</t>
  </si>
  <si>
    <t>Dr. Zul Wallani Medicine Professional Corporation</t>
  </si>
  <si>
    <t>Issued Date:  May 11 2006</t>
  </si>
  <si>
    <t>Dr. Z. Wallani (CPSO# 55048)</t>
  </si>
  <si>
    <t>Markham Stouffville Health Centre,408 - 377 Church Street,Markham ON  L6B 1A1,(905) 472-5733</t>
  </si>
  <si>
    <t>30935</t>
  </si>
  <si>
    <t xml:space="preserve">Active Member as of 10 Jul 1979 </t>
  </si>
  <si>
    <t xml:space="preserve">Independent Practice as of 10 Jul 1979 </t>
  </si>
  <si>
    <t>218 Johnson Street,Kingston ON  K7L 1Y3</t>
  </si>
  <si>
    <t>(613) 546-0569</t>
  </si>
  <si>
    <t>#1,3006 County Road,Camden East ON  K0K 1J0,Canada,Phone:(613) 378-0595,Fax:(613) 378-6559,County:County of Lennox and Addington,Electoral District:06</t>
  </si>
  <si>
    <t>First certificate of registration issued: Independent Practice Certificate||Effective:   10 Jul 1979</t>
  </si>
  <si>
    <t>Zuzana Sramek Medicine Professional Corporation</t>
  </si>
  <si>
    <t>Dr. Z. Sramek (CPSO# 30935)</t>
  </si>
  <si>
    <t>218 Johnson Street,Kingston ON  K7L 1Y3,(613) 546-0569
3006 County Road 1,3006 County Road 1,Camden East ON  K0K 1J0,(613) 378-0595</t>
  </si>
  <si>
    <t>Professional Corporation Information</t>
  </si>
  <si>
    <t>Summary</t>
  </si>
  <si>
    <t>Practice Information</t>
  </si>
  <si>
    <t>Additional
Practice Location(s)</t>
  </si>
  <si>
    <t>Medical Licences 
in Other 
Jurisdictions</t>
  </si>
  <si>
    <t>Specialties</t>
  </si>
  <si>
    <t>Specialties|issued Date|Type</t>
  </si>
  <si>
    <t>PostGraduation
Training</t>
  </si>
  <si>
    <t>Registration
History</t>
  </si>
  <si>
    <t>Practice
Restrictions</t>
  </si>
  <si>
    <t>Previous
Hearings</t>
  </si>
  <si>
    <t>Pending
Hearings</t>
  </si>
  <si>
    <t>Concerns</t>
  </si>
  <si>
    <t>Practice Restrictions</t>
  </si>
  <si>
    <t>Previous Hearings</t>
  </si>
  <si>
    <t>Pending Hearings</t>
  </si>
  <si>
    <t>Total</t>
  </si>
  <si>
    <t>Psychiatry</t>
  </si>
  <si>
    <t>Adolescent Psychiatry</t>
  </si>
  <si>
    <t>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</si>
</sst>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1"/>
      <name val="Calibri"/>
      <family val="2"/>
      <scheme val="minor"/>
    </font>
    <font>
      <b/>
      <sz val="11"/>
      <name val="Calibri"/>
      <family val="2"/>
    </font>
    <font>
      <b/>
      <sz val="12"/>
      <color theme="1"/>
      <name val="Calibri"/>
      <family val="2"/>
      <scheme val="minor"/>
    </font>
  </fonts>
  <fills count="19">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theme="4"/>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bgColor indexed="64"/>
      </patternFill>
    </fill>
    <fill>
      <patternFill patternType="solid">
        <fgColor theme="8"/>
        <bgColor indexed="64"/>
      </patternFill>
    </fill>
    <fill>
      <patternFill patternType="solid">
        <fgColor theme="7"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6"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2" fillId="10" borderId="1" xfId="0" applyFont="1" applyFill="1" applyBorder="1" applyAlignment="1">
      <alignment horizontal="center" wrapText="1"/>
    </xf>
    <xf numFmtId="0" fontId="2" fillId="3" borderId="1" xfId="0" applyFont="1" applyFill="1" applyBorder="1" applyAlignment="1">
      <alignment horizontal="center" wrapText="1"/>
    </xf>
    <xf numFmtId="0" fontId="2" fillId="12" borderId="1" xfId="0" applyFont="1" applyFill="1" applyBorder="1" applyAlignment="1">
      <alignment horizontal="center" wrapText="1"/>
    </xf>
    <xf numFmtId="0" fontId="2" fillId="13" borderId="1" xfId="0" applyFont="1" applyFill="1" applyBorder="1" applyAlignment="1">
      <alignment horizontal="center" wrapText="1"/>
    </xf>
    <xf numFmtId="0" fontId="2" fillId="14" borderId="1" xfId="0" applyFont="1" applyFill="1" applyBorder="1" applyAlignment="1">
      <alignment horizontal="center" wrapText="1"/>
    </xf>
    <xf numFmtId="0" fontId="0" fillId="0" borderId="1" xfId="0" applyBorder="1" applyAlignment="1">
      <alignment wrapText="1"/>
    </xf>
    <xf numFmtId="0" fontId="2" fillId="6" borderId="1" xfId="0" applyFont="1" applyFill="1" applyBorder="1" applyAlignment="1">
      <alignment horizontal="center" wrapText="1"/>
    </xf>
    <xf numFmtId="0" fontId="2" fillId="17" borderId="1" xfId="0" applyFont="1" applyFill="1" applyBorder="1" applyAlignment="1">
      <alignment horizontal="center" wrapText="1"/>
    </xf>
    <xf numFmtId="0" fontId="2" fillId="2" borderId="1" xfId="0" applyFont="1" applyFill="1" applyBorder="1" applyAlignment="1">
      <alignment horizontal="center" wrapText="1"/>
    </xf>
    <xf numFmtId="0" fontId="2" fillId="8"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18" borderId="1" xfId="0" applyFont="1" applyFill="1" applyBorder="1" applyAlignment="1">
      <alignment horizontal="center" vertical="center"/>
    </xf>
    <xf numFmtId="0" fontId="1" fillId="16"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0" fontId="2"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0" fillId="15" borderId="2" xfId="0" applyFill="1" applyBorder="1"/>
    <xf numFmtId="0" fontId="0" fillId="4" borderId="2" xfId="0" applyFill="1" applyBorder="1"/>
    <xf numFmtId="0" fontId="0" fillId="9" borderId="3" xfId="0" applyFill="1" applyBorder="1"/>
    <xf numFmtId="0" fontId="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1103-0F3C-4FAE-A908-9BEF9194185B}">
  <dimension ref="A1:B5"/>
  <sheetViews>
    <sheetView workbookViewId="0">
      <selection activeCell="D21" sqref="D21"/>
    </sheetView>
  </sheetViews>
  <sheetFormatPr defaultRowHeight="15" x14ac:dyDescent="0.25"/>
  <cols>
    <col min="1" max="1" width="21.42578125" bestFit="1" customWidth="1"/>
  </cols>
  <sheetData>
    <row r="1" spans="1:2" ht="16.5" thickTop="1" thickBot="1" x14ac:dyDescent="0.3">
      <c r="A1" s="29" t="s">
        <v>22843</v>
      </c>
      <c r="B1" s="32">
        <v>113</v>
      </c>
    </row>
    <row r="2" spans="1:2" ht="16.5" thickTop="1" thickBot="1" x14ac:dyDescent="0.3">
      <c r="A2" s="29" t="s">
        <v>22842</v>
      </c>
      <c r="B2" s="33">
        <v>2458</v>
      </c>
    </row>
    <row r="3" spans="1:2" ht="16.5" thickTop="1" thickBot="1" x14ac:dyDescent="0.3">
      <c r="A3" s="28" t="s">
        <v>22841</v>
      </c>
      <c r="B3" s="33">
        <v>2571</v>
      </c>
    </row>
    <row r="4" spans="1:2" ht="17.25" thickTop="1" thickBot="1" x14ac:dyDescent="0.3">
      <c r="A4" s="30" t="s">
        <v>22844</v>
      </c>
      <c r="B4" s="31">
        <v>2467</v>
      </c>
    </row>
    <row r="5" spans="1:2" ht="15.75" thickTop="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2548D-A9B3-4F65-89AE-156DFCD2E843}">
  <dimension ref="A1:B34"/>
  <sheetViews>
    <sheetView zoomScale="80" zoomScaleNormal="80" workbookViewId="0">
      <selection activeCell="D30" sqref="D30"/>
    </sheetView>
  </sheetViews>
  <sheetFormatPr defaultRowHeight="15" x14ac:dyDescent="0.25"/>
  <cols>
    <col min="1" max="1" width="34.85546875" bestFit="1" customWidth="1"/>
    <col min="2" max="2" width="19.28515625" bestFit="1" customWidth="1"/>
  </cols>
  <sheetData>
    <row r="1" spans="1:2" x14ac:dyDescent="0.25">
      <c r="A1" s="4" t="s">
        <v>0</v>
      </c>
      <c r="B1" s="4"/>
    </row>
    <row r="2" spans="1:2" x14ac:dyDescent="0.25">
      <c r="A2" s="4" t="s">
        <v>1</v>
      </c>
      <c r="B2" s="4"/>
    </row>
    <row r="3" spans="1:2" x14ac:dyDescent="0.25">
      <c r="A3" s="4" t="s">
        <v>2</v>
      </c>
      <c r="B3" s="4"/>
    </row>
    <row r="4" spans="1:2" x14ac:dyDescent="0.25">
      <c r="A4" s="5" t="s">
        <v>3</v>
      </c>
      <c r="B4" s="4"/>
    </row>
    <row r="5" spans="1:2" x14ac:dyDescent="0.25">
      <c r="A5" s="6" t="s">
        <v>22826</v>
      </c>
      <c r="B5" s="7" t="s">
        <v>4</v>
      </c>
    </row>
    <row r="6" spans="1:2" x14ac:dyDescent="0.25">
      <c r="A6" s="6"/>
      <c r="B6" s="7" t="s">
        <v>5</v>
      </c>
    </row>
    <row r="7" spans="1:2" x14ac:dyDescent="0.25">
      <c r="A7" s="6"/>
      <c r="B7" s="7" t="s">
        <v>6</v>
      </c>
    </row>
    <row r="8" spans="1:2" x14ac:dyDescent="0.25">
      <c r="A8" s="6"/>
      <c r="B8" s="7" t="s">
        <v>7</v>
      </c>
    </row>
    <row r="9" spans="1:2" x14ac:dyDescent="0.25">
      <c r="A9" s="8" t="s">
        <v>22827</v>
      </c>
      <c r="B9" s="9" t="s">
        <v>8</v>
      </c>
    </row>
    <row r="10" spans="1:2" x14ac:dyDescent="0.25">
      <c r="A10" s="8"/>
      <c r="B10" s="9" t="s">
        <v>9</v>
      </c>
    </row>
    <row r="11" spans="1:2" x14ac:dyDescent="0.25">
      <c r="A11" s="8"/>
      <c r="B11" s="9" t="s">
        <v>10</v>
      </c>
    </row>
    <row r="12" spans="1:2" x14ac:dyDescent="0.25">
      <c r="A12" s="8"/>
      <c r="B12" s="9" t="s">
        <v>11</v>
      </c>
    </row>
    <row r="13" spans="1:2" x14ac:dyDescent="0.25">
      <c r="A13" s="10" t="s">
        <v>22828</v>
      </c>
      <c r="B13" s="10"/>
    </row>
    <row r="14" spans="1:2" x14ac:dyDescent="0.25">
      <c r="A14" s="11" t="s">
        <v>22829</v>
      </c>
      <c r="B14" s="11"/>
    </row>
    <row r="15" spans="1:2" x14ac:dyDescent="0.25">
      <c r="A15" s="12" t="s">
        <v>12</v>
      </c>
      <c r="B15" s="12"/>
    </row>
    <row r="16" spans="1:2" ht="30" x14ac:dyDescent="0.25">
      <c r="A16" s="26" t="s">
        <v>22830</v>
      </c>
      <c r="B16" s="27" t="s">
        <v>22831</v>
      </c>
    </row>
    <row r="17" spans="1:2" x14ac:dyDescent="0.25">
      <c r="A17" s="16" t="s">
        <v>22832</v>
      </c>
      <c r="B17" s="16"/>
    </row>
    <row r="18" spans="1:2" ht="30" x14ac:dyDescent="0.25">
      <c r="A18" s="17" t="s">
        <v>22833</v>
      </c>
      <c r="B18" s="18" t="s">
        <v>13</v>
      </c>
    </row>
    <row r="19" spans="1:2" x14ac:dyDescent="0.25">
      <c r="A19" s="19" t="s">
        <v>22838</v>
      </c>
      <c r="B19" s="19"/>
    </row>
    <row r="20" spans="1:2" x14ac:dyDescent="0.25">
      <c r="A20" s="19" t="s">
        <v>22839</v>
      </c>
      <c r="B20" s="19"/>
    </row>
    <row r="21" spans="1:2" x14ac:dyDescent="0.25">
      <c r="A21" s="19" t="s">
        <v>22840</v>
      </c>
      <c r="B21" s="19"/>
    </row>
    <row r="22" spans="1:2" x14ac:dyDescent="0.25">
      <c r="A22" s="19" t="s">
        <v>22837</v>
      </c>
      <c r="B22" s="19"/>
    </row>
    <row r="23" spans="1:2" x14ac:dyDescent="0.25">
      <c r="A23" s="23" t="s">
        <v>22825</v>
      </c>
      <c r="B23" s="21" t="s">
        <v>14</v>
      </c>
    </row>
    <row r="24" spans="1:2" x14ac:dyDescent="0.25">
      <c r="A24" s="23"/>
      <c r="B24" s="21" t="s">
        <v>15</v>
      </c>
    </row>
    <row r="25" spans="1:2" x14ac:dyDescent="0.25">
      <c r="A25" s="23"/>
      <c r="B25" s="21" t="s">
        <v>16</v>
      </c>
    </row>
    <row r="26" spans="1:2" x14ac:dyDescent="0.25">
      <c r="A26" s="23"/>
      <c r="B26" s="21" t="s">
        <v>17</v>
      </c>
    </row>
    <row r="27" spans="1:2" x14ac:dyDescent="0.25">
      <c r="A27" s="23"/>
      <c r="B27" s="22" t="s">
        <v>18</v>
      </c>
    </row>
    <row r="28" spans="1:2" x14ac:dyDescent="0.25">
      <c r="A28" s="23"/>
      <c r="B28" s="22" t="s">
        <v>19</v>
      </c>
    </row>
    <row r="29" spans="1:2" x14ac:dyDescent="0.25">
      <c r="A29" s="23"/>
      <c r="B29" s="22" t="s">
        <v>20</v>
      </c>
    </row>
    <row r="30" spans="1:2" x14ac:dyDescent="0.25">
      <c r="A30" s="23"/>
      <c r="B30" s="22" t="s">
        <v>21</v>
      </c>
    </row>
    <row r="31" spans="1:2" x14ac:dyDescent="0.25">
      <c r="A31" s="23"/>
      <c r="B31" s="20" t="s">
        <v>22</v>
      </c>
    </row>
    <row r="32" spans="1:2" x14ac:dyDescent="0.25">
      <c r="A32" s="23"/>
      <c r="B32" s="20" t="s">
        <v>23</v>
      </c>
    </row>
    <row r="33" spans="1:2" x14ac:dyDescent="0.25">
      <c r="A33" s="23"/>
      <c r="B33" s="20" t="s">
        <v>24</v>
      </c>
    </row>
    <row r="34" spans="1:2" x14ac:dyDescent="0.25">
      <c r="A34" s="23"/>
      <c r="B34" s="20" t="s">
        <v>25</v>
      </c>
    </row>
  </sheetData>
  <mergeCells count="15">
    <mergeCell ref="A21:B21"/>
    <mergeCell ref="A22:B22"/>
    <mergeCell ref="A23:A34"/>
    <mergeCell ref="A13:B13"/>
    <mergeCell ref="A14:B14"/>
    <mergeCell ref="A15:B15"/>
    <mergeCell ref="A17:B17"/>
    <mergeCell ref="A19:B19"/>
    <mergeCell ref="A20:B20"/>
    <mergeCell ref="A1:B1"/>
    <mergeCell ref="A2:B2"/>
    <mergeCell ref="A3:B3"/>
    <mergeCell ref="A4:B4"/>
    <mergeCell ref="A5:A8"/>
    <mergeCell ref="A9: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469"/>
  <sheetViews>
    <sheetView tabSelected="1" zoomScaleNormal="100" workbookViewId="0">
      <selection activeCell="A7" sqref="A7"/>
    </sheetView>
  </sheetViews>
  <sheetFormatPr defaultRowHeight="15" x14ac:dyDescent="0.25"/>
  <cols>
    <col min="1" max="1" width="51" bestFit="1" customWidth="1"/>
    <col min="2" max="2" width="7" style="1" bestFit="1" customWidth="1"/>
    <col min="3" max="3" width="41.140625" bestFit="1" customWidth="1"/>
    <col min="4" max="4" width="38.5703125" bestFit="1" customWidth="1"/>
    <col min="5" max="5" width="62.5703125" bestFit="1" customWidth="1"/>
    <col min="6" max="6" width="7.7109375" bestFit="1" customWidth="1"/>
    <col min="7" max="7" width="50.7109375" bestFit="1" customWidth="1"/>
    <col min="8" max="8" width="48.140625" bestFit="1" customWidth="1"/>
    <col min="9" max="9" width="143.42578125" bestFit="1" customWidth="1"/>
    <col min="10" max="10" width="27.28515625" bestFit="1" customWidth="1"/>
    <col min="11" max="11" width="14.5703125" bestFit="1" customWidth="1"/>
    <col min="12" max="12" width="8.7109375" bestFit="1" customWidth="1"/>
    <col min="13" max="13" width="233.85546875" style="2" bestFit="1" customWidth="1"/>
    <col min="14" max="14" width="26.7109375" style="2" bestFit="1" customWidth="1"/>
    <col min="15" max="15" width="94.28515625" style="2" bestFit="1" customWidth="1"/>
    <col min="16" max="16" width="78.85546875" style="2" bestFit="1" customWidth="1"/>
    <col min="17" max="17" width="102.85546875" style="2" bestFit="1" customWidth="1"/>
    <col min="18" max="18" width="105.7109375" style="2" bestFit="1" customWidth="1"/>
    <col min="19" max="19" width="11.42578125" bestFit="1" customWidth="1"/>
    <col min="20" max="21" width="8.7109375" bestFit="1" customWidth="1"/>
    <col min="22" max="22" width="9.140625" bestFit="1" customWidth="1"/>
    <col min="23" max="23" width="72.5703125" bestFit="1" customWidth="1"/>
    <col min="24" max="24" width="23.7109375" bestFit="1" customWidth="1"/>
    <col min="25" max="25" width="112.5703125" bestFit="1" customWidth="1"/>
    <col min="26" max="26" width="208.85546875" bestFit="1" customWidth="1"/>
    <col min="27" max="27" width="59.140625" bestFit="1" customWidth="1"/>
    <col min="28" max="28" width="23.7109375" bestFit="1" customWidth="1"/>
    <col min="29" max="29" width="60.85546875" bestFit="1" customWidth="1"/>
    <col min="30" max="30" width="172.85546875" bestFit="1" customWidth="1"/>
    <col min="31" max="31" width="49.85546875" bestFit="1" customWidth="1"/>
    <col min="32" max="32" width="23.7109375" bestFit="1" customWidth="1"/>
    <col min="33" max="33" width="24.85546875" bestFit="1" customWidth="1"/>
    <col min="34" max="34" width="86" bestFit="1" customWidth="1"/>
  </cols>
  <sheetData>
    <row r="1" spans="1:34" s="3" customFormat="1" ht="30" customHeight="1" x14ac:dyDescent="0.25">
      <c r="A1" s="4" t="s">
        <v>0</v>
      </c>
      <c r="B1" s="4" t="s">
        <v>1</v>
      </c>
      <c r="C1" s="4" t="s">
        <v>2</v>
      </c>
      <c r="D1" s="5" t="s">
        <v>3</v>
      </c>
      <c r="E1" s="6" t="s">
        <v>22826</v>
      </c>
      <c r="F1" s="6"/>
      <c r="G1" s="6"/>
      <c r="H1" s="6"/>
      <c r="I1" s="8" t="s">
        <v>22827</v>
      </c>
      <c r="J1" s="8"/>
      <c r="K1" s="8"/>
      <c r="L1" s="8"/>
      <c r="M1" s="10" t="s">
        <v>22828</v>
      </c>
      <c r="N1" s="11" t="s">
        <v>22829</v>
      </c>
      <c r="O1" s="12" t="s">
        <v>12</v>
      </c>
      <c r="P1" s="13" t="s">
        <v>22830</v>
      </c>
      <c r="Q1" s="16" t="s">
        <v>22832</v>
      </c>
      <c r="R1" s="17" t="s">
        <v>22833</v>
      </c>
      <c r="S1" s="19" t="s">
        <v>22834</v>
      </c>
      <c r="T1" s="19" t="s">
        <v>22835</v>
      </c>
      <c r="U1" s="19" t="s">
        <v>22836</v>
      </c>
      <c r="V1" s="19" t="s">
        <v>22837</v>
      </c>
      <c r="W1" s="23" t="s">
        <v>22825</v>
      </c>
      <c r="X1" s="23"/>
      <c r="Y1" s="23"/>
      <c r="Z1" s="23"/>
      <c r="AA1" s="23"/>
      <c r="AB1" s="23"/>
      <c r="AC1" s="23"/>
      <c r="AD1" s="23"/>
      <c r="AE1" s="23"/>
      <c r="AF1" s="23"/>
      <c r="AG1" s="23"/>
      <c r="AH1" s="23"/>
    </row>
    <row r="2" spans="1:34" s="3" customFormat="1" x14ac:dyDescent="0.25">
      <c r="A2" s="4"/>
      <c r="B2" s="4"/>
      <c r="C2" s="4"/>
      <c r="D2" s="4"/>
      <c r="E2" s="7" t="s">
        <v>4</v>
      </c>
      <c r="F2" s="7" t="s">
        <v>5</v>
      </c>
      <c r="G2" s="7" t="s">
        <v>6</v>
      </c>
      <c r="H2" s="7" t="s">
        <v>7</v>
      </c>
      <c r="I2" s="9" t="s">
        <v>8</v>
      </c>
      <c r="J2" s="9" t="s">
        <v>9</v>
      </c>
      <c r="K2" s="9" t="s">
        <v>10</v>
      </c>
      <c r="L2" s="9" t="s">
        <v>11</v>
      </c>
      <c r="M2" s="10"/>
      <c r="N2" s="11"/>
      <c r="O2" s="12"/>
      <c r="P2" s="14" t="s">
        <v>22831</v>
      </c>
      <c r="Q2" s="16"/>
      <c r="R2" s="18" t="s">
        <v>13</v>
      </c>
      <c r="S2" s="19"/>
      <c r="T2" s="19"/>
      <c r="U2" s="19"/>
      <c r="V2" s="19"/>
      <c r="W2" s="21" t="s">
        <v>14</v>
      </c>
      <c r="X2" s="21" t="s">
        <v>15</v>
      </c>
      <c r="Y2" s="21" t="s">
        <v>16</v>
      </c>
      <c r="Z2" s="21" t="s">
        <v>17</v>
      </c>
      <c r="AA2" s="22" t="s">
        <v>18</v>
      </c>
      <c r="AB2" s="22" t="s">
        <v>19</v>
      </c>
      <c r="AC2" s="22" t="s">
        <v>20</v>
      </c>
      <c r="AD2" s="22" t="s">
        <v>21</v>
      </c>
      <c r="AE2" s="20" t="s">
        <v>22</v>
      </c>
      <c r="AF2" s="20" t="s">
        <v>23</v>
      </c>
      <c r="AG2" s="20" t="s">
        <v>24</v>
      </c>
      <c r="AH2" s="20" t="s">
        <v>25</v>
      </c>
    </row>
    <row r="3" spans="1:34" x14ac:dyDescent="0.25">
      <c r="A3" s="24" t="str">
        <f>HYPERLINK("https://www.cpso.on.ca/DoctorDetails/Aaron-Khitab/0299431-107942","Khitab, Aaron")</f>
        <v>Khitab, Aaron</v>
      </c>
      <c r="B3" s="25" t="s">
        <v>26</v>
      </c>
      <c r="C3" s="24" t="s">
        <v>27</v>
      </c>
      <c r="D3" s="24" t="s">
        <v>28</v>
      </c>
      <c r="E3" s="24" t="s">
        <v>29</v>
      </c>
      <c r="F3" s="24" t="s">
        <v>30</v>
      </c>
      <c r="G3" s="24" t="s">
        <v>31</v>
      </c>
      <c r="H3" s="24" t="s">
        <v>32</v>
      </c>
      <c r="I3" s="24" t="s">
        <v>33</v>
      </c>
      <c r="J3" s="24" t="s">
        <v>34</v>
      </c>
      <c r="K3" s="24" t="s">
        <v>35</v>
      </c>
      <c r="L3" s="24" t="s">
        <v>36</v>
      </c>
      <c r="M3" s="15"/>
      <c r="N3" s="15"/>
      <c r="O3" s="15"/>
      <c r="P3" s="15" t="s">
        <v>37</v>
      </c>
      <c r="Q3" s="15"/>
      <c r="R3" s="15" t="s">
        <v>38</v>
      </c>
      <c r="S3" s="24" t="s">
        <v>39</v>
      </c>
      <c r="T3" s="24" t="s">
        <v>39</v>
      </c>
      <c r="U3" s="24" t="s">
        <v>39</v>
      </c>
      <c r="V3" s="24" t="s">
        <v>39</v>
      </c>
      <c r="W3" s="24" t="s">
        <v>40</v>
      </c>
      <c r="X3" s="24" t="s">
        <v>41</v>
      </c>
      <c r="Y3" s="15" t="s">
        <v>42</v>
      </c>
      <c r="Z3" s="15" t="s">
        <v>43</v>
      </c>
      <c r="AA3" s="24"/>
      <c r="AB3" s="24"/>
      <c r="AC3" s="24"/>
      <c r="AD3" s="24"/>
      <c r="AE3" s="24"/>
      <c r="AF3" s="24"/>
      <c r="AG3" s="24"/>
      <c r="AH3" s="24"/>
    </row>
    <row r="4" spans="1:34" ht="75" x14ac:dyDescent="0.25">
      <c r="A4" s="24" t="str">
        <f>HYPERLINK("https://www.cpso.on.ca/DoctorDetails/Abby-Hershler/0210169-80683","Hershler, Abby")</f>
        <v>Hershler, Abby</v>
      </c>
      <c r="B4" s="25" t="s">
        <v>44</v>
      </c>
      <c r="C4" s="24" t="s">
        <v>45</v>
      </c>
      <c r="D4" s="24" t="s">
        <v>46</v>
      </c>
      <c r="E4" s="24" t="s">
        <v>29</v>
      </c>
      <c r="F4" s="24" t="s">
        <v>47</v>
      </c>
      <c r="G4" s="24" t="s">
        <v>31</v>
      </c>
      <c r="H4" s="24" t="s">
        <v>48</v>
      </c>
      <c r="I4" s="24" t="s">
        <v>49</v>
      </c>
      <c r="J4" s="24" t="s">
        <v>50</v>
      </c>
      <c r="K4" s="24" t="s">
        <v>51</v>
      </c>
      <c r="L4" s="24" t="s">
        <v>52</v>
      </c>
      <c r="M4" s="15" t="s">
        <v>53</v>
      </c>
      <c r="N4" s="15"/>
      <c r="O4" s="15" t="s">
        <v>54</v>
      </c>
      <c r="P4" s="15" t="s">
        <v>55</v>
      </c>
      <c r="Q4" s="15" t="s">
        <v>56</v>
      </c>
      <c r="R4" s="15" t="s">
        <v>57</v>
      </c>
      <c r="S4" s="24" t="s">
        <v>39</v>
      </c>
      <c r="T4" s="24" t="s">
        <v>39</v>
      </c>
      <c r="U4" s="24" t="s">
        <v>39</v>
      </c>
      <c r="V4" s="24" t="s">
        <v>39</v>
      </c>
      <c r="W4" s="24"/>
      <c r="X4" s="24"/>
      <c r="Y4" s="15"/>
      <c r="Z4" s="15"/>
      <c r="AA4" s="24"/>
      <c r="AB4" s="24"/>
      <c r="AC4" s="24"/>
      <c r="AD4" s="24"/>
      <c r="AE4" s="24"/>
      <c r="AF4" s="24"/>
      <c r="AG4" s="24"/>
      <c r="AH4" s="24"/>
    </row>
    <row r="5" spans="1:34" ht="90" x14ac:dyDescent="0.25">
      <c r="A5" s="24" t="str">
        <f>HYPERLINK("https://www.cpso.on.ca/DoctorDetails/Abdul-Aleem-Khan/0164311-74225","Khan, Abdul Aleem")</f>
        <v>Khan, Abdul Aleem</v>
      </c>
      <c r="B5" s="25" t="s">
        <v>58</v>
      </c>
      <c r="C5" s="24" t="s">
        <v>59</v>
      </c>
      <c r="D5" s="24" t="s">
        <v>60</v>
      </c>
      <c r="E5" s="24" t="s">
        <v>29</v>
      </c>
      <c r="F5" s="24" t="s">
        <v>30</v>
      </c>
      <c r="G5" s="24" t="s">
        <v>61</v>
      </c>
      <c r="H5" s="24" t="s">
        <v>62</v>
      </c>
      <c r="I5" s="24" t="s">
        <v>63</v>
      </c>
      <c r="J5" s="24" t="s">
        <v>64</v>
      </c>
      <c r="K5" s="24"/>
      <c r="L5" s="24" t="s">
        <v>65</v>
      </c>
      <c r="M5" s="15"/>
      <c r="N5" s="15" t="s">
        <v>66</v>
      </c>
      <c r="O5" s="15" t="s">
        <v>67</v>
      </c>
      <c r="P5" s="15" t="s">
        <v>68</v>
      </c>
      <c r="Q5" s="15" t="s">
        <v>69</v>
      </c>
      <c r="R5" s="15" t="s">
        <v>70</v>
      </c>
      <c r="S5" s="24" t="s">
        <v>71</v>
      </c>
      <c r="T5" s="24" t="s">
        <v>39</v>
      </c>
      <c r="U5" s="24" t="s">
        <v>39</v>
      </c>
      <c r="V5" s="24" t="s">
        <v>39</v>
      </c>
      <c r="W5" s="24" t="s">
        <v>72</v>
      </c>
      <c r="X5" s="24" t="s">
        <v>73</v>
      </c>
      <c r="Y5" s="15" t="s">
        <v>74</v>
      </c>
      <c r="Z5" s="15" t="s">
        <v>75</v>
      </c>
      <c r="AA5" s="24"/>
      <c r="AB5" s="24"/>
      <c r="AC5" s="24"/>
      <c r="AD5" s="24"/>
      <c r="AE5" s="24"/>
      <c r="AF5" s="24"/>
      <c r="AG5" s="24"/>
      <c r="AH5" s="24"/>
    </row>
    <row r="6" spans="1:34" x14ac:dyDescent="0.25">
      <c r="A6" s="24" t="str">
        <f>HYPERLINK("https://www.cpso.on.ca/DoctorDetails/Abdul-Ghaffar-Khan/0023227-28018","Khan, Abdul Ghaffar")</f>
        <v>Khan, Abdul Ghaffar</v>
      </c>
      <c r="B6" s="25" t="s">
        <v>76</v>
      </c>
      <c r="C6" s="24" t="s">
        <v>77</v>
      </c>
      <c r="D6" s="24" t="s">
        <v>78</v>
      </c>
      <c r="E6" s="24" t="s">
        <v>29</v>
      </c>
      <c r="F6" s="24" t="s">
        <v>30</v>
      </c>
      <c r="G6" s="24" t="s">
        <v>79</v>
      </c>
      <c r="H6" s="24" t="s">
        <v>80</v>
      </c>
      <c r="I6" s="24" t="s">
        <v>81</v>
      </c>
      <c r="J6" s="24" t="s">
        <v>82</v>
      </c>
      <c r="K6" s="24" t="s">
        <v>83</v>
      </c>
      <c r="L6" s="24" t="s">
        <v>84</v>
      </c>
      <c r="M6" s="15"/>
      <c r="N6" s="15"/>
      <c r="O6" s="15"/>
      <c r="P6" s="15" t="s">
        <v>85</v>
      </c>
      <c r="Q6" s="15"/>
      <c r="R6" s="15" t="s">
        <v>86</v>
      </c>
      <c r="S6" s="24" t="s">
        <v>39</v>
      </c>
      <c r="T6" s="24" t="s">
        <v>39</v>
      </c>
      <c r="U6" s="24" t="s">
        <v>39</v>
      </c>
      <c r="V6" s="24" t="s">
        <v>39</v>
      </c>
      <c r="W6" s="24"/>
      <c r="X6" s="24"/>
      <c r="Y6" s="15"/>
      <c r="Z6" s="15"/>
      <c r="AA6" s="24"/>
      <c r="AB6" s="24"/>
      <c r="AC6" s="24"/>
      <c r="AD6" s="24"/>
      <c r="AE6" s="24"/>
      <c r="AF6" s="24"/>
      <c r="AG6" s="24"/>
      <c r="AH6" s="24"/>
    </row>
    <row r="7" spans="1:34" ht="75" x14ac:dyDescent="0.25">
      <c r="A7" s="24" t="str">
        <f>HYPERLINK("https://www.cpso.on.ca/DoctorDetails/Abdul-Zahir-Sayeed-Farooqi/0229924-86007","Farooqi, Abdul Zahir Sayeed")</f>
        <v>Farooqi, Abdul Zahir Sayeed</v>
      </c>
      <c r="B7" s="25" t="s">
        <v>87</v>
      </c>
      <c r="C7" s="24" t="s">
        <v>88</v>
      </c>
      <c r="D7" s="24" t="s">
        <v>89</v>
      </c>
      <c r="E7" s="24" t="s">
        <v>29</v>
      </c>
      <c r="F7" s="24" t="s">
        <v>30</v>
      </c>
      <c r="G7" s="24" t="s">
        <v>79</v>
      </c>
      <c r="H7" s="24" t="s">
        <v>90</v>
      </c>
      <c r="I7" s="24" t="s">
        <v>91</v>
      </c>
      <c r="J7" s="24" t="s">
        <v>92</v>
      </c>
      <c r="K7" s="24" t="s">
        <v>93</v>
      </c>
      <c r="L7" s="24" t="s">
        <v>36</v>
      </c>
      <c r="M7" s="15" t="s">
        <v>94</v>
      </c>
      <c r="N7" s="15"/>
      <c r="O7" s="15" t="s">
        <v>95</v>
      </c>
      <c r="P7" s="15" t="s">
        <v>96</v>
      </c>
      <c r="Q7" s="15"/>
      <c r="R7" s="15" t="s">
        <v>97</v>
      </c>
      <c r="S7" s="24" t="s">
        <v>71</v>
      </c>
      <c r="T7" s="24" t="s">
        <v>39</v>
      </c>
      <c r="U7" s="24" t="s">
        <v>39</v>
      </c>
      <c r="V7" s="24" t="s">
        <v>39</v>
      </c>
      <c r="W7" s="24" t="s">
        <v>98</v>
      </c>
      <c r="X7" s="24" t="s">
        <v>99</v>
      </c>
      <c r="Y7" s="15" t="s">
        <v>100</v>
      </c>
      <c r="Z7" s="15" t="s">
        <v>101</v>
      </c>
      <c r="AA7" s="24"/>
      <c r="AB7" s="24"/>
      <c r="AC7" s="24"/>
      <c r="AD7" s="24"/>
      <c r="AE7" s="24"/>
      <c r="AF7" s="24"/>
      <c r="AG7" s="24"/>
      <c r="AH7" s="24"/>
    </row>
    <row r="8" spans="1:34" ht="180" x14ac:dyDescent="0.25">
      <c r="A8" s="24" t="str">
        <f>HYPERLINK("https://www.cpso.on.ca/DoctorDetails/Abdullah-S-S-S-AlOzairi/0237137-85985","Al-Ozairi, Abdullah S S S")</f>
        <v>Al-Ozairi, Abdullah S S S</v>
      </c>
      <c r="B8" s="25" t="s">
        <v>102</v>
      </c>
      <c r="C8" s="24" t="s">
        <v>103</v>
      </c>
      <c r="D8" s="24" t="s">
        <v>104</v>
      </c>
      <c r="E8" s="24" t="s">
        <v>29</v>
      </c>
      <c r="F8" s="24" t="s">
        <v>30</v>
      </c>
      <c r="G8" s="24" t="s">
        <v>105</v>
      </c>
      <c r="H8" s="24" t="s">
        <v>106</v>
      </c>
      <c r="I8" s="24" t="s">
        <v>107</v>
      </c>
      <c r="J8" s="24"/>
      <c r="K8" s="24"/>
      <c r="L8" s="24"/>
      <c r="M8" s="15"/>
      <c r="N8" s="15" t="s">
        <v>108</v>
      </c>
      <c r="O8" s="15"/>
      <c r="P8" s="15" t="s">
        <v>109</v>
      </c>
      <c r="Q8" s="15" t="s">
        <v>110</v>
      </c>
      <c r="R8" s="15" t="s">
        <v>111</v>
      </c>
      <c r="S8" s="24" t="s">
        <v>39</v>
      </c>
      <c r="T8" s="24" t="s">
        <v>39</v>
      </c>
      <c r="U8" s="24" t="s">
        <v>39</v>
      </c>
      <c r="V8" s="24" t="s">
        <v>39</v>
      </c>
      <c r="W8" s="24"/>
      <c r="X8" s="24"/>
      <c r="Y8" s="15"/>
      <c r="Z8" s="15"/>
      <c r="AA8" s="24"/>
      <c r="AB8" s="24"/>
      <c r="AC8" s="24"/>
      <c r="AD8" s="24"/>
      <c r="AE8" s="24"/>
      <c r="AF8" s="24"/>
      <c r="AG8" s="24"/>
      <c r="AH8" s="24"/>
    </row>
    <row r="9" spans="1:34" ht="45" x14ac:dyDescent="0.25">
      <c r="A9" s="24" t="str">
        <f>HYPERLINK("https://www.cpso.on.ca/DoctorDetails/Abel-Ickowicz/0038248-52224","Ickowicz, Abel")</f>
        <v>Ickowicz, Abel</v>
      </c>
      <c r="B9" s="25" t="s">
        <v>112</v>
      </c>
      <c r="C9" s="24" t="s">
        <v>113</v>
      </c>
      <c r="D9" s="24" t="s">
        <v>114</v>
      </c>
      <c r="E9" s="24" t="s">
        <v>29</v>
      </c>
      <c r="F9" s="24" t="s">
        <v>30</v>
      </c>
      <c r="G9" s="24" t="s">
        <v>115</v>
      </c>
      <c r="H9" s="24" t="s">
        <v>116</v>
      </c>
      <c r="I9" s="24" t="s">
        <v>117</v>
      </c>
      <c r="J9" s="24" t="s">
        <v>118</v>
      </c>
      <c r="K9" s="24" t="s">
        <v>119</v>
      </c>
      <c r="L9" s="24" t="s">
        <v>52</v>
      </c>
      <c r="M9" s="15"/>
      <c r="N9" s="15" t="s">
        <v>120</v>
      </c>
      <c r="O9" s="15" t="s">
        <v>121</v>
      </c>
      <c r="P9" s="15" t="s">
        <v>122</v>
      </c>
      <c r="Q9" s="15"/>
      <c r="R9" s="15" t="s">
        <v>123</v>
      </c>
      <c r="S9" s="24" t="s">
        <v>39</v>
      </c>
      <c r="T9" s="24" t="s">
        <v>39</v>
      </c>
      <c r="U9" s="24" t="s">
        <v>39</v>
      </c>
      <c r="V9" s="24" t="s">
        <v>39</v>
      </c>
      <c r="W9" s="24" t="s">
        <v>124</v>
      </c>
      <c r="X9" s="24" t="s">
        <v>125</v>
      </c>
      <c r="Y9" s="15" t="s">
        <v>126</v>
      </c>
      <c r="Z9" s="15" t="s">
        <v>127</v>
      </c>
      <c r="AA9" s="24"/>
      <c r="AB9" s="24"/>
      <c r="AC9" s="24"/>
      <c r="AD9" s="24"/>
      <c r="AE9" s="24"/>
      <c r="AF9" s="24"/>
      <c r="AG9" s="24"/>
      <c r="AH9" s="24"/>
    </row>
    <row r="10" spans="1:34" ht="75" x14ac:dyDescent="0.25">
      <c r="A10" s="24" t="str">
        <f>HYPERLINK("https://www.cpso.on.ca/DoctorDetails/Abhay-Kumar-Singh/0144184-71882","Singh, Abhay Kumar")</f>
        <v>Singh, Abhay Kumar</v>
      </c>
      <c r="B10" s="25" t="s">
        <v>128</v>
      </c>
      <c r="C10" s="24" t="s">
        <v>129</v>
      </c>
      <c r="D10" s="24" t="s">
        <v>130</v>
      </c>
      <c r="E10" s="24" t="s">
        <v>29</v>
      </c>
      <c r="F10" s="24" t="s">
        <v>30</v>
      </c>
      <c r="G10" s="24" t="s">
        <v>131</v>
      </c>
      <c r="H10" s="24" t="s">
        <v>132</v>
      </c>
      <c r="I10" s="24" t="s">
        <v>133</v>
      </c>
      <c r="J10" s="24" t="s">
        <v>134</v>
      </c>
      <c r="K10" s="24"/>
      <c r="L10" s="24" t="s">
        <v>135</v>
      </c>
      <c r="M10" s="15" t="s">
        <v>136</v>
      </c>
      <c r="N10" s="15"/>
      <c r="O10" s="15" t="s">
        <v>137</v>
      </c>
      <c r="P10" s="15" t="s">
        <v>138</v>
      </c>
      <c r="Q10" s="15" t="s">
        <v>139</v>
      </c>
      <c r="R10" s="15" t="s">
        <v>140</v>
      </c>
      <c r="S10" s="24" t="s">
        <v>39</v>
      </c>
      <c r="T10" s="24" t="s">
        <v>39</v>
      </c>
      <c r="U10" s="24" t="s">
        <v>39</v>
      </c>
      <c r="V10" s="24" t="s">
        <v>39</v>
      </c>
      <c r="W10" s="24" t="s">
        <v>141</v>
      </c>
      <c r="X10" s="24" t="s">
        <v>142</v>
      </c>
      <c r="Y10" s="15" t="s">
        <v>143</v>
      </c>
      <c r="Z10" s="15" t="s">
        <v>144</v>
      </c>
      <c r="AA10" s="24"/>
      <c r="AB10" s="24"/>
      <c r="AC10" s="24"/>
      <c r="AD10" s="24"/>
      <c r="AE10" s="24"/>
      <c r="AF10" s="24"/>
      <c r="AG10" s="24"/>
      <c r="AH10" s="24"/>
    </row>
    <row r="11" spans="1:34" ht="75" x14ac:dyDescent="0.25">
      <c r="A11" s="24" t="str">
        <f>HYPERLINK("https://www.cpso.on.ca/DoctorDetails/Abraham-Jones-Popoola/0269523-94989","Popoola, Abraham Jones")</f>
        <v>Popoola, Abraham Jones</v>
      </c>
      <c r="B11" s="25" t="s">
        <v>145</v>
      </c>
      <c r="C11" s="24" t="s">
        <v>146</v>
      </c>
      <c r="D11" s="24" t="s">
        <v>147</v>
      </c>
      <c r="E11" s="24" t="s">
        <v>29</v>
      </c>
      <c r="F11" s="24" t="s">
        <v>30</v>
      </c>
      <c r="G11" s="24" t="s">
        <v>148</v>
      </c>
      <c r="H11" s="24" t="s">
        <v>149</v>
      </c>
      <c r="I11" s="24" t="s">
        <v>150</v>
      </c>
      <c r="J11" s="24" t="s">
        <v>151</v>
      </c>
      <c r="K11" s="24"/>
      <c r="L11" s="24" t="s">
        <v>152</v>
      </c>
      <c r="M11" s="15" t="s">
        <v>153</v>
      </c>
      <c r="N11" s="15"/>
      <c r="O11" s="15" t="s">
        <v>95</v>
      </c>
      <c r="P11" s="15" t="s">
        <v>154</v>
      </c>
      <c r="Q11" s="15"/>
      <c r="R11" s="15" t="s">
        <v>155</v>
      </c>
      <c r="S11" s="24" t="s">
        <v>39</v>
      </c>
      <c r="T11" s="24" t="s">
        <v>39</v>
      </c>
      <c r="U11" s="24" t="s">
        <v>39</v>
      </c>
      <c r="V11" s="24" t="s">
        <v>39</v>
      </c>
      <c r="W11" s="24" t="s">
        <v>156</v>
      </c>
      <c r="X11" s="24" t="s">
        <v>157</v>
      </c>
      <c r="Y11" s="15" t="s">
        <v>158</v>
      </c>
      <c r="Z11" s="15" t="s">
        <v>159</v>
      </c>
      <c r="AA11" s="24"/>
      <c r="AB11" s="24"/>
      <c r="AC11" s="24"/>
      <c r="AD11" s="24"/>
      <c r="AE11" s="24"/>
      <c r="AF11" s="24"/>
      <c r="AG11" s="24"/>
      <c r="AH11" s="24"/>
    </row>
    <row r="12" spans="1:34" ht="60" x14ac:dyDescent="0.25">
      <c r="A12" s="24" t="str">
        <f>HYPERLINK("https://www.cpso.on.ca/DoctorDetails/Abraham-Snaiderman/0047614-61592","Snaiderman, Abraham")</f>
        <v>Snaiderman, Abraham</v>
      </c>
      <c r="B12" s="25" t="s">
        <v>160</v>
      </c>
      <c r="C12" s="24" t="s">
        <v>161</v>
      </c>
      <c r="D12" s="24" t="s">
        <v>162</v>
      </c>
      <c r="E12" s="24" t="s">
        <v>163</v>
      </c>
      <c r="F12" s="24" t="s">
        <v>30</v>
      </c>
      <c r="G12" s="24" t="s">
        <v>31</v>
      </c>
      <c r="H12" s="24" t="s">
        <v>164</v>
      </c>
      <c r="I12" s="24" t="s">
        <v>165</v>
      </c>
      <c r="J12" s="24" t="s">
        <v>166</v>
      </c>
      <c r="K12" s="24"/>
      <c r="L12" s="24" t="s">
        <v>52</v>
      </c>
      <c r="M12" s="15"/>
      <c r="N12" s="15" t="s">
        <v>167</v>
      </c>
      <c r="O12" s="15" t="s">
        <v>168</v>
      </c>
      <c r="P12" s="15" t="s">
        <v>169</v>
      </c>
      <c r="Q12" s="15" t="s">
        <v>170</v>
      </c>
      <c r="R12" s="15" t="s">
        <v>171</v>
      </c>
      <c r="S12" s="24" t="s">
        <v>39</v>
      </c>
      <c r="T12" s="24" t="s">
        <v>39</v>
      </c>
      <c r="U12" s="24" t="s">
        <v>39</v>
      </c>
      <c r="V12" s="24" t="s">
        <v>39</v>
      </c>
      <c r="W12" s="24" t="s">
        <v>172</v>
      </c>
      <c r="X12" s="24" t="s">
        <v>173</v>
      </c>
      <c r="Y12" s="15" t="s">
        <v>174</v>
      </c>
      <c r="Z12" s="15" t="s">
        <v>175</v>
      </c>
      <c r="AA12" s="24"/>
      <c r="AB12" s="24"/>
      <c r="AC12" s="24"/>
      <c r="AD12" s="24"/>
      <c r="AE12" s="24"/>
      <c r="AF12" s="24"/>
      <c r="AG12" s="24"/>
      <c r="AH12" s="24"/>
    </row>
    <row r="13" spans="1:34" ht="30" x14ac:dyDescent="0.25">
      <c r="A13" s="24" t="str">
        <f>HYPERLINK("https://www.cpso.on.ca/DoctorDetails/Abul-Barkat-Mohiuddin-Ahmed/0041024-55000","Ahmed, Abul Barkat Mohiuddin")</f>
        <v>Ahmed, Abul Barkat Mohiuddin</v>
      </c>
      <c r="B13" s="25" t="s">
        <v>176</v>
      </c>
      <c r="C13" s="24" t="s">
        <v>177</v>
      </c>
      <c r="D13" s="24" t="s">
        <v>178</v>
      </c>
      <c r="E13" s="24" t="s">
        <v>29</v>
      </c>
      <c r="F13" s="24" t="s">
        <v>30</v>
      </c>
      <c r="G13" s="24" t="s">
        <v>179</v>
      </c>
      <c r="H13" s="24" t="s">
        <v>180</v>
      </c>
      <c r="I13" s="24" t="s">
        <v>181</v>
      </c>
      <c r="J13" s="24" t="s">
        <v>182</v>
      </c>
      <c r="K13" s="24" t="s">
        <v>183</v>
      </c>
      <c r="L13" s="24" t="s">
        <v>184</v>
      </c>
      <c r="M13" s="15"/>
      <c r="N13" s="15"/>
      <c r="O13" s="15"/>
      <c r="P13" s="15" t="s">
        <v>185</v>
      </c>
      <c r="Q13" s="15"/>
      <c r="R13" s="15" t="s">
        <v>186</v>
      </c>
      <c r="S13" s="24" t="s">
        <v>39</v>
      </c>
      <c r="T13" s="24" t="s">
        <v>39</v>
      </c>
      <c r="U13" s="24" t="s">
        <v>39</v>
      </c>
      <c r="V13" s="24" t="s">
        <v>39</v>
      </c>
      <c r="W13" s="24"/>
      <c r="X13" s="24"/>
      <c r="Y13" s="15"/>
      <c r="Z13" s="15"/>
      <c r="AA13" s="24"/>
      <c r="AB13" s="24"/>
      <c r="AC13" s="24"/>
      <c r="AD13" s="24"/>
      <c r="AE13" s="24"/>
      <c r="AF13" s="24"/>
      <c r="AG13" s="24"/>
      <c r="AH13" s="24"/>
    </row>
    <row r="14" spans="1:34" x14ac:dyDescent="0.25">
      <c r="A14" s="24" t="str">
        <f>HYPERLINK("https://www.cpso.on.ca/DoctorDetails/Achal-Mishra/0315549-111504","Mishra, Achal")</f>
        <v>Mishra, Achal</v>
      </c>
      <c r="B14" s="25" t="s">
        <v>187</v>
      </c>
      <c r="C14" s="24" t="s">
        <v>188</v>
      </c>
      <c r="D14" s="24" t="s">
        <v>189</v>
      </c>
      <c r="E14" s="24" t="s">
        <v>29</v>
      </c>
      <c r="F14" s="24" t="s">
        <v>30</v>
      </c>
      <c r="G14" s="24" t="s">
        <v>131</v>
      </c>
      <c r="H14" s="24" t="s">
        <v>190</v>
      </c>
      <c r="I14" s="24" t="s">
        <v>191</v>
      </c>
      <c r="J14" s="24" t="s">
        <v>192</v>
      </c>
      <c r="K14" s="24" t="s">
        <v>193</v>
      </c>
      <c r="L14" s="24" t="s">
        <v>36</v>
      </c>
      <c r="M14" s="15"/>
      <c r="N14" s="15" t="s">
        <v>194</v>
      </c>
      <c r="O14" s="15"/>
      <c r="P14" s="15" t="s">
        <v>195</v>
      </c>
      <c r="Q14" s="15" t="s">
        <v>196</v>
      </c>
      <c r="R14" s="15" t="s">
        <v>197</v>
      </c>
      <c r="S14" s="24" t="s">
        <v>39</v>
      </c>
      <c r="T14" s="24" t="s">
        <v>39</v>
      </c>
      <c r="U14" s="24" t="s">
        <v>39</v>
      </c>
      <c r="V14" s="24" t="s">
        <v>39</v>
      </c>
      <c r="W14" s="24"/>
      <c r="X14" s="24"/>
      <c r="Y14" s="15"/>
      <c r="Z14" s="15"/>
      <c r="AA14" s="24"/>
      <c r="AB14" s="24"/>
      <c r="AC14" s="24"/>
      <c r="AD14" s="24"/>
      <c r="AE14" s="24"/>
      <c r="AF14" s="24"/>
      <c r="AG14" s="24"/>
      <c r="AH14" s="24"/>
    </row>
    <row r="15" spans="1:34" ht="75" x14ac:dyDescent="0.25">
      <c r="A15" s="24" t="str">
        <f>HYPERLINK("https://www.cpso.on.ca/DoctorDetails/Adam-Augusto-Tasca/0288789-100688","Tasca, Adam Augusto")</f>
        <v>Tasca, Adam Augusto</v>
      </c>
      <c r="B15" s="25" t="s">
        <v>198</v>
      </c>
      <c r="C15" s="24" t="s">
        <v>199</v>
      </c>
      <c r="D15" s="24" t="s">
        <v>200</v>
      </c>
      <c r="E15" s="24" t="s">
        <v>29</v>
      </c>
      <c r="F15" s="24" t="s">
        <v>30</v>
      </c>
      <c r="G15" s="24" t="s">
        <v>31</v>
      </c>
      <c r="H15" s="24" t="s">
        <v>201</v>
      </c>
      <c r="I15" s="24" t="s">
        <v>202</v>
      </c>
      <c r="J15" s="24" t="s">
        <v>203</v>
      </c>
      <c r="K15" s="24" t="s">
        <v>204</v>
      </c>
      <c r="L15" s="24" t="s">
        <v>52</v>
      </c>
      <c r="M15" s="15"/>
      <c r="N15" s="15"/>
      <c r="O15" s="15"/>
      <c r="P15" s="15" t="s">
        <v>205</v>
      </c>
      <c r="Q15" s="15" t="s">
        <v>206</v>
      </c>
      <c r="R15" s="15" t="s">
        <v>207</v>
      </c>
      <c r="S15" s="24" t="s">
        <v>39</v>
      </c>
      <c r="T15" s="24" t="s">
        <v>39</v>
      </c>
      <c r="U15" s="24" t="s">
        <v>39</v>
      </c>
      <c r="V15" s="24" t="s">
        <v>39</v>
      </c>
      <c r="W15" s="24" t="s">
        <v>208</v>
      </c>
      <c r="X15" s="24" t="s">
        <v>209</v>
      </c>
      <c r="Y15" s="15" t="s">
        <v>210</v>
      </c>
      <c r="Z15" s="15" t="s">
        <v>211</v>
      </c>
      <c r="AA15" s="24"/>
      <c r="AB15" s="24"/>
      <c r="AC15" s="24"/>
      <c r="AD15" s="24"/>
      <c r="AE15" s="24"/>
      <c r="AF15" s="24"/>
      <c r="AG15" s="24"/>
      <c r="AH15" s="24"/>
    </row>
    <row r="16" spans="1:34" ht="120" x14ac:dyDescent="0.25">
      <c r="A16" s="24" t="str">
        <f>HYPERLINK("https://www.cpso.on.ca/DoctorDetails/Adam-Gabriel-Quastel/0056793-68381","Quastel, Adam Gabriel")</f>
        <v>Quastel, Adam Gabriel</v>
      </c>
      <c r="B16" s="25" t="s">
        <v>212</v>
      </c>
      <c r="C16" s="24" t="s">
        <v>213</v>
      </c>
      <c r="D16" s="24" t="s">
        <v>214</v>
      </c>
      <c r="E16" s="24" t="s">
        <v>29</v>
      </c>
      <c r="F16" s="24" t="s">
        <v>30</v>
      </c>
      <c r="G16" s="24" t="s">
        <v>31</v>
      </c>
      <c r="H16" s="24" t="s">
        <v>215</v>
      </c>
      <c r="I16" s="24" t="s">
        <v>216</v>
      </c>
      <c r="J16" s="24" t="s">
        <v>217</v>
      </c>
      <c r="K16" s="24" t="s">
        <v>218</v>
      </c>
      <c r="L16" s="24" t="s">
        <v>52</v>
      </c>
      <c r="M16" s="15"/>
      <c r="N16" s="15"/>
      <c r="O16" s="15" t="s">
        <v>219</v>
      </c>
      <c r="P16" s="15" t="s">
        <v>220</v>
      </c>
      <c r="Q16" s="15" t="s">
        <v>221</v>
      </c>
      <c r="R16" s="15" t="s">
        <v>222</v>
      </c>
      <c r="S16" s="24" t="s">
        <v>39</v>
      </c>
      <c r="T16" s="24" t="s">
        <v>39</v>
      </c>
      <c r="U16" s="24" t="s">
        <v>39</v>
      </c>
      <c r="V16" s="24" t="s">
        <v>39</v>
      </c>
      <c r="W16" s="24" t="s">
        <v>223</v>
      </c>
      <c r="X16" s="24" t="s">
        <v>224</v>
      </c>
      <c r="Y16" s="15"/>
      <c r="Z16" s="15"/>
      <c r="AA16" s="24"/>
      <c r="AB16" s="24"/>
      <c r="AC16" s="24"/>
      <c r="AD16" s="24"/>
      <c r="AE16" s="24"/>
      <c r="AF16" s="24"/>
      <c r="AG16" s="24"/>
      <c r="AH16" s="24"/>
    </row>
    <row r="17" spans="1:34" ht="30" x14ac:dyDescent="0.25">
      <c r="A17" s="24" t="str">
        <f>HYPERLINK("https://www.cpso.on.ca/DoctorDetails/Adam-Max-Stein/0027518-32341","Stein, Adam Max")</f>
        <v>Stein, Adam Max</v>
      </c>
      <c r="B17" s="25" t="s">
        <v>225</v>
      </c>
      <c r="C17" s="24" t="s">
        <v>226</v>
      </c>
      <c r="D17" s="24" t="s">
        <v>227</v>
      </c>
      <c r="E17" s="24" t="s">
        <v>29</v>
      </c>
      <c r="F17" s="24" t="s">
        <v>30</v>
      </c>
      <c r="G17" s="24" t="s">
        <v>31</v>
      </c>
      <c r="H17" s="24" t="s">
        <v>228</v>
      </c>
      <c r="I17" s="24" t="s">
        <v>229</v>
      </c>
      <c r="J17" s="24" t="s">
        <v>230</v>
      </c>
      <c r="K17" s="24" t="s">
        <v>231</v>
      </c>
      <c r="L17" s="24" t="s">
        <v>52</v>
      </c>
      <c r="M17" s="15"/>
      <c r="N17" s="15"/>
      <c r="O17" s="15" t="s">
        <v>232</v>
      </c>
      <c r="P17" s="15" t="s">
        <v>233</v>
      </c>
      <c r="Q17" s="15"/>
      <c r="R17" s="15" t="s">
        <v>234</v>
      </c>
      <c r="S17" s="24" t="s">
        <v>39</v>
      </c>
      <c r="T17" s="24" t="s">
        <v>39</v>
      </c>
      <c r="U17" s="24" t="s">
        <v>39</v>
      </c>
      <c r="V17" s="24" t="s">
        <v>39</v>
      </c>
      <c r="W17" s="24" t="s">
        <v>235</v>
      </c>
      <c r="X17" s="24" t="s">
        <v>236</v>
      </c>
      <c r="Y17" s="15" t="s">
        <v>237</v>
      </c>
      <c r="Z17" s="15" t="s">
        <v>238</v>
      </c>
      <c r="AA17" s="24"/>
      <c r="AB17" s="24"/>
      <c r="AC17" s="24"/>
      <c r="AD17" s="24"/>
      <c r="AE17" s="24"/>
      <c r="AF17" s="24"/>
      <c r="AG17" s="24"/>
      <c r="AH17" s="24"/>
    </row>
    <row r="18" spans="1:34" ht="90" x14ac:dyDescent="0.25">
      <c r="A18" s="24" t="str">
        <f>HYPERLINK("https://www.cpso.on.ca/DoctorDetails/Adam-Michael-Enchin/0139325-71546","Enchin, Adam Michael")</f>
        <v>Enchin, Adam Michael</v>
      </c>
      <c r="B18" s="25" t="s">
        <v>239</v>
      </c>
      <c r="C18" s="24" t="s">
        <v>240</v>
      </c>
      <c r="D18" s="24" t="s">
        <v>241</v>
      </c>
      <c r="E18" s="24" t="s">
        <v>29</v>
      </c>
      <c r="F18" s="24" t="s">
        <v>30</v>
      </c>
      <c r="G18" s="24" t="s">
        <v>31</v>
      </c>
      <c r="H18" s="24" t="s">
        <v>242</v>
      </c>
      <c r="I18" s="24" t="s">
        <v>243</v>
      </c>
      <c r="J18" s="24" t="s">
        <v>244</v>
      </c>
      <c r="K18" s="24"/>
      <c r="L18" s="24" t="s">
        <v>36</v>
      </c>
      <c r="M18" s="15"/>
      <c r="N18" s="15"/>
      <c r="O18" s="15" t="s">
        <v>245</v>
      </c>
      <c r="P18" s="15" t="s">
        <v>246</v>
      </c>
      <c r="Q18" s="15" t="s">
        <v>247</v>
      </c>
      <c r="R18" s="15" t="s">
        <v>248</v>
      </c>
      <c r="S18" s="24" t="s">
        <v>39</v>
      </c>
      <c r="T18" s="24" t="s">
        <v>39</v>
      </c>
      <c r="U18" s="24" t="s">
        <v>39</v>
      </c>
      <c r="V18" s="24" t="s">
        <v>39</v>
      </c>
      <c r="W18" s="24"/>
      <c r="X18" s="24"/>
      <c r="Y18" s="15"/>
      <c r="Z18" s="15"/>
      <c r="AA18" s="24"/>
      <c r="AB18" s="24"/>
      <c r="AC18" s="24"/>
      <c r="AD18" s="24"/>
      <c r="AE18" s="24"/>
      <c r="AF18" s="24"/>
      <c r="AG18" s="24"/>
      <c r="AH18" s="24"/>
    </row>
    <row r="19" spans="1:34" ht="45" x14ac:dyDescent="0.25">
      <c r="A19" s="24" t="str">
        <f>HYPERLINK("https://www.cpso.on.ca/DoctorDetails/Adam-Moscovitch/0245127-87899","Moscovitch, Adam")</f>
        <v>Moscovitch, Adam</v>
      </c>
      <c r="B19" s="25" t="s">
        <v>249</v>
      </c>
      <c r="C19" s="24" t="s">
        <v>250</v>
      </c>
      <c r="D19" s="24" t="s">
        <v>251</v>
      </c>
      <c r="E19" s="24" t="s">
        <v>29</v>
      </c>
      <c r="F19" s="24" t="s">
        <v>30</v>
      </c>
      <c r="G19" s="24" t="s">
        <v>252</v>
      </c>
      <c r="H19" s="24" t="s">
        <v>253</v>
      </c>
      <c r="I19" s="24" t="s">
        <v>254</v>
      </c>
      <c r="J19" s="24" t="s">
        <v>255</v>
      </c>
      <c r="K19" s="24" t="s">
        <v>256</v>
      </c>
      <c r="L19" s="24" t="s">
        <v>36</v>
      </c>
      <c r="M19" s="15" t="s">
        <v>257</v>
      </c>
      <c r="N19" s="15" t="s">
        <v>258</v>
      </c>
      <c r="O19" s="15"/>
      <c r="P19" s="15" t="s">
        <v>259</v>
      </c>
      <c r="Q19" s="15"/>
      <c r="R19" s="15" t="s">
        <v>260</v>
      </c>
      <c r="S19" s="24" t="s">
        <v>39</v>
      </c>
      <c r="T19" s="24" t="s">
        <v>39</v>
      </c>
      <c r="U19" s="24" t="s">
        <v>39</v>
      </c>
      <c r="V19" s="24" t="s">
        <v>39</v>
      </c>
      <c r="W19" s="24" t="s">
        <v>261</v>
      </c>
      <c r="X19" s="24" t="s">
        <v>262</v>
      </c>
      <c r="Y19" s="15" t="s">
        <v>263</v>
      </c>
      <c r="Z19" s="15" t="s">
        <v>264</v>
      </c>
      <c r="AA19" s="24"/>
      <c r="AB19" s="24"/>
      <c r="AC19" s="24"/>
      <c r="AD19" s="24"/>
      <c r="AE19" s="24"/>
      <c r="AF19" s="24"/>
      <c r="AG19" s="24"/>
      <c r="AH19" s="24"/>
    </row>
    <row r="20" spans="1:34" ht="75" x14ac:dyDescent="0.25">
      <c r="A20" s="24" t="str">
        <f>HYPERLINK("https://www.cpso.on.ca/DoctorDetails/Adam-Peter-Toews/0250159-88466","Toews, Adam Peter")</f>
        <v>Toews, Adam Peter</v>
      </c>
      <c r="B20" s="25" t="s">
        <v>265</v>
      </c>
      <c r="C20" s="24" t="s">
        <v>266</v>
      </c>
      <c r="D20" s="24" t="s">
        <v>267</v>
      </c>
      <c r="E20" s="24" t="s">
        <v>29</v>
      </c>
      <c r="F20" s="24" t="s">
        <v>30</v>
      </c>
      <c r="G20" s="24" t="s">
        <v>31</v>
      </c>
      <c r="H20" s="24" t="s">
        <v>268</v>
      </c>
      <c r="I20" s="24" t="s">
        <v>269</v>
      </c>
      <c r="J20" s="24" t="s">
        <v>270</v>
      </c>
      <c r="K20" s="24"/>
      <c r="L20" s="24" t="s">
        <v>52</v>
      </c>
      <c r="M20" s="15"/>
      <c r="N20" s="15"/>
      <c r="O20" s="15" t="s">
        <v>271</v>
      </c>
      <c r="P20" s="15" t="s">
        <v>272</v>
      </c>
      <c r="Q20" s="15" t="s">
        <v>273</v>
      </c>
      <c r="R20" s="15" t="s">
        <v>274</v>
      </c>
      <c r="S20" s="24" t="s">
        <v>39</v>
      </c>
      <c r="T20" s="24" t="s">
        <v>39</v>
      </c>
      <c r="U20" s="24" t="s">
        <v>39</v>
      </c>
      <c r="V20" s="24" t="s">
        <v>39</v>
      </c>
      <c r="W20" s="24" t="s">
        <v>275</v>
      </c>
      <c r="X20" s="24" t="s">
        <v>276</v>
      </c>
      <c r="Y20" s="15" t="s">
        <v>277</v>
      </c>
      <c r="Z20" s="15" t="s">
        <v>278</v>
      </c>
      <c r="AA20" s="24"/>
      <c r="AB20" s="24"/>
      <c r="AC20" s="24"/>
      <c r="AD20" s="24"/>
      <c r="AE20" s="24"/>
      <c r="AF20" s="24"/>
      <c r="AG20" s="24"/>
      <c r="AH20" s="24"/>
    </row>
    <row r="21" spans="1:34" ht="75" x14ac:dyDescent="0.25">
      <c r="A21" s="24" t="str">
        <f>HYPERLINK("https://www.cpso.on.ca/DoctorDetails/Adam-Samuel-Waese/0159181-73851","Waese, Adam Samuel")</f>
        <v>Waese, Adam Samuel</v>
      </c>
      <c r="B21" s="25" t="s">
        <v>279</v>
      </c>
      <c r="C21" s="24" t="s">
        <v>280</v>
      </c>
      <c r="D21" s="24" t="s">
        <v>281</v>
      </c>
      <c r="E21" s="24" t="s">
        <v>29</v>
      </c>
      <c r="F21" s="24" t="s">
        <v>30</v>
      </c>
      <c r="G21" s="24" t="s">
        <v>31</v>
      </c>
      <c r="H21" s="24" t="s">
        <v>282</v>
      </c>
      <c r="I21" s="24" t="s">
        <v>283</v>
      </c>
      <c r="J21" s="24" t="s">
        <v>284</v>
      </c>
      <c r="K21" s="24" t="s">
        <v>285</v>
      </c>
      <c r="L21" s="24" t="s">
        <v>36</v>
      </c>
      <c r="M21" s="15" t="s">
        <v>286</v>
      </c>
      <c r="N21" s="15"/>
      <c r="O21" s="15" t="s">
        <v>287</v>
      </c>
      <c r="P21" s="15" t="s">
        <v>288</v>
      </c>
      <c r="Q21" s="15" t="s">
        <v>289</v>
      </c>
      <c r="R21" s="15" t="s">
        <v>290</v>
      </c>
      <c r="S21" s="24" t="s">
        <v>39</v>
      </c>
      <c r="T21" s="24" t="s">
        <v>39</v>
      </c>
      <c r="U21" s="24" t="s">
        <v>39</v>
      </c>
      <c r="V21" s="24" t="s">
        <v>39</v>
      </c>
      <c r="W21" s="24" t="s">
        <v>291</v>
      </c>
      <c r="X21" s="24" t="s">
        <v>292</v>
      </c>
      <c r="Y21" s="15" t="s">
        <v>293</v>
      </c>
      <c r="Z21" s="15" t="s">
        <v>294</v>
      </c>
      <c r="AA21" s="24"/>
      <c r="AB21" s="24"/>
      <c r="AC21" s="24"/>
      <c r="AD21" s="24"/>
      <c r="AE21" s="24"/>
      <c r="AF21" s="24"/>
      <c r="AG21" s="24"/>
      <c r="AH21" s="24"/>
    </row>
    <row r="22" spans="1:34" ht="75" x14ac:dyDescent="0.25">
      <c r="A22" s="24" t="str">
        <f>HYPERLINK("https://www.cpso.on.ca/DoctorDetails/Adam-Simon-Blackman/0051252-65231","Blackman, Adam Simon")</f>
        <v>Blackman, Adam Simon</v>
      </c>
      <c r="B22" s="25" t="s">
        <v>295</v>
      </c>
      <c r="C22" s="24" t="s">
        <v>296</v>
      </c>
      <c r="D22" s="24" t="s">
        <v>297</v>
      </c>
      <c r="E22" s="24" t="s">
        <v>29</v>
      </c>
      <c r="F22" s="24" t="s">
        <v>30</v>
      </c>
      <c r="G22" s="24" t="s">
        <v>31</v>
      </c>
      <c r="H22" s="24" t="s">
        <v>298</v>
      </c>
      <c r="I22" s="24" t="s">
        <v>299</v>
      </c>
      <c r="J22" s="24" t="s">
        <v>300</v>
      </c>
      <c r="K22" s="24" t="s">
        <v>301</v>
      </c>
      <c r="L22" s="24" t="s">
        <v>52</v>
      </c>
      <c r="M22" s="15"/>
      <c r="N22" s="15" t="s">
        <v>302</v>
      </c>
      <c r="O22" s="15"/>
      <c r="P22" s="15" t="s">
        <v>303</v>
      </c>
      <c r="Q22" s="15" t="s">
        <v>304</v>
      </c>
      <c r="R22" s="15" t="s">
        <v>305</v>
      </c>
      <c r="S22" s="24" t="s">
        <v>39</v>
      </c>
      <c r="T22" s="24" t="s">
        <v>39</v>
      </c>
      <c r="U22" s="24" t="s">
        <v>39</v>
      </c>
      <c r="V22" s="24" t="s">
        <v>39</v>
      </c>
      <c r="W22" s="24" t="s">
        <v>306</v>
      </c>
      <c r="X22" s="24" t="s">
        <v>307</v>
      </c>
      <c r="Y22" s="15" t="s">
        <v>308</v>
      </c>
      <c r="Z22" s="15" t="s">
        <v>309</v>
      </c>
      <c r="AA22" s="24"/>
      <c r="AB22" s="24"/>
      <c r="AC22" s="24"/>
      <c r="AD22" s="24"/>
      <c r="AE22" s="24"/>
      <c r="AF22" s="24"/>
      <c r="AG22" s="24"/>
      <c r="AH22" s="24"/>
    </row>
    <row r="23" spans="1:34" ht="45" x14ac:dyDescent="0.25">
      <c r="A23" s="24" t="str">
        <f>HYPERLINK("https://www.cpso.on.ca/DoctorDetails/Addo-Boafo/0036505-50481","Boafo, Addo")</f>
        <v>Boafo, Addo</v>
      </c>
      <c r="B23" s="25" t="s">
        <v>310</v>
      </c>
      <c r="C23" s="24" t="s">
        <v>311</v>
      </c>
      <c r="D23" s="24" t="s">
        <v>312</v>
      </c>
      <c r="E23" s="24" t="s">
        <v>29</v>
      </c>
      <c r="F23" s="24" t="s">
        <v>30</v>
      </c>
      <c r="G23" s="24" t="s">
        <v>31</v>
      </c>
      <c r="H23" s="24" t="s">
        <v>313</v>
      </c>
      <c r="I23" s="24" t="s">
        <v>314</v>
      </c>
      <c r="J23" s="24" t="s">
        <v>315</v>
      </c>
      <c r="K23" s="24"/>
      <c r="L23" s="24" t="s">
        <v>84</v>
      </c>
      <c r="M23" s="15"/>
      <c r="N23" s="15"/>
      <c r="O23" s="15"/>
      <c r="P23" s="15" t="s">
        <v>316</v>
      </c>
      <c r="Q23" s="15"/>
      <c r="R23" s="15" t="s">
        <v>317</v>
      </c>
      <c r="S23" s="24" t="s">
        <v>39</v>
      </c>
      <c r="T23" s="24" t="s">
        <v>39</v>
      </c>
      <c r="U23" s="24" t="s">
        <v>39</v>
      </c>
      <c r="V23" s="24" t="s">
        <v>39</v>
      </c>
      <c r="W23" s="24" t="s">
        <v>318</v>
      </c>
      <c r="X23" s="24" t="s">
        <v>319</v>
      </c>
      <c r="Y23" s="15" t="s">
        <v>320</v>
      </c>
      <c r="Z23" s="15" t="s">
        <v>321</v>
      </c>
      <c r="AA23" s="24"/>
      <c r="AB23" s="24"/>
      <c r="AC23" s="24"/>
      <c r="AD23" s="24"/>
      <c r="AE23" s="24"/>
      <c r="AF23" s="24"/>
      <c r="AG23" s="24"/>
      <c r="AH23" s="24"/>
    </row>
    <row r="24" spans="1:34" ht="45" x14ac:dyDescent="0.25">
      <c r="A24" s="24" t="str">
        <f>HYPERLINK("https://www.cpso.on.ca/DoctorDetails/Adedayo-Ayokunu-Alabi/0321350-114128","Alabi, Adedayo Ayokunu")</f>
        <v>Alabi, Adedayo Ayokunu</v>
      </c>
      <c r="B24" s="25" t="s">
        <v>322</v>
      </c>
      <c r="C24" s="24" t="s">
        <v>323</v>
      </c>
      <c r="D24" s="24" t="s">
        <v>324</v>
      </c>
      <c r="E24" s="24" t="s">
        <v>29</v>
      </c>
      <c r="F24" s="24" t="s">
        <v>30</v>
      </c>
      <c r="G24" s="24" t="s">
        <v>31</v>
      </c>
      <c r="H24" s="24" t="s">
        <v>325</v>
      </c>
      <c r="I24" s="24" t="s">
        <v>326</v>
      </c>
      <c r="J24" s="24" t="s">
        <v>327</v>
      </c>
      <c r="K24" s="24"/>
      <c r="L24" s="24" t="s">
        <v>328</v>
      </c>
      <c r="M24" s="15"/>
      <c r="N24" s="15"/>
      <c r="O24" s="15" t="s">
        <v>329</v>
      </c>
      <c r="P24" s="15" t="s">
        <v>330</v>
      </c>
      <c r="Q24" s="15"/>
      <c r="R24" s="15" t="s">
        <v>331</v>
      </c>
      <c r="S24" s="24" t="s">
        <v>71</v>
      </c>
      <c r="T24" s="24" t="s">
        <v>39</v>
      </c>
      <c r="U24" s="24" t="s">
        <v>39</v>
      </c>
      <c r="V24" s="24" t="s">
        <v>39</v>
      </c>
      <c r="W24" s="24"/>
      <c r="X24" s="24"/>
      <c r="Y24" s="15"/>
      <c r="Z24" s="15"/>
      <c r="AA24" s="24"/>
      <c r="AB24" s="24"/>
      <c r="AC24" s="24"/>
      <c r="AD24" s="24"/>
      <c r="AE24" s="24"/>
      <c r="AF24" s="24"/>
      <c r="AG24" s="24"/>
      <c r="AH24" s="24"/>
    </row>
    <row r="25" spans="1:34" ht="75" x14ac:dyDescent="0.25">
      <c r="A25" s="24" t="str">
        <f>HYPERLINK("https://www.cpso.on.ca/DoctorDetails/Adekunle-Garba-Ahmed/0173508-75647","Ahmed, Adekunle Garba")</f>
        <v>Ahmed, Adekunle Garba</v>
      </c>
      <c r="B25" s="25" t="s">
        <v>332</v>
      </c>
      <c r="C25" s="24" t="s">
        <v>333</v>
      </c>
      <c r="D25" s="24" t="s">
        <v>334</v>
      </c>
      <c r="E25" s="24" t="s">
        <v>29</v>
      </c>
      <c r="F25" s="24" t="s">
        <v>30</v>
      </c>
      <c r="G25" s="24" t="s">
        <v>335</v>
      </c>
      <c r="H25" s="24" t="s">
        <v>336</v>
      </c>
      <c r="I25" s="24" t="s">
        <v>337</v>
      </c>
      <c r="J25" s="24" t="s">
        <v>338</v>
      </c>
      <c r="K25" s="24" t="s">
        <v>339</v>
      </c>
      <c r="L25" s="24" t="s">
        <v>340</v>
      </c>
      <c r="M25" s="15" t="s">
        <v>341</v>
      </c>
      <c r="N25" s="15" t="s">
        <v>342</v>
      </c>
      <c r="O25" s="15"/>
      <c r="P25" s="15" t="s">
        <v>343</v>
      </c>
      <c r="Q25" s="15"/>
      <c r="R25" s="15" t="s">
        <v>344</v>
      </c>
      <c r="S25" s="24" t="s">
        <v>39</v>
      </c>
      <c r="T25" s="24" t="s">
        <v>39</v>
      </c>
      <c r="U25" s="24" t="s">
        <v>39</v>
      </c>
      <c r="V25" s="24" t="s">
        <v>39</v>
      </c>
      <c r="W25" s="24" t="s">
        <v>345</v>
      </c>
      <c r="X25" s="24" t="s">
        <v>346</v>
      </c>
      <c r="Y25" s="15" t="s">
        <v>347</v>
      </c>
      <c r="Z25" s="15" t="s">
        <v>348</v>
      </c>
      <c r="AA25" s="24"/>
      <c r="AB25" s="24"/>
      <c r="AC25" s="24"/>
      <c r="AD25" s="24"/>
      <c r="AE25" s="24"/>
      <c r="AF25" s="24"/>
      <c r="AG25" s="24"/>
      <c r="AH25" s="24"/>
    </row>
    <row r="26" spans="1:34" ht="45" x14ac:dyDescent="0.25">
      <c r="A26" s="24" t="str">
        <f>HYPERLINK("https://www.cpso.on.ca/DoctorDetails/Ademola-Bernard-Adeponle/0321606-113987","Adeponle, Ademola Bernard")</f>
        <v>Adeponle, Ademola Bernard</v>
      </c>
      <c r="B26" s="25" t="s">
        <v>349</v>
      </c>
      <c r="C26" s="24" t="s">
        <v>350</v>
      </c>
      <c r="D26" s="24" t="s">
        <v>351</v>
      </c>
      <c r="E26" s="24" t="s">
        <v>29</v>
      </c>
      <c r="F26" s="24" t="s">
        <v>30</v>
      </c>
      <c r="G26" s="24" t="s">
        <v>31</v>
      </c>
      <c r="H26" s="24" t="s">
        <v>352</v>
      </c>
      <c r="I26" s="24" t="s">
        <v>353</v>
      </c>
      <c r="J26" s="24"/>
      <c r="K26" s="24"/>
      <c r="L26" s="24" t="s">
        <v>52</v>
      </c>
      <c r="M26" s="15"/>
      <c r="N26" s="15"/>
      <c r="O26" s="15"/>
      <c r="P26" s="15" t="s">
        <v>354</v>
      </c>
      <c r="Q26" s="15" t="s">
        <v>355</v>
      </c>
      <c r="R26" s="15" t="s">
        <v>356</v>
      </c>
      <c r="S26" s="24" t="s">
        <v>39</v>
      </c>
      <c r="T26" s="24" t="s">
        <v>39</v>
      </c>
      <c r="U26" s="24" t="s">
        <v>39</v>
      </c>
      <c r="V26" s="24" t="s">
        <v>39</v>
      </c>
      <c r="W26" s="24"/>
      <c r="X26" s="24"/>
      <c r="Y26" s="15"/>
      <c r="Z26" s="15"/>
      <c r="AA26" s="24"/>
      <c r="AB26" s="24"/>
      <c r="AC26" s="24"/>
      <c r="AD26" s="24"/>
      <c r="AE26" s="24"/>
      <c r="AF26" s="24"/>
      <c r="AG26" s="24"/>
      <c r="AH26" s="24"/>
    </row>
    <row r="27" spans="1:34" ht="30" x14ac:dyDescent="0.25">
      <c r="A27" s="24" t="str">
        <f>HYPERLINK("https://www.cpso.on.ca/DoctorDetails/Aden-Abdullahi-Ismail/0062566-80317","Ismail, Aden Abdullahi")</f>
        <v>Ismail, Aden Abdullahi</v>
      </c>
      <c r="B27" s="25" t="s">
        <v>357</v>
      </c>
      <c r="C27" s="24" t="s">
        <v>358</v>
      </c>
      <c r="D27" s="24" t="s">
        <v>359</v>
      </c>
      <c r="E27" s="24" t="s">
        <v>29</v>
      </c>
      <c r="F27" s="24" t="s">
        <v>30</v>
      </c>
      <c r="G27" s="24" t="s">
        <v>360</v>
      </c>
      <c r="H27" s="24" t="s">
        <v>361</v>
      </c>
      <c r="I27" s="24" t="s">
        <v>362</v>
      </c>
      <c r="J27" s="24" t="s">
        <v>363</v>
      </c>
      <c r="K27" s="24" t="s">
        <v>364</v>
      </c>
      <c r="L27" s="24" t="s">
        <v>135</v>
      </c>
      <c r="M27" s="15" t="s">
        <v>365</v>
      </c>
      <c r="N27" s="15"/>
      <c r="O27" s="15" t="s">
        <v>366</v>
      </c>
      <c r="P27" s="15" t="s">
        <v>367</v>
      </c>
      <c r="Q27" s="15"/>
      <c r="R27" s="15" t="s">
        <v>368</v>
      </c>
      <c r="S27" s="24" t="s">
        <v>39</v>
      </c>
      <c r="T27" s="24" t="s">
        <v>39</v>
      </c>
      <c r="U27" s="24" t="s">
        <v>39</v>
      </c>
      <c r="V27" s="24" t="s">
        <v>39</v>
      </c>
      <c r="W27" s="24" t="s">
        <v>369</v>
      </c>
      <c r="X27" s="24" t="s">
        <v>370</v>
      </c>
      <c r="Y27" s="15" t="s">
        <v>371</v>
      </c>
      <c r="Z27" s="15" t="s">
        <v>372</v>
      </c>
      <c r="AA27" s="24"/>
      <c r="AB27" s="24"/>
      <c r="AC27" s="24"/>
      <c r="AD27" s="24"/>
      <c r="AE27" s="24"/>
      <c r="AF27" s="24"/>
      <c r="AG27" s="24"/>
      <c r="AH27" s="24"/>
    </row>
    <row r="28" spans="1:34" ht="75" x14ac:dyDescent="0.25">
      <c r="A28" s="24" t="str">
        <f>HYPERLINK("https://www.cpso.on.ca/DoctorDetails/Adeola-Busola-Akinlaja/0312821-110951","Akinlaja, Adeola Busola")</f>
        <v>Akinlaja, Adeola Busola</v>
      </c>
      <c r="B28" s="25" t="s">
        <v>373</v>
      </c>
      <c r="C28" s="24" t="s">
        <v>374</v>
      </c>
      <c r="D28" s="24" t="s">
        <v>375</v>
      </c>
      <c r="E28" s="24" t="s">
        <v>29</v>
      </c>
      <c r="F28" s="24" t="s">
        <v>47</v>
      </c>
      <c r="G28" s="24" t="s">
        <v>31</v>
      </c>
      <c r="H28" s="24" t="s">
        <v>376</v>
      </c>
      <c r="I28" s="24" t="s">
        <v>377</v>
      </c>
      <c r="J28" s="24" t="s">
        <v>378</v>
      </c>
      <c r="K28" s="24"/>
      <c r="L28" s="24" t="s">
        <v>65</v>
      </c>
      <c r="M28" s="15" t="s">
        <v>379</v>
      </c>
      <c r="N28" s="15"/>
      <c r="O28" s="15" t="s">
        <v>380</v>
      </c>
      <c r="P28" s="15" t="s">
        <v>381</v>
      </c>
      <c r="Q28" s="15"/>
      <c r="R28" s="15" t="s">
        <v>382</v>
      </c>
      <c r="S28" s="24" t="s">
        <v>39</v>
      </c>
      <c r="T28" s="24" t="s">
        <v>39</v>
      </c>
      <c r="U28" s="24" t="s">
        <v>39</v>
      </c>
      <c r="V28" s="24" t="s">
        <v>39</v>
      </c>
      <c r="W28" s="24" t="s">
        <v>383</v>
      </c>
      <c r="X28" s="24" t="s">
        <v>384</v>
      </c>
      <c r="Y28" s="15" t="s">
        <v>385</v>
      </c>
      <c r="Z28" s="15" t="s">
        <v>386</v>
      </c>
      <c r="AA28" s="24" t="s">
        <v>387</v>
      </c>
      <c r="AB28" s="24" t="s">
        <v>388</v>
      </c>
      <c r="AC28" s="24" t="s">
        <v>389</v>
      </c>
      <c r="AD28" s="15" t="s">
        <v>390</v>
      </c>
      <c r="AE28" s="24"/>
      <c r="AF28" s="24"/>
      <c r="AG28" s="24"/>
      <c r="AH28" s="24"/>
    </row>
    <row r="29" spans="1:34" ht="75" x14ac:dyDescent="0.25">
      <c r="A29" s="24" t="str">
        <f>HYPERLINK("https://www.cpso.on.ca/DoctorDetails/Adesua-Curtis-Obadan/0308536-111535","Obadan, Adesua Curtis")</f>
        <v>Obadan, Adesua Curtis</v>
      </c>
      <c r="B29" s="25" t="s">
        <v>391</v>
      </c>
      <c r="C29" s="24" t="s">
        <v>392</v>
      </c>
      <c r="D29" s="24" t="s">
        <v>393</v>
      </c>
      <c r="E29" s="24" t="s">
        <v>29</v>
      </c>
      <c r="F29" s="24" t="s">
        <v>30</v>
      </c>
      <c r="G29" s="24" t="s">
        <v>31</v>
      </c>
      <c r="H29" s="24" t="s">
        <v>394</v>
      </c>
      <c r="I29" s="24" t="s">
        <v>395</v>
      </c>
      <c r="J29" s="24" t="s">
        <v>396</v>
      </c>
      <c r="K29" s="24"/>
      <c r="L29" s="24" t="s">
        <v>328</v>
      </c>
      <c r="M29" s="15" t="s">
        <v>397</v>
      </c>
      <c r="N29" s="15" t="s">
        <v>398</v>
      </c>
      <c r="O29" s="15"/>
      <c r="P29" s="15" t="s">
        <v>195</v>
      </c>
      <c r="Q29" s="15"/>
      <c r="R29" s="15" t="s">
        <v>399</v>
      </c>
      <c r="S29" s="24" t="s">
        <v>39</v>
      </c>
      <c r="T29" s="24" t="s">
        <v>39</v>
      </c>
      <c r="U29" s="24" t="s">
        <v>39</v>
      </c>
      <c r="V29" s="24" t="s">
        <v>39</v>
      </c>
      <c r="W29" s="24" t="s">
        <v>400</v>
      </c>
      <c r="X29" s="24" t="s">
        <v>401</v>
      </c>
      <c r="Y29" s="15" t="s">
        <v>402</v>
      </c>
      <c r="Z29" s="15" t="s">
        <v>395</v>
      </c>
      <c r="AA29" s="24"/>
      <c r="AB29" s="24"/>
      <c r="AC29" s="24"/>
      <c r="AD29" s="24"/>
      <c r="AE29" s="24"/>
      <c r="AF29" s="24"/>
      <c r="AG29" s="24"/>
      <c r="AH29" s="24"/>
    </row>
    <row r="30" spans="1:34" ht="150" x14ac:dyDescent="0.25">
      <c r="A30" s="24" t="str">
        <f>HYPERLINK("https://www.cpso.on.ca/DoctorDetails/Adewale-Anthony-Akinlosotu/0259032-92222","Akinlosotu, Adewale Anthony")</f>
        <v>Akinlosotu, Adewale Anthony</v>
      </c>
      <c r="B30" s="25" t="s">
        <v>403</v>
      </c>
      <c r="C30" s="24" t="s">
        <v>404</v>
      </c>
      <c r="D30" s="24" t="s">
        <v>405</v>
      </c>
      <c r="E30" s="24" t="s">
        <v>29</v>
      </c>
      <c r="F30" s="24" t="s">
        <v>30</v>
      </c>
      <c r="G30" s="24" t="s">
        <v>335</v>
      </c>
      <c r="H30" s="24" t="s">
        <v>406</v>
      </c>
      <c r="I30" s="24" t="s">
        <v>407</v>
      </c>
      <c r="J30" s="24" t="s">
        <v>408</v>
      </c>
      <c r="K30" s="24" t="s">
        <v>409</v>
      </c>
      <c r="L30" s="24" t="s">
        <v>65</v>
      </c>
      <c r="M30" s="15" t="s">
        <v>410</v>
      </c>
      <c r="N30" s="15" t="s">
        <v>411</v>
      </c>
      <c r="O30" s="15" t="s">
        <v>380</v>
      </c>
      <c r="P30" s="15" t="s">
        <v>412</v>
      </c>
      <c r="Q30" s="15"/>
      <c r="R30" s="15" t="s">
        <v>413</v>
      </c>
      <c r="S30" s="24" t="s">
        <v>39</v>
      </c>
      <c r="T30" s="24" t="s">
        <v>39</v>
      </c>
      <c r="U30" s="24" t="s">
        <v>39</v>
      </c>
      <c r="V30" s="24" t="s">
        <v>39</v>
      </c>
      <c r="W30" s="24" t="s">
        <v>414</v>
      </c>
      <c r="X30" s="24" t="s">
        <v>415</v>
      </c>
      <c r="Y30" s="15" t="s">
        <v>416</v>
      </c>
      <c r="Z30" s="15" t="s">
        <v>417</v>
      </c>
      <c r="AA30" s="24"/>
      <c r="AB30" s="24"/>
      <c r="AC30" s="24"/>
      <c r="AD30" s="24"/>
      <c r="AE30" s="24"/>
      <c r="AF30" s="24"/>
      <c r="AG30" s="24"/>
      <c r="AH30" s="24"/>
    </row>
    <row r="31" spans="1:34" ht="105" x14ac:dyDescent="0.25">
      <c r="A31" s="24" t="str">
        <f>HYPERLINK("https://www.cpso.on.ca/DoctorDetails/Adeyemi-Tiwalade-Egbewunmi/0282422-99401","Egbewunmi, Adeyemi Tiwalade")</f>
        <v>Egbewunmi, Adeyemi Tiwalade</v>
      </c>
      <c r="B31" s="25" t="s">
        <v>418</v>
      </c>
      <c r="C31" s="24" t="s">
        <v>419</v>
      </c>
      <c r="D31" s="24" t="s">
        <v>420</v>
      </c>
      <c r="E31" s="24" t="s">
        <v>29</v>
      </c>
      <c r="F31" s="24" t="s">
        <v>30</v>
      </c>
      <c r="G31" s="24" t="s">
        <v>31</v>
      </c>
      <c r="H31" s="24" t="s">
        <v>421</v>
      </c>
      <c r="I31" s="24" t="s">
        <v>422</v>
      </c>
      <c r="J31" s="24" t="s">
        <v>423</v>
      </c>
      <c r="K31" s="24"/>
      <c r="L31" s="24" t="s">
        <v>36</v>
      </c>
      <c r="M31" s="15"/>
      <c r="N31" s="15"/>
      <c r="O31" s="15" t="s">
        <v>424</v>
      </c>
      <c r="P31" s="15" t="s">
        <v>425</v>
      </c>
      <c r="Q31" s="15"/>
      <c r="R31" s="15" t="s">
        <v>426</v>
      </c>
      <c r="S31" s="24" t="s">
        <v>71</v>
      </c>
      <c r="T31" s="24" t="s">
        <v>39</v>
      </c>
      <c r="U31" s="24" t="s">
        <v>39</v>
      </c>
      <c r="V31" s="24" t="s">
        <v>39</v>
      </c>
      <c r="W31" s="24" t="s">
        <v>427</v>
      </c>
      <c r="X31" s="24" t="s">
        <v>428</v>
      </c>
      <c r="Y31" s="15" t="s">
        <v>429</v>
      </c>
      <c r="Z31" s="15" t="s">
        <v>430</v>
      </c>
      <c r="AA31" s="24"/>
      <c r="AB31" s="24"/>
      <c r="AC31" s="24"/>
      <c r="AD31" s="24"/>
      <c r="AE31" s="24"/>
      <c r="AF31" s="24"/>
      <c r="AG31" s="24"/>
      <c r="AH31" s="24"/>
    </row>
    <row r="32" spans="1:34" ht="45" x14ac:dyDescent="0.25">
      <c r="A32" s="24" t="str">
        <f>HYPERLINK("https://www.cpso.on.ca/DoctorDetails/Adrian-John-Grek/0042372-56350","Grek, Adrian John")</f>
        <v>Grek, Adrian John</v>
      </c>
      <c r="B32" s="25" t="s">
        <v>431</v>
      </c>
      <c r="C32" s="24" t="s">
        <v>432</v>
      </c>
      <c r="D32" s="24" t="s">
        <v>433</v>
      </c>
      <c r="E32" s="24" t="s">
        <v>29</v>
      </c>
      <c r="F32" s="24" t="s">
        <v>30</v>
      </c>
      <c r="G32" s="24" t="s">
        <v>31</v>
      </c>
      <c r="H32" s="24" t="s">
        <v>434</v>
      </c>
      <c r="I32" s="24" t="s">
        <v>435</v>
      </c>
      <c r="J32" s="24" t="s">
        <v>436</v>
      </c>
      <c r="K32" s="24" t="s">
        <v>437</v>
      </c>
      <c r="L32" s="24" t="s">
        <v>52</v>
      </c>
      <c r="M32" s="15"/>
      <c r="N32" s="15"/>
      <c r="O32" s="15" t="s">
        <v>438</v>
      </c>
      <c r="P32" s="15" t="s">
        <v>439</v>
      </c>
      <c r="Q32" s="15"/>
      <c r="R32" s="15" t="s">
        <v>440</v>
      </c>
      <c r="S32" s="24" t="s">
        <v>39</v>
      </c>
      <c r="T32" s="24" t="s">
        <v>39</v>
      </c>
      <c r="U32" s="24" t="s">
        <v>39</v>
      </c>
      <c r="V32" s="24" t="s">
        <v>39</v>
      </c>
      <c r="W32" s="24"/>
      <c r="X32" s="24"/>
      <c r="Y32" s="15"/>
      <c r="Z32" s="15"/>
      <c r="AA32" s="24"/>
      <c r="AB32" s="24"/>
      <c r="AC32" s="24"/>
      <c r="AD32" s="24"/>
      <c r="AE32" s="24"/>
      <c r="AF32" s="24"/>
      <c r="AG32" s="24"/>
      <c r="AH32" s="24"/>
    </row>
    <row r="33" spans="1:34" ht="75" x14ac:dyDescent="0.25">
      <c r="A33" s="24" t="str">
        <f>HYPERLINK("https://www.cpso.on.ca/DoctorDetails/Adrian-John-Lawson/0257947-90828","Lawson, Adrian John")</f>
        <v>Lawson, Adrian John</v>
      </c>
      <c r="B33" s="25" t="s">
        <v>441</v>
      </c>
      <c r="C33" s="24" t="s">
        <v>442</v>
      </c>
      <c r="D33" s="24" t="s">
        <v>443</v>
      </c>
      <c r="E33" s="24" t="s">
        <v>29</v>
      </c>
      <c r="F33" s="24" t="s">
        <v>30</v>
      </c>
      <c r="G33" s="24" t="s">
        <v>31</v>
      </c>
      <c r="H33" s="24" t="s">
        <v>444</v>
      </c>
      <c r="I33" s="24" t="s">
        <v>445</v>
      </c>
      <c r="J33" s="24" t="s">
        <v>446</v>
      </c>
      <c r="K33" s="24" t="s">
        <v>447</v>
      </c>
      <c r="L33" s="24" t="s">
        <v>152</v>
      </c>
      <c r="M33" s="15" t="s">
        <v>448</v>
      </c>
      <c r="N33" s="15"/>
      <c r="O33" s="15"/>
      <c r="P33" s="15" t="s">
        <v>449</v>
      </c>
      <c r="Q33" s="15" t="s">
        <v>450</v>
      </c>
      <c r="R33" s="15" t="s">
        <v>451</v>
      </c>
      <c r="S33" s="24" t="s">
        <v>39</v>
      </c>
      <c r="T33" s="24" t="s">
        <v>39</v>
      </c>
      <c r="U33" s="24" t="s">
        <v>39</v>
      </c>
      <c r="V33" s="24" t="s">
        <v>39</v>
      </c>
      <c r="W33" s="24"/>
      <c r="X33" s="24"/>
      <c r="Y33" s="15"/>
      <c r="Z33" s="15"/>
      <c r="AA33" s="24"/>
      <c r="AB33" s="24"/>
      <c r="AC33" s="24"/>
      <c r="AD33" s="24"/>
      <c r="AE33" s="24"/>
      <c r="AF33" s="24"/>
      <c r="AG33" s="24"/>
      <c r="AH33" s="24"/>
    </row>
    <row r="34" spans="1:34" x14ac:dyDescent="0.25">
      <c r="A34" s="24" t="str">
        <f>HYPERLINK("https://www.cpso.on.ca/DoctorDetails/Adrian-Nathaniel-Hanick/0021720-26509","Hanick, Adrian Nathaniel")</f>
        <v>Hanick, Adrian Nathaniel</v>
      </c>
      <c r="B34" s="25" t="s">
        <v>452</v>
      </c>
      <c r="C34" s="24" t="s">
        <v>453</v>
      </c>
      <c r="D34" s="24" t="s">
        <v>454</v>
      </c>
      <c r="E34" s="24" t="s">
        <v>29</v>
      </c>
      <c r="F34" s="24" t="s">
        <v>30</v>
      </c>
      <c r="G34" s="24" t="s">
        <v>31</v>
      </c>
      <c r="H34" s="24" t="s">
        <v>455</v>
      </c>
      <c r="I34" s="24" t="s">
        <v>456</v>
      </c>
      <c r="J34" s="24" t="s">
        <v>457</v>
      </c>
      <c r="K34" s="24" t="s">
        <v>458</v>
      </c>
      <c r="L34" s="24" t="s">
        <v>52</v>
      </c>
      <c r="M34" s="15"/>
      <c r="N34" s="15"/>
      <c r="O34" s="15"/>
      <c r="P34" s="15" t="s">
        <v>459</v>
      </c>
      <c r="Q34" s="15"/>
      <c r="R34" s="15" t="s">
        <v>460</v>
      </c>
      <c r="S34" s="24" t="s">
        <v>39</v>
      </c>
      <c r="T34" s="24" t="s">
        <v>39</v>
      </c>
      <c r="U34" s="24" t="s">
        <v>39</v>
      </c>
      <c r="V34" s="24" t="s">
        <v>39</v>
      </c>
      <c r="W34" s="24" t="s">
        <v>461</v>
      </c>
      <c r="X34" s="24" t="s">
        <v>462</v>
      </c>
      <c r="Y34" s="15" t="s">
        <v>463</v>
      </c>
      <c r="Z34" s="15" t="s">
        <v>464</v>
      </c>
      <c r="AA34" s="24"/>
      <c r="AB34" s="24"/>
      <c r="AC34" s="24"/>
      <c r="AD34" s="24"/>
      <c r="AE34" s="24"/>
      <c r="AF34" s="24"/>
      <c r="AG34" s="24"/>
      <c r="AH34" s="24"/>
    </row>
    <row r="35" spans="1:34" ht="225" x14ac:dyDescent="0.25">
      <c r="A35" s="24" t="str">
        <f>HYPERLINK("https://www.cpso.on.ca/DoctorDetails/Adriana-Schawz-Carvalhal/0208390-80368","Carvalhal, Adriana Schawz")</f>
        <v>Carvalhal, Adriana Schawz</v>
      </c>
      <c r="B35" s="25" t="s">
        <v>465</v>
      </c>
      <c r="C35" s="24" t="s">
        <v>466</v>
      </c>
      <c r="D35" s="24" t="s">
        <v>467</v>
      </c>
      <c r="E35" s="24" t="s">
        <v>29</v>
      </c>
      <c r="F35" s="24" t="s">
        <v>47</v>
      </c>
      <c r="G35" s="24" t="s">
        <v>468</v>
      </c>
      <c r="H35" s="24" t="s">
        <v>469</v>
      </c>
      <c r="I35" s="24" t="s">
        <v>470</v>
      </c>
      <c r="J35" s="24" t="s">
        <v>471</v>
      </c>
      <c r="K35" s="24"/>
      <c r="L35" s="24" t="s">
        <v>340</v>
      </c>
      <c r="M35" s="15"/>
      <c r="N35" s="15"/>
      <c r="O35" s="15"/>
      <c r="P35" s="15" t="s">
        <v>472</v>
      </c>
      <c r="Q35" s="15" t="s">
        <v>473</v>
      </c>
      <c r="R35" s="15" t="s">
        <v>474</v>
      </c>
      <c r="S35" s="24" t="s">
        <v>71</v>
      </c>
      <c r="T35" s="24" t="s">
        <v>39</v>
      </c>
      <c r="U35" s="24" t="s">
        <v>39</v>
      </c>
      <c r="V35" s="24" t="s">
        <v>39</v>
      </c>
      <c r="W35" s="24" t="s">
        <v>475</v>
      </c>
      <c r="X35" s="24" t="s">
        <v>476</v>
      </c>
      <c r="Y35" s="15"/>
      <c r="Z35" s="15"/>
      <c r="AA35" s="24" t="s">
        <v>475</v>
      </c>
      <c r="AB35" s="24" t="s">
        <v>477</v>
      </c>
      <c r="AC35" s="24" t="s">
        <v>478</v>
      </c>
      <c r="AD35" s="24" t="s">
        <v>479</v>
      </c>
      <c r="AE35" s="24"/>
      <c r="AF35" s="24"/>
      <c r="AG35" s="24"/>
      <c r="AH35" s="24"/>
    </row>
    <row r="36" spans="1:34" ht="75" x14ac:dyDescent="0.25">
      <c r="A36" s="24" t="str">
        <f>HYPERLINK("https://www.cpso.on.ca/DoctorDetails/Adrienne-Ong-Tan/0193944-77891","Tan, Adrienne Ong")</f>
        <v>Tan, Adrienne Ong</v>
      </c>
      <c r="B36" s="25" t="s">
        <v>480</v>
      </c>
      <c r="C36" s="24" t="s">
        <v>481</v>
      </c>
      <c r="D36" s="24" t="s">
        <v>482</v>
      </c>
      <c r="E36" s="24" t="s">
        <v>29</v>
      </c>
      <c r="F36" s="24" t="s">
        <v>47</v>
      </c>
      <c r="G36" s="24" t="s">
        <v>31</v>
      </c>
      <c r="H36" s="24" t="s">
        <v>483</v>
      </c>
      <c r="I36" s="24" t="s">
        <v>484</v>
      </c>
      <c r="J36" s="24" t="s">
        <v>485</v>
      </c>
      <c r="K36" s="24" t="s">
        <v>486</v>
      </c>
      <c r="L36" s="24" t="s">
        <v>52</v>
      </c>
      <c r="M36" s="15"/>
      <c r="N36" s="15"/>
      <c r="O36" s="15" t="s">
        <v>487</v>
      </c>
      <c r="P36" s="15" t="s">
        <v>488</v>
      </c>
      <c r="Q36" s="15" t="s">
        <v>489</v>
      </c>
      <c r="R36" s="15" t="s">
        <v>490</v>
      </c>
      <c r="S36" s="24" t="s">
        <v>39</v>
      </c>
      <c r="T36" s="24" t="s">
        <v>39</v>
      </c>
      <c r="U36" s="24" t="s">
        <v>39</v>
      </c>
      <c r="V36" s="24" t="s">
        <v>39</v>
      </c>
      <c r="W36" s="24"/>
      <c r="X36" s="24"/>
      <c r="Y36" s="15"/>
      <c r="Z36" s="15"/>
      <c r="AA36" s="24"/>
      <c r="AB36" s="24"/>
      <c r="AC36" s="24"/>
      <c r="AD36" s="24"/>
      <c r="AE36" s="24"/>
      <c r="AF36" s="24"/>
      <c r="AG36" s="24"/>
      <c r="AH36" s="24"/>
    </row>
    <row r="37" spans="1:34" ht="30" x14ac:dyDescent="0.25">
      <c r="A37" s="24" t="str">
        <f>HYPERLINK("https://www.cpso.on.ca/DoctorDetails/Afsari-Begum-Amjad/0036100-50076","Amjad, Afsari Begum")</f>
        <v>Amjad, Afsari Begum</v>
      </c>
      <c r="B37" s="25" t="s">
        <v>491</v>
      </c>
      <c r="C37" s="24" t="s">
        <v>492</v>
      </c>
      <c r="D37" s="24" t="s">
        <v>493</v>
      </c>
      <c r="E37" s="24" t="s">
        <v>29</v>
      </c>
      <c r="F37" s="24" t="s">
        <v>47</v>
      </c>
      <c r="G37" s="24" t="s">
        <v>494</v>
      </c>
      <c r="H37" s="24" t="s">
        <v>495</v>
      </c>
      <c r="I37" s="24" t="s">
        <v>496</v>
      </c>
      <c r="J37" s="24" t="s">
        <v>497</v>
      </c>
      <c r="K37" s="24"/>
      <c r="L37" s="24" t="s">
        <v>84</v>
      </c>
      <c r="M37" s="15"/>
      <c r="N37" s="15"/>
      <c r="O37" s="15" t="s">
        <v>498</v>
      </c>
      <c r="P37" s="15" t="s">
        <v>499</v>
      </c>
      <c r="Q37" s="15"/>
      <c r="R37" s="15" t="s">
        <v>500</v>
      </c>
      <c r="S37" s="24" t="s">
        <v>39</v>
      </c>
      <c r="T37" s="24" t="s">
        <v>39</v>
      </c>
      <c r="U37" s="24" t="s">
        <v>39</v>
      </c>
      <c r="V37" s="24" t="s">
        <v>39</v>
      </c>
      <c r="W37" s="24" t="s">
        <v>501</v>
      </c>
      <c r="X37" s="24" t="s">
        <v>502</v>
      </c>
      <c r="Y37" s="15" t="s">
        <v>503</v>
      </c>
      <c r="Z37" s="15" t="s">
        <v>504</v>
      </c>
      <c r="AA37" s="24"/>
      <c r="AB37" s="24"/>
      <c r="AC37" s="24"/>
      <c r="AD37" s="24"/>
      <c r="AE37" s="24"/>
      <c r="AF37" s="24"/>
      <c r="AG37" s="24"/>
      <c r="AH37" s="24"/>
    </row>
    <row r="38" spans="1:34" ht="165" x14ac:dyDescent="0.25">
      <c r="A38" s="24" t="str">
        <f>HYPERLINK("https://www.cpso.on.ca/DoctorDetails/Agavni-Kevorkian/0049229-63207","Kevorkian, Agavni")</f>
        <v>Kevorkian, Agavni</v>
      </c>
      <c r="B38" s="25" t="s">
        <v>505</v>
      </c>
      <c r="C38" s="24" t="s">
        <v>506</v>
      </c>
      <c r="D38" s="24" t="s">
        <v>507</v>
      </c>
      <c r="E38" s="24" t="s">
        <v>29</v>
      </c>
      <c r="F38" s="24" t="s">
        <v>47</v>
      </c>
      <c r="G38" s="24" t="s">
        <v>508</v>
      </c>
      <c r="H38" s="24" t="s">
        <v>509</v>
      </c>
      <c r="I38" s="24" t="s">
        <v>510</v>
      </c>
      <c r="J38" s="24" t="s">
        <v>511</v>
      </c>
      <c r="K38" s="24"/>
      <c r="L38" s="24" t="s">
        <v>52</v>
      </c>
      <c r="M38" s="15"/>
      <c r="N38" s="15"/>
      <c r="O38" s="15"/>
      <c r="P38" s="15" t="s">
        <v>512</v>
      </c>
      <c r="Q38" s="15" t="s">
        <v>513</v>
      </c>
      <c r="R38" s="15" t="s">
        <v>514</v>
      </c>
      <c r="S38" s="24" t="s">
        <v>39</v>
      </c>
      <c r="T38" s="24" t="s">
        <v>39</v>
      </c>
      <c r="U38" s="24" t="s">
        <v>39</v>
      </c>
      <c r="V38" s="24" t="s">
        <v>39</v>
      </c>
      <c r="W38" s="24" t="s">
        <v>515</v>
      </c>
      <c r="X38" s="24" t="s">
        <v>516</v>
      </c>
      <c r="Y38" s="15" t="s">
        <v>517</v>
      </c>
      <c r="Z38" s="15" t="s">
        <v>518</v>
      </c>
      <c r="AA38" s="24"/>
      <c r="AB38" s="24"/>
      <c r="AC38" s="24"/>
      <c r="AD38" s="24"/>
      <c r="AE38" s="24"/>
      <c r="AF38" s="24"/>
      <c r="AG38" s="24"/>
      <c r="AH38" s="24"/>
    </row>
    <row r="39" spans="1:34" ht="30" x14ac:dyDescent="0.25">
      <c r="A39" s="24" t="str">
        <f>HYPERLINK("https://www.cpso.on.ca/DoctorDetails/Aghdas-Bagheri/0036130-50106","Bagheri, Aghdas")</f>
        <v>Bagheri, Aghdas</v>
      </c>
      <c r="B39" s="25" t="s">
        <v>519</v>
      </c>
      <c r="C39" s="24" t="s">
        <v>520</v>
      </c>
      <c r="D39" s="24" t="s">
        <v>521</v>
      </c>
      <c r="E39" s="24" t="s">
        <v>29</v>
      </c>
      <c r="F39" s="24" t="s">
        <v>47</v>
      </c>
      <c r="G39" s="24" t="s">
        <v>522</v>
      </c>
      <c r="H39" s="24" t="s">
        <v>523</v>
      </c>
      <c r="I39" s="24" t="s">
        <v>524</v>
      </c>
      <c r="J39" s="24" t="s">
        <v>525</v>
      </c>
      <c r="K39" s="24" t="s">
        <v>526</v>
      </c>
      <c r="L39" s="24" t="s">
        <v>52</v>
      </c>
      <c r="M39" s="15"/>
      <c r="N39" s="15"/>
      <c r="O39" s="15"/>
      <c r="P39" s="15" t="s">
        <v>527</v>
      </c>
      <c r="Q39" s="15"/>
      <c r="R39" s="15" t="s">
        <v>528</v>
      </c>
      <c r="S39" s="24" t="s">
        <v>39</v>
      </c>
      <c r="T39" s="24" t="s">
        <v>39</v>
      </c>
      <c r="U39" s="24" t="s">
        <v>39</v>
      </c>
      <c r="V39" s="24" t="s">
        <v>39</v>
      </c>
      <c r="W39" s="24" t="s">
        <v>529</v>
      </c>
      <c r="X39" s="24" t="s">
        <v>530</v>
      </c>
      <c r="Y39" s="15" t="s">
        <v>531</v>
      </c>
      <c r="Z39" s="15" t="s">
        <v>532</v>
      </c>
      <c r="AA39" s="24"/>
      <c r="AB39" s="24"/>
      <c r="AC39" s="24"/>
      <c r="AD39" s="24"/>
      <c r="AE39" s="24"/>
      <c r="AF39" s="24"/>
      <c r="AG39" s="24"/>
      <c r="AH39" s="24"/>
    </row>
    <row r="40" spans="1:34" x14ac:dyDescent="0.25">
      <c r="A40" s="24" t="str">
        <f>HYPERLINK("https://www.cpso.on.ca/DoctorDetails/Agoritsa-Tassiou-Foussias/0025630-30453","Foussias, Agoritsa Tassiou")</f>
        <v>Foussias, Agoritsa Tassiou</v>
      </c>
      <c r="B40" s="25" t="s">
        <v>533</v>
      </c>
      <c r="C40" s="24" t="s">
        <v>534</v>
      </c>
      <c r="D40" s="24" t="s">
        <v>535</v>
      </c>
      <c r="E40" s="24" t="s">
        <v>29</v>
      </c>
      <c r="F40" s="24" t="s">
        <v>47</v>
      </c>
      <c r="G40" s="24" t="s">
        <v>536</v>
      </c>
      <c r="H40" s="24" t="s">
        <v>537</v>
      </c>
      <c r="I40" s="24" t="s">
        <v>538</v>
      </c>
      <c r="J40" s="24" t="s">
        <v>539</v>
      </c>
      <c r="K40" s="24" t="s">
        <v>540</v>
      </c>
      <c r="L40" s="24" t="s">
        <v>52</v>
      </c>
      <c r="M40" s="15"/>
      <c r="N40" s="15"/>
      <c r="O40" s="15"/>
      <c r="P40" s="15" t="s">
        <v>541</v>
      </c>
      <c r="Q40" s="15"/>
      <c r="R40" s="15" t="s">
        <v>542</v>
      </c>
      <c r="S40" s="24" t="s">
        <v>39</v>
      </c>
      <c r="T40" s="24" t="s">
        <v>39</v>
      </c>
      <c r="U40" s="24" t="s">
        <v>39</v>
      </c>
      <c r="V40" s="24" t="s">
        <v>39</v>
      </c>
      <c r="W40" s="24"/>
      <c r="X40" s="24"/>
      <c r="Y40" s="15"/>
      <c r="Z40" s="15"/>
      <c r="AA40" s="24"/>
      <c r="AB40" s="24"/>
      <c r="AC40" s="24"/>
      <c r="AD40" s="24"/>
      <c r="AE40" s="24"/>
      <c r="AF40" s="24"/>
      <c r="AG40" s="24"/>
      <c r="AH40" s="24"/>
    </row>
    <row r="41" spans="1:34" ht="75" x14ac:dyDescent="0.25">
      <c r="A41" s="24" t="str">
        <f>HYPERLINK("https://www.cpso.on.ca/DoctorDetails/Ahmed-Amr-Rostom/0280500-97968","Rostom, Ahmed Amr")</f>
        <v>Rostom, Ahmed Amr</v>
      </c>
      <c r="B41" s="25" t="s">
        <v>543</v>
      </c>
      <c r="C41" s="24" t="s">
        <v>544</v>
      </c>
      <c r="D41" s="24" t="s">
        <v>545</v>
      </c>
      <c r="E41" s="24" t="s">
        <v>29</v>
      </c>
      <c r="F41" s="24" t="s">
        <v>30</v>
      </c>
      <c r="G41" s="24" t="s">
        <v>31</v>
      </c>
      <c r="H41" s="24" t="s">
        <v>546</v>
      </c>
      <c r="I41" s="24" t="s">
        <v>547</v>
      </c>
      <c r="J41" s="24" t="s">
        <v>548</v>
      </c>
      <c r="K41" s="24"/>
      <c r="L41" s="24" t="s">
        <v>84</v>
      </c>
      <c r="M41" s="15"/>
      <c r="N41" s="15"/>
      <c r="O41" s="15" t="s">
        <v>549</v>
      </c>
      <c r="P41" s="15" t="s">
        <v>550</v>
      </c>
      <c r="Q41" s="15" t="s">
        <v>551</v>
      </c>
      <c r="R41" s="15" t="s">
        <v>552</v>
      </c>
      <c r="S41" s="24" t="s">
        <v>39</v>
      </c>
      <c r="T41" s="24" t="s">
        <v>39</v>
      </c>
      <c r="U41" s="24" t="s">
        <v>39</v>
      </c>
      <c r="V41" s="24" t="s">
        <v>39</v>
      </c>
      <c r="W41" s="24"/>
      <c r="X41" s="24"/>
      <c r="Y41" s="15"/>
      <c r="Z41" s="15"/>
      <c r="AA41" s="24"/>
      <c r="AB41" s="24"/>
      <c r="AC41" s="24"/>
      <c r="AD41" s="24"/>
      <c r="AE41" s="24"/>
      <c r="AF41" s="24"/>
      <c r="AG41" s="24"/>
      <c r="AH41" s="24"/>
    </row>
    <row r="42" spans="1:34" ht="30" x14ac:dyDescent="0.25">
      <c r="A42" s="24" t="str">
        <f>HYPERLINK("https://www.cpso.on.ca/DoctorDetails/Ahmed-Boachie/0176051-75565","Boachie, Ahmed")</f>
        <v>Boachie, Ahmed</v>
      </c>
      <c r="B42" s="25" t="s">
        <v>553</v>
      </c>
      <c r="C42" s="24" t="s">
        <v>554</v>
      </c>
      <c r="D42" s="24" t="s">
        <v>555</v>
      </c>
      <c r="E42" s="24" t="s">
        <v>29</v>
      </c>
      <c r="F42" s="24" t="s">
        <v>30</v>
      </c>
      <c r="G42" s="24" t="s">
        <v>556</v>
      </c>
      <c r="H42" s="24" t="s">
        <v>557</v>
      </c>
      <c r="I42" s="24" t="s">
        <v>558</v>
      </c>
      <c r="J42" s="24" t="s">
        <v>559</v>
      </c>
      <c r="K42" s="24" t="s">
        <v>560</v>
      </c>
      <c r="L42" s="24" t="s">
        <v>36</v>
      </c>
      <c r="M42" s="15" t="s">
        <v>561</v>
      </c>
      <c r="N42" s="15"/>
      <c r="O42" s="15"/>
      <c r="P42" s="15" t="s">
        <v>562</v>
      </c>
      <c r="Q42" s="15" t="s">
        <v>563</v>
      </c>
      <c r="R42" s="15" t="s">
        <v>564</v>
      </c>
      <c r="S42" s="24" t="s">
        <v>39</v>
      </c>
      <c r="T42" s="24" t="s">
        <v>39</v>
      </c>
      <c r="U42" s="24" t="s">
        <v>39</v>
      </c>
      <c r="V42" s="24" t="s">
        <v>39</v>
      </c>
      <c r="W42" s="24" t="s">
        <v>565</v>
      </c>
      <c r="X42" s="24" t="s">
        <v>566</v>
      </c>
      <c r="Y42" s="15" t="s">
        <v>567</v>
      </c>
      <c r="Z42" s="15" t="s">
        <v>568</v>
      </c>
      <c r="AA42" s="24"/>
      <c r="AB42" s="24"/>
      <c r="AC42" s="24"/>
      <c r="AD42" s="24"/>
      <c r="AE42" s="24"/>
      <c r="AF42" s="24"/>
      <c r="AG42" s="24"/>
      <c r="AH42" s="24"/>
    </row>
    <row r="43" spans="1:34" ht="90" x14ac:dyDescent="0.25">
      <c r="A43" s="24" t="str">
        <f>HYPERLINK("https://www.cpso.on.ca/DoctorDetails/Ahmed-Jehaan-Illyas/0265812-93005","Illyas, Ahmed Jehaan")</f>
        <v>Illyas, Ahmed Jehaan</v>
      </c>
      <c r="B43" s="25" t="s">
        <v>569</v>
      </c>
      <c r="C43" s="24" t="s">
        <v>570</v>
      </c>
      <c r="D43" s="24" t="s">
        <v>571</v>
      </c>
      <c r="E43" s="24" t="s">
        <v>29</v>
      </c>
      <c r="F43" s="24" t="s">
        <v>30</v>
      </c>
      <c r="G43" s="24" t="s">
        <v>31</v>
      </c>
      <c r="H43" s="24" t="s">
        <v>572</v>
      </c>
      <c r="I43" s="24" t="s">
        <v>573</v>
      </c>
      <c r="J43" s="24" t="s">
        <v>574</v>
      </c>
      <c r="K43" s="24"/>
      <c r="L43" s="24" t="s">
        <v>184</v>
      </c>
      <c r="M43" s="15" t="s">
        <v>575</v>
      </c>
      <c r="N43" s="15"/>
      <c r="O43" s="15"/>
      <c r="P43" s="15" t="s">
        <v>576</v>
      </c>
      <c r="Q43" s="15" t="s">
        <v>577</v>
      </c>
      <c r="R43" s="15" t="s">
        <v>578</v>
      </c>
      <c r="S43" s="24" t="s">
        <v>39</v>
      </c>
      <c r="T43" s="24" t="s">
        <v>39</v>
      </c>
      <c r="U43" s="24" t="s">
        <v>39</v>
      </c>
      <c r="V43" s="24" t="s">
        <v>39</v>
      </c>
      <c r="W43" s="24" t="s">
        <v>579</v>
      </c>
      <c r="X43" s="24" t="s">
        <v>580</v>
      </c>
      <c r="Y43" s="15" t="s">
        <v>581</v>
      </c>
      <c r="Z43" s="15" t="s">
        <v>582</v>
      </c>
      <c r="AA43" s="24"/>
      <c r="AB43" s="24"/>
      <c r="AC43" s="24"/>
      <c r="AD43" s="24"/>
      <c r="AE43" s="24"/>
      <c r="AF43" s="24"/>
      <c r="AG43" s="24"/>
      <c r="AH43" s="24"/>
    </row>
    <row r="44" spans="1:34" ht="135" x14ac:dyDescent="0.25">
      <c r="A44" s="24" t="str">
        <f>HYPERLINK("https://www.cpso.on.ca/DoctorDetails/Ahmed-Mohamed-Mansour/0182629-76888","Mansour, Ahmed Mohamed")</f>
        <v>Mansour, Ahmed Mohamed</v>
      </c>
      <c r="B44" s="25" t="s">
        <v>583</v>
      </c>
      <c r="C44" s="24" t="s">
        <v>584</v>
      </c>
      <c r="D44" s="24" t="s">
        <v>585</v>
      </c>
      <c r="E44" s="24" t="s">
        <v>29</v>
      </c>
      <c r="F44" s="24" t="s">
        <v>30</v>
      </c>
      <c r="G44" s="24" t="s">
        <v>105</v>
      </c>
      <c r="H44" s="24" t="s">
        <v>586</v>
      </c>
      <c r="I44" s="24" t="s">
        <v>587</v>
      </c>
      <c r="J44" s="24" t="s">
        <v>588</v>
      </c>
      <c r="K44" s="24" t="s">
        <v>589</v>
      </c>
      <c r="L44" s="24" t="s">
        <v>36</v>
      </c>
      <c r="M44" s="15"/>
      <c r="N44" s="15"/>
      <c r="O44" s="15"/>
      <c r="P44" s="15" t="s">
        <v>590</v>
      </c>
      <c r="Q44" s="15" t="s">
        <v>591</v>
      </c>
      <c r="R44" s="15" t="s">
        <v>592</v>
      </c>
      <c r="S44" s="24" t="s">
        <v>39</v>
      </c>
      <c r="T44" s="24" t="s">
        <v>39</v>
      </c>
      <c r="U44" s="24" t="s">
        <v>39</v>
      </c>
      <c r="V44" s="24" t="s">
        <v>39</v>
      </c>
      <c r="W44" s="24" t="s">
        <v>593</v>
      </c>
      <c r="X44" s="24" t="s">
        <v>594</v>
      </c>
      <c r="Y44" s="15"/>
      <c r="Z44" s="15"/>
      <c r="AA44" s="24" t="s">
        <v>593</v>
      </c>
      <c r="AB44" s="24" t="s">
        <v>595</v>
      </c>
      <c r="AC44" s="24" t="s">
        <v>596</v>
      </c>
      <c r="AD44" s="24" t="s">
        <v>597</v>
      </c>
      <c r="AE44" s="24"/>
      <c r="AF44" s="24"/>
      <c r="AG44" s="24"/>
      <c r="AH44" s="24"/>
    </row>
    <row r="45" spans="1:34" ht="150" x14ac:dyDescent="0.25">
      <c r="A45" s="24" t="str">
        <f>HYPERLINK("https://www.cpso.on.ca/DoctorDetails/Ahmed-Nabeel-M-Hassan/0245896-88190","Hassan, Ahmed Nabeel M")</f>
        <v>Hassan, Ahmed Nabeel M</v>
      </c>
      <c r="B45" s="25" t="s">
        <v>598</v>
      </c>
      <c r="C45" s="24" t="s">
        <v>599</v>
      </c>
      <c r="D45" s="24" t="s">
        <v>600</v>
      </c>
      <c r="E45" s="24" t="s">
        <v>29</v>
      </c>
      <c r="F45" s="24" t="s">
        <v>30</v>
      </c>
      <c r="G45" s="24" t="s">
        <v>105</v>
      </c>
      <c r="H45" s="24" t="s">
        <v>601</v>
      </c>
      <c r="I45" s="24" t="s">
        <v>602</v>
      </c>
      <c r="J45" s="24" t="s">
        <v>603</v>
      </c>
      <c r="K45" s="24"/>
      <c r="L45" s="24" t="s">
        <v>52</v>
      </c>
      <c r="M45" s="15" t="s">
        <v>604</v>
      </c>
      <c r="N45" s="15"/>
      <c r="O45" s="15" t="s">
        <v>605</v>
      </c>
      <c r="P45" s="15" t="s">
        <v>272</v>
      </c>
      <c r="Q45" s="15" t="s">
        <v>606</v>
      </c>
      <c r="R45" s="15" t="s">
        <v>607</v>
      </c>
      <c r="S45" s="24" t="s">
        <v>39</v>
      </c>
      <c r="T45" s="24" t="s">
        <v>39</v>
      </c>
      <c r="U45" s="24" t="s">
        <v>39</v>
      </c>
      <c r="V45" s="24" t="s">
        <v>39</v>
      </c>
      <c r="W45" s="24" t="s">
        <v>608</v>
      </c>
      <c r="X45" s="24" t="s">
        <v>609</v>
      </c>
      <c r="Y45" s="15"/>
      <c r="Z45" s="15"/>
      <c r="AA45" s="24"/>
      <c r="AB45" s="24"/>
      <c r="AC45" s="24"/>
      <c r="AD45" s="24"/>
      <c r="AE45" s="24"/>
      <c r="AF45" s="24"/>
      <c r="AG45" s="24"/>
      <c r="AH45" s="24"/>
    </row>
    <row r="46" spans="1:34" x14ac:dyDescent="0.25">
      <c r="A46" s="24" t="str">
        <f>HYPERLINK("https://www.cpso.on.ca/DoctorDetails/Aiyathurai-Gnaneswaran/0056134-67722","Gnaneswaran, Aiyathurai")</f>
        <v>Gnaneswaran, Aiyathurai</v>
      </c>
      <c r="B46" s="25" t="s">
        <v>610</v>
      </c>
      <c r="C46" s="24" t="s">
        <v>611</v>
      </c>
      <c r="D46" s="24" t="s">
        <v>612</v>
      </c>
      <c r="E46" s="24" t="s">
        <v>29</v>
      </c>
      <c r="F46" s="24" t="s">
        <v>30</v>
      </c>
      <c r="G46" s="24" t="s">
        <v>613</v>
      </c>
      <c r="H46" s="24" t="s">
        <v>614</v>
      </c>
      <c r="I46" s="24" t="s">
        <v>615</v>
      </c>
      <c r="J46" s="24" t="s">
        <v>616</v>
      </c>
      <c r="K46" s="24"/>
      <c r="L46" s="24" t="s">
        <v>36</v>
      </c>
      <c r="M46" s="15"/>
      <c r="N46" s="15"/>
      <c r="O46" s="15"/>
      <c r="P46" s="15" t="s">
        <v>617</v>
      </c>
      <c r="Q46" s="15"/>
      <c r="R46" s="15" t="s">
        <v>618</v>
      </c>
      <c r="S46" s="24" t="s">
        <v>39</v>
      </c>
      <c r="T46" s="24" t="s">
        <v>39</v>
      </c>
      <c r="U46" s="24" t="s">
        <v>39</v>
      </c>
      <c r="V46" s="24" t="s">
        <v>39</v>
      </c>
      <c r="W46" s="24" t="s">
        <v>619</v>
      </c>
      <c r="X46" s="24" t="s">
        <v>620</v>
      </c>
      <c r="Y46" s="15" t="s">
        <v>621</v>
      </c>
      <c r="Z46" s="15" t="s">
        <v>622</v>
      </c>
      <c r="AA46" s="24"/>
      <c r="AB46" s="24"/>
      <c r="AC46" s="24"/>
      <c r="AD46" s="24"/>
      <c r="AE46" s="24"/>
      <c r="AF46" s="24"/>
      <c r="AG46" s="24"/>
      <c r="AH46" s="24"/>
    </row>
    <row r="47" spans="1:34" ht="135" x14ac:dyDescent="0.25">
      <c r="A47" s="24" t="str">
        <f>HYPERLINK("https://www.cpso.on.ca/DoctorDetails/Ajay-Prakash/0266119-93892","Prakash, Ajay")</f>
        <v>Prakash, Ajay</v>
      </c>
      <c r="B47" s="25" t="s">
        <v>623</v>
      </c>
      <c r="C47" s="24" t="s">
        <v>570</v>
      </c>
      <c r="D47" s="24" t="s">
        <v>624</v>
      </c>
      <c r="E47" s="24" t="s">
        <v>29</v>
      </c>
      <c r="F47" s="24" t="s">
        <v>30</v>
      </c>
      <c r="G47" s="24" t="s">
        <v>31</v>
      </c>
      <c r="H47" s="24" t="s">
        <v>625</v>
      </c>
      <c r="I47" s="24" t="s">
        <v>626</v>
      </c>
      <c r="J47" s="24" t="s">
        <v>627</v>
      </c>
      <c r="K47" s="24" t="s">
        <v>628</v>
      </c>
      <c r="L47" s="24" t="s">
        <v>135</v>
      </c>
      <c r="M47" s="15"/>
      <c r="N47" s="15"/>
      <c r="O47" s="15"/>
      <c r="P47" s="15" t="s">
        <v>629</v>
      </c>
      <c r="Q47" s="15" t="s">
        <v>630</v>
      </c>
      <c r="R47" s="15" t="s">
        <v>631</v>
      </c>
      <c r="S47" s="24" t="s">
        <v>39</v>
      </c>
      <c r="T47" s="24" t="s">
        <v>39</v>
      </c>
      <c r="U47" s="24" t="s">
        <v>39</v>
      </c>
      <c r="V47" s="24" t="s">
        <v>39</v>
      </c>
      <c r="W47" s="24"/>
      <c r="X47" s="24"/>
      <c r="Y47" s="15"/>
      <c r="Z47" s="15"/>
      <c r="AA47" s="24"/>
      <c r="AB47" s="24"/>
      <c r="AC47" s="24"/>
      <c r="AD47" s="24"/>
      <c r="AE47" s="24"/>
      <c r="AF47" s="24"/>
      <c r="AG47" s="24"/>
      <c r="AH47" s="24"/>
    </row>
    <row r="48" spans="1:34" ht="75" x14ac:dyDescent="0.25">
      <c r="A48" s="24" t="str">
        <f>HYPERLINK("https://www.cpso.on.ca/DoctorDetails/Ajit-Thyparampil-Ninan/0232158-85397","Ninan, Ajit Thyparampil")</f>
        <v>Ninan, Ajit Thyparampil</v>
      </c>
      <c r="B48" s="25" t="s">
        <v>632</v>
      </c>
      <c r="C48" s="24" t="s">
        <v>633</v>
      </c>
      <c r="D48" s="24" t="s">
        <v>634</v>
      </c>
      <c r="E48" s="24" t="s">
        <v>29</v>
      </c>
      <c r="F48" s="24" t="s">
        <v>30</v>
      </c>
      <c r="G48" s="24" t="s">
        <v>31</v>
      </c>
      <c r="H48" s="24" t="s">
        <v>635</v>
      </c>
      <c r="I48" s="24" t="s">
        <v>636</v>
      </c>
      <c r="J48" s="24" t="s">
        <v>637</v>
      </c>
      <c r="K48" s="24"/>
      <c r="L48" s="24" t="s">
        <v>135</v>
      </c>
      <c r="M48" s="15" t="s">
        <v>638</v>
      </c>
      <c r="N48" s="15"/>
      <c r="O48" s="15" t="s">
        <v>639</v>
      </c>
      <c r="P48" s="15" t="s">
        <v>640</v>
      </c>
      <c r="Q48" s="15"/>
      <c r="R48" s="15" t="s">
        <v>641</v>
      </c>
      <c r="S48" s="24" t="s">
        <v>39</v>
      </c>
      <c r="T48" s="24" t="s">
        <v>39</v>
      </c>
      <c r="U48" s="24" t="s">
        <v>39</v>
      </c>
      <c r="V48" s="24" t="s">
        <v>39</v>
      </c>
      <c r="W48" s="24" t="s">
        <v>642</v>
      </c>
      <c r="X48" s="24" t="s">
        <v>643</v>
      </c>
      <c r="Y48" s="15" t="s">
        <v>644</v>
      </c>
      <c r="Z48" s="15" t="s">
        <v>645</v>
      </c>
      <c r="AA48" s="24"/>
      <c r="AB48" s="24"/>
      <c r="AC48" s="24"/>
      <c r="AD48" s="24"/>
      <c r="AE48" s="24"/>
      <c r="AF48" s="24"/>
      <c r="AG48" s="24"/>
      <c r="AH48" s="24"/>
    </row>
    <row r="49" spans="1:34" ht="75" x14ac:dyDescent="0.25">
      <c r="A49" s="24" t="str">
        <f>HYPERLINK("https://www.cpso.on.ca/DoctorDetails/Ajmal-Razmy/0233076-84696","Razmy, Ajmal")</f>
        <v>Razmy, Ajmal</v>
      </c>
      <c r="B49" s="25" t="s">
        <v>646</v>
      </c>
      <c r="C49" s="24" t="s">
        <v>647</v>
      </c>
      <c r="D49" s="24" t="s">
        <v>648</v>
      </c>
      <c r="E49" s="24" t="s">
        <v>29</v>
      </c>
      <c r="F49" s="24" t="s">
        <v>30</v>
      </c>
      <c r="G49" s="24" t="s">
        <v>31</v>
      </c>
      <c r="H49" s="24" t="s">
        <v>649</v>
      </c>
      <c r="I49" s="24" t="s">
        <v>650</v>
      </c>
      <c r="J49" s="24" t="s">
        <v>651</v>
      </c>
      <c r="K49" s="24" t="s">
        <v>652</v>
      </c>
      <c r="L49" s="24" t="s">
        <v>36</v>
      </c>
      <c r="M49" s="15"/>
      <c r="N49" s="15"/>
      <c r="O49" s="15" t="s">
        <v>653</v>
      </c>
      <c r="P49" s="15" t="s">
        <v>654</v>
      </c>
      <c r="Q49" s="15" t="s">
        <v>655</v>
      </c>
      <c r="R49" s="15" t="s">
        <v>656</v>
      </c>
      <c r="S49" s="24" t="s">
        <v>39</v>
      </c>
      <c r="T49" s="24" t="s">
        <v>39</v>
      </c>
      <c r="U49" s="24" t="s">
        <v>39</v>
      </c>
      <c r="V49" s="24" t="s">
        <v>39</v>
      </c>
      <c r="W49" s="24" t="s">
        <v>657</v>
      </c>
      <c r="X49" s="24" t="s">
        <v>658</v>
      </c>
      <c r="Y49" s="15" t="s">
        <v>659</v>
      </c>
      <c r="Z49" s="15" t="s">
        <v>660</v>
      </c>
      <c r="AA49" s="24"/>
      <c r="AB49" s="24"/>
      <c r="AC49" s="24"/>
      <c r="AD49" s="24"/>
      <c r="AE49" s="24"/>
      <c r="AF49" s="24"/>
      <c r="AG49" s="24"/>
      <c r="AH49" s="24"/>
    </row>
    <row r="50" spans="1:34" x14ac:dyDescent="0.25">
      <c r="A50" s="24" t="str">
        <f>HYPERLINK("https://www.cpso.on.ca/DoctorDetails/Akbar-Rajabi-Asl/0062751-78573","Rajabi Asl, Akbar")</f>
        <v>Rajabi Asl, Akbar</v>
      </c>
      <c r="B50" s="25" t="s">
        <v>661</v>
      </c>
      <c r="C50" s="24" t="s">
        <v>662</v>
      </c>
      <c r="D50" s="24" t="s">
        <v>663</v>
      </c>
      <c r="E50" s="24" t="s">
        <v>29</v>
      </c>
      <c r="F50" s="24" t="s">
        <v>30</v>
      </c>
      <c r="G50" s="24" t="s">
        <v>664</v>
      </c>
      <c r="H50" s="24" t="s">
        <v>665</v>
      </c>
      <c r="I50" s="24" t="s">
        <v>666</v>
      </c>
      <c r="J50" s="24" t="s">
        <v>667</v>
      </c>
      <c r="K50" s="24"/>
      <c r="L50" s="24" t="s">
        <v>52</v>
      </c>
      <c r="M50" s="15"/>
      <c r="N50" s="15"/>
      <c r="O50" s="15"/>
      <c r="P50" s="15" t="s">
        <v>668</v>
      </c>
      <c r="Q50" s="15"/>
      <c r="R50" s="15" t="s">
        <v>669</v>
      </c>
      <c r="S50" s="24" t="s">
        <v>39</v>
      </c>
      <c r="T50" s="24" t="s">
        <v>39</v>
      </c>
      <c r="U50" s="24" t="s">
        <v>39</v>
      </c>
      <c r="V50" s="24" t="s">
        <v>39</v>
      </c>
      <c r="W50" s="24" t="s">
        <v>670</v>
      </c>
      <c r="X50" s="24" t="s">
        <v>671</v>
      </c>
      <c r="Y50" s="15" t="s">
        <v>672</v>
      </c>
      <c r="Z50" s="15" t="s">
        <v>673</v>
      </c>
      <c r="AA50" s="24"/>
      <c r="AB50" s="24"/>
      <c r="AC50" s="24"/>
      <c r="AD50" s="24"/>
      <c r="AE50" s="24"/>
      <c r="AF50" s="24"/>
      <c r="AG50" s="24"/>
      <c r="AH50" s="24"/>
    </row>
    <row r="51" spans="1:34" ht="75" x14ac:dyDescent="0.25">
      <c r="A51" s="24" t="str">
        <f>HYPERLINK("https://www.cpso.on.ca/DoctorDetails/Akinade-Oluseyi-Adebowale/0284246-99704","Adebowale, Akinade Oluseyi")</f>
        <v>Adebowale, Akinade Oluseyi</v>
      </c>
      <c r="B51" s="25" t="s">
        <v>674</v>
      </c>
      <c r="C51" s="24" t="s">
        <v>675</v>
      </c>
      <c r="D51" s="24" t="s">
        <v>676</v>
      </c>
      <c r="E51" s="24" t="s">
        <v>29</v>
      </c>
      <c r="F51" s="24" t="s">
        <v>30</v>
      </c>
      <c r="G51" s="24" t="s">
        <v>148</v>
      </c>
      <c r="H51" s="24" t="s">
        <v>677</v>
      </c>
      <c r="I51" s="24" t="s">
        <v>395</v>
      </c>
      <c r="J51" s="24" t="s">
        <v>678</v>
      </c>
      <c r="K51" s="24"/>
      <c r="L51" s="24" t="s">
        <v>328</v>
      </c>
      <c r="M51" s="15" t="s">
        <v>679</v>
      </c>
      <c r="N51" s="15" t="s">
        <v>680</v>
      </c>
      <c r="O51" s="15" t="s">
        <v>681</v>
      </c>
      <c r="P51" s="15" t="s">
        <v>682</v>
      </c>
      <c r="Q51" s="15"/>
      <c r="R51" s="15" t="s">
        <v>683</v>
      </c>
      <c r="S51" s="24" t="s">
        <v>39</v>
      </c>
      <c r="T51" s="24" t="s">
        <v>39</v>
      </c>
      <c r="U51" s="24" t="s">
        <v>39</v>
      </c>
      <c r="V51" s="24" t="s">
        <v>39</v>
      </c>
      <c r="W51" s="24" t="s">
        <v>684</v>
      </c>
      <c r="X51" s="24" t="s">
        <v>685</v>
      </c>
      <c r="Y51" s="15" t="s">
        <v>686</v>
      </c>
      <c r="Z51" s="15" t="s">
        <v>687</v>
      </c>
      <c r="AA51" s="24"/>
      <c r="AB51" s="24"/>
      <c r="AC51" s="24"/>
      <c r="AD51" s="24"/>
      <c r="AE51" s="24"/>
      <c r="AF51" s="24"/>
      <c r="AG51" s="24"/>
      <c r="AH51" s="24"/>
    </row>
    <row r="52" spans="1:34" ht="60" x14ac:dyDescent="0.25">
      <c r="A52" s="24" t="str">
        <f>HYPERLINK("https://www.cpso.on.ca/DoctorDetails/Akshya-Vasudev/0264784-94388","Vasudev, Akshya")</f>
        <v>Vasudev, Akshya</v>
      </c>
      <c r="B52" s="25" t="s">
        <v>688</v>
      </c>
      <c r="C52" s="24" t="s">
        <v>689</v>
      </c>
      <c r="D52" s="24" t="s">
        <v>690</v>
      </c>
      <c r="E52" s="24" t="s">
        <v>29</v>
      </c>
      <c r="F52" s="24" t="s">
        <v>30</v>
      </c>
      <c r="G52" s="24" t="s">
        <v>691</v>
      </c>
      <c r="H52" s="24" t="s">
        <v>692</v>
      </c>
      <c r="I52" s="24" t="s">
        <v>693</v>
      </c>
      <c r="J52" s="24" t="s">
        <v>694</v>
      </c>
      <c r="K52" s="24"/>
      <c r="L52" s="24" t="s">
        <v>135</v>
      </c>
      <c r="M52" s="15"/>
      <c r="N52" s="15" t="s">
        <v>695</v>
      </c>
      <c r="O52" s="15" t="s">
        <v>696</v>
      </c>
      <c r="P52" s="15" t="s">
        <v>697</v>
      </c>
      <c r="Q52" s="15"/>
      <c r="R52" s="15" t="s">
        <v>698</v>
      </c>
      <c r="S52" s="24" t="s">
        <v>71</v>
      </c>
      <c r="T52" s="24" t="s">
        <v>39</v>
      </c>
      <c r="U52" s="24" t="s">
        <v>39</v>
      </c>
      <c r="V52" s="24" t="s">
        <v>39</v>
      </c>
      <c r="W52" s="24" t="s">
        <v>699</v>
      </c>
      <c r="X52" s="24" t="s">
        <v>700</v>
      </c>
      <c r="Y52" s="15" t="s">
        <v>701</v>
      </c>
      <c r="Z52" s="15" t="s">
        <v>702</v>
      </c>
      <c r="AA52" s="24"/>
      <c r="AB52" s="24"/>
      <c r="AC52" s="24"/>
      <c r="AD52" s="24"/>
      <c r="AE52" s="24"/>
      <c r="AF52" s="24"/>
      <c r="AG52" s="24"/>
      <c r="AH52" s="24"/>
    </row>
    <row r="53" spans="1:34" ht="45" x14ac:dyDescent="0.25">
      <c r="A53" s="24" t="str">
        <f>HYPERLINK("https://www.cpso.on.ca/DoctorDetails/Alain-Labelle/0040552-54528","Labelle, Alain")</f>
        <v>Labelle, Alain</v>
      </c>
      <c r="B53" s="25" t="s">
        <v>703</v>
      </c>
      <c r="C53" s="24" t="s">
        <v>704</v>
      </c>
      <c r="D53" s="24" t="s">
        <v>705</v>
      </c>
      <c r="E53" s="24" t="s">
        <v>29</v>
      </c>
      <c r="F53" s="24" t="s">
        <v>30</v>
      </c>
      <c r="G53" s="24" t="s">
        <v>706</v>
      </c>
      <c r="H53" s="24" t="s">
        <v>707</v>
      </c>
      <c r="I53" s="24" t="s">
        <v>708</v>
      </c>
      <c r="J53" s="24" t="s">
        <v>709</v>
      </c>
      <c r="K53" s="24"/>
      <c r="L53" s="24" t="s">
        <v>84</v>
      </c>
      <c r="M53" s="15"/>
      <c r="N53" s="15" t="s">
        <v>710</v>
      </c>
      <c r="O53" s="15" t="s">
        <v>711</v>
      </c>
      <c r="P53" s="15" t="s">
        <v>712</v>
      </c>
      <c r="Q53" s="15" t="s">
        <v>713</v>
      </c>
      <c r="R53" s="15" t="s">
        <v>714</v>
      </c>
      <c r="S53" s="24" t="s">
        <v>39</v>
      </c>
      <c r="T53" s="24" t="s">
        <v>39</v>
      </c>
      <c r="U53" s="24" t="s">
        <v>39</v>
      </c>
      <c r="V53" s="24" t="s">
        <v>39</v>
      </c>
      <c r="W53" s="24" t="s">
        <v>715</v>
      </c>
      <c r="X53" s="24" t="s">
        <v>716</v>
      </c>
      <c r="Y53" s="15" t="s">
        <v>717</v>
      </c>
      <c r="Z53" s="15" t="s">
        <v>718</v>
      </c>
      <c r="AA53" s="24"/>
      <c r="AB53" s="24"/>
      <c r="AC53" s="24"/>
      <c r="AD53" s="24"/>
      <c r="AE53" s="24"/>
      <c r="AF53" s="24"/>
      <c r="AG53" s="24"/>
      <c r="AH53" s="24"/>
    </row>
    <row r="54" spans="1:34" ht="60" x14ac:dyDescent="0.25">
      <c r="A54" s="24" t="str">
        <f>HYPERLINK("https://www.cpso.on.ca/DoctorDetails/Alan-Brian-Eppel/0025002-29825","Eppel, Alan Brian")</f>
        <v>Eppel, Alan Brian</v>
      </c>
      <c r="B54" s="25" t="s">
        <v>719</v>
      </c>
      <c r="C54" s="24" t="s">
        <v>720</v>
      </c>
      <c r="D54" s="24" t="s">
        <v>721</v>
      </c>
      <c r="E54" s="24" t="s">
        <v>29</v>
      </c>
      <c r="F54" s="24" t="s">
        <v>30</v>
      </c>
      <c r="G54" s="24" t="s">
        <v>31</v>
      </c>
      <c r="H54" s="24" t="s">
        <v>722</v>
      </c>
      <c r="I54" s="24" t="s">
        <v>723</v>
      </c>
      <c r="J54" s="24" t="s">
        <v>724</v>
      </c>
      <c r="K54" s="24" t="s">
        <v>725</v>
      </c>
      <c r="L54" s="24" t="s">
        <v>184</v>
      </c>
      <c r="M54" s="15"/>
      <c r="N54" s="15"/>
      <c r="O54" s="15" t="s">
        <v>726</v>
      </c>
      <c r="P54" s="15" t="s">
        <v>727</v>
      </c>
      <c r="Q54" s="15"/>
      <c r="R54" s="15" t="s">
        <v>728</v>
      </c>
      <c r="S54" s="24" t="s">
        <v>39</v>
      </c>
      <c r="T54" s="24" t="s">
        <v>39</v>
      </c>
      <c r="U54" s="24" t="s">
        <v>39</v>
      </c>
      <c r="V54" s="24" t="s">
        <v>39</v>
      </c>
      <c r="W54" s="24"/>
      <c r="X54" s="24"/>
      <c r="Y54" s="15"/>
      <c r="Z54" s="15"/>
      <c r="AA54" s="24"/>
      <c r="AB54" s="24"/>
      <c r="AC54" s="24"/>
      <c r="AD54" s="24"/>
      <c r="AE54" s="24"/>
      <c r="AF54" s="24"/>
      <c r="AG54" s="24"/>
      <c r="AH54" s="24"/>
    </row>
    <row r="55" spans="1:34" x14ac:dyDescent="0.25">
      <c r="A55" s="24" t="str">
        <f>HYPERLINK("https://www.cpso.on.ca/DoctorDetails/Alan-Brian-Karme/0018625-23412","Karme, Alan Brian")</f>
        <v>Karme, Alan Brian</v>
      </c>
      <c r="B55" s="25" t="s">
        <v>729</v>
      </c>
      <c r="C55" s="24" t="s">
        <v>730</v>
      </c>
      <c r="D55" s="24" t="s">
        <v>731</v>
      </c>
      <c r="E55" s="24" t="s">
        <v>29</v>
      </c>
      <c r="F55" s="24" t="s">
        <v>30</v>
      </c>
      <c r="G55" s="24" t="s">
        <v>31</v>
      </c>
      <c r="H55" s="24" t="s">
        <v>732</v>
      </c>
      <c r="I55" s="24" t="s">
        <v>733</v>
      </c>
      <c r="J55" s="24" t="s">
        <v>734</v>
      </c>
      <c r="K55" s="24"/>
      <c r="L55" s="24"/>
      <c r="M55" s="15"/>
      <c r="N55" s="15" t="s">
        <v>735</v>
      </c>
      <c r="O55" s="15"/>
      <c r="P55" s="15" t="s">
        <v>736</v>
      </c>
      <c r="Q55" s="15"/>
      <c r="R55" s="15" t="s">
        <v>737</v>
      </c>
      <c r="S55" s="24" t="s">
        <v>39</v>
      </c>
      <c r="T55" s="24" t="s">
        <v>39</v>
      </c>
      <c r="U55" s="24" t="s">
        <v>39</v>
      </c>
      <c r="V55" s="24" t="s">
        <v>39</v>
      </c>
      <c r="W55" s="24"/>
      <c r="X55" s="24"/>
      <c r="Y55" s="15"/>
      <c r="Z55" s="15"/>
      <c r="AA55" s="24"/>
      <c r="AB55" s="24"/>
      <c r="AC55" s="24"/>
      <c r="AD55" s="24"/>
      <c r="AE55" s="24"/>
      <c r="AF55" s="24"/>
      <c r="AG55" s="24"/>
      <c r="AH55" s="24"/>
    </row>
    <row r="56" spans="1:34" ht="75" x14ac:dyDescent="0.25">
      <c r="A56" s="24" t="str">
        <f>HYPERLINK("https://www.cpso.on.ca/DoctorDetails/Alan-Bruce-Douglass/0030828-42808","Douglass, Alan Bruce")</f>
        <v>Douglass, Alan Bruce</v>
      </c>
      <c r="B56" s="25" t="s">
        <v>738</v>
      </c>
      <c r="C56" s="24" t="s">
        <v>739</v>
      </c>
      <c r="D56" s="24" t="s">
        <v>740</v>
      </c>
      <c r="E56" s="24" t="s">
        <v>29</v>
      </c>
      <c r="F56" s="24" t="s">
        <v>30</v>
      </c>
      <c r="G56" s="24" t="s">
        <v>31</v>
      </c>
      <c r="H56" s="24" t="s">
        <v>741</v>
      </c>
      <c r="I56" s="24" t="s">
        <v>742</v>
      </c>
      <c r="J56" s="24" t="s">
        <v>743</v>
      </c>
      <c r="K56" s="24" t="s">
        <v>744</v>
      </c>
      <c r="L56" s="24" t="s">
        <v>84</v>
      </c>
      <c r="M56" s="15"/>
      <c r="N56" s="15"/>
      <c r="O56" s="15" t="s">
        <v>498</v>
      </c>
      <c r="P56" s="15" t="s">
        <v>745</v>
      </c>
      <c r="Q56" s="15" t="s">
        <v>746</v>
      </c>
      <c r="R56" s="15" t="s">
        <v>747</v>
      </c>
      <c r="S56" s="24" t="s">
        <v>39</v>
      </c>
      <c r="T56" s="24" t="s">
        <v>39</v>
      </c>
      <c r="U56" s="24" t="s">
        <v>39</v>
      </c>
      <c r="V56" s="24" t="s">
        <v>39</v>
      </c>
      <c r="W56" s="24" t="s">
        <v>748</v>
      </c>
      <c r="X56" s="24" t="s">
        <v>749</v>
      </c>
      <c r="Y56" s="15" t="s">
        <v>750</v>
      </c>
      <c r="Z56" s="15" t="s">
        <v>751</v>
      </c>
      <c r="AA56" s="24"/>
      <c r="AB56" s="24"/>
      <c r="AC56" s="24"/>
      <c r="AD56" s="24"/>
      <c r="AE56" s="24"/>
      <c r="AF56" s="24"/>
      <c r="AG56" s="24"/>
      <c r="AH56" s="24"/>
    </row>
    <row r="57" spans="1:34" ht="30" x14ac:dyDescent="0.25">
      <c r="A57" s="24" t="str">
        <f>HYPERLINK("https://www.cpso.on.ca/DoctorDetails/Alan-David-Brown/0036230-50206","Brown, Alan David")</f>
        <v>Brown, Alan David</v>
      </c>
      <c r="B57" s="25" t="s">
        <v>752</v>
      </c>
      <c r="C57" s="24" t="s">
        <v>753</v>
      </c>
      <c r="D57" s="24" t="s">
        <v>754</v>
      </c>
      <c r="E57" s="24" t="s">
        <v>29</v>
      </c>
      <c r="F57" s="24" t="s">
        <v>30</v>
      </c>
      <c r="G57" s="24" t="s">
        <v>31</v>
      </c>
      <c r="H57" s="24" t="s">
        <v>755</v>
      </c>
      <c r="I57" s="24" t="s">
        <v>756</v>
      </c>
      <c r="J57" s="24" t="s">
        <v>757</v>
      </c>
      <c r="K57" s="24" t="s">
        <v>758</v>
      </c>
      <c r="L57" s="24" t="s">
        <v>184</v>
      </c>
      <c r="M57" s="15"/>
      <c r="N57" s="15"/>
      <c r="O57" s="15" t="s">
        <v>759</v>
      </c>
      <c r="P57" s="15" t="s">
        <v>316</v>
      </c>
      <c r="Q57" s="15"/>
      <c r="R57" s="15" t="s">
        <v>760</v>
      </c>
      <c r="S57" s="24" t="s">
        <v>39</v>
      </c>
      <c r="T57" s="24" t="s">
        <v>39</v>
      </c>
      <c r="U57" s="24" t="s">
        <v>39</v>
      </c>
      <c r="V57" s="24" t="s">
        <v>39</v>
      </c>
      <c r="W57" s="24" t="s">
        <v>761</v>
      </c>
      <c r="X57" s="24" t="s">
        <v>516</v>
      </c>
      <c r="Y57" s="15" t="s">
        <v>762</v>
      </c>
      <c r="Z57" s="15" t="s">
        <v>763</v>
      </c>
      <c r="AA57" s="24"/>
      <c r="AB57" s="24"/>
      <c r="AC57" s="24"/>
      <c r="AD57" s="24"/>
      <c r="AE57" s="24"/>
      <c r="AF57" s="24"/>
      <c r="AG57" s="24"/>
      <c r="AH57" s="24"/>
    </row>
    <row r="58" spans="1:34" ht="45" x14ac:dyDescent="0.25">
      <c r="A58" s="24" t="str">
        <f>HYPERLINK("https://www.cpso.on.ca/DoctorDetails/Alan-David-Lowe/0047320-61298","Lowe, Alan David")</f>
        <v>Lowe, Alan David</v>
      </c>
      <c r="B58" s="25" t="s">
        <v>764</v>
      </c>
      <c r="C58" s="24" t="s">
        <v>765</v>
      </c>
      <c r="D58" s="24" t="s">
        <v>766</v>
      </c>
      <c r="E58" s="24" t="s">
        <v>29</v>
      </c>
      <c r="F58" s="24" t="s">
        <v>30</v>
      </c>
      <c r="G58" s="24" t="s">
        <v>31</v>
      </c>
      <c r="H58" s="24" t="s">
        <v>767</v>
      </c>
      <c r="I58" s="24" t="s">
        <v>768</v>
      </c>
      <c r="J58" s="24" t="s">
        <v>769</v>
      </c>
      <c r="K58" s="24" t="s">
        <v>770</v>
      </c>
      <c r="L58" s="24" t="s">
        <v>52</v>
      </c>
      <c r="M58" s="15" t="s">
        <v>771</v>
      </c>
      <c r="N58" s="15" t="s">
        <v>66</v>
      </c>
      <c r="O58" s="15" t="s">
        <v>772</v>
      </c>
      <c r="P58" s="15" t="s">
        <v>512</v>
      </c>
      <c r="Q58" s="15" t="s">
        <v>773</v>
      </c>
      <c r="R58" s="15" t="s">
        <v>774</v>
      </c>
      <c r="S58" s="24" t="s">
        <v>39</v>
      </c>
      <c r="T58" s="24" t="s">
        <v>39</v>
      </c>
      <c r="U58" s="24" t="s">
        <v>39</v>
      </c>
      <c r="V58" s="24" t="s">
        <v>39</v>
      </c>
      <c r="W58" s="24" t="s">
        <v>775</v>
      </c>
      <c r="X58" s="24" t="s">
        <v>776</v>
      </c>
      <c r="Y58" s="15" t="s">
        <v>777</v>
      </c>
      <c r="Z58" s="15" t="s">
        <v>778</v>
      </c>
      <c r="AA58" s="24"/>
      <c r="AB58" s="24"/>
      <c r="AC58" s="24"/>
      <c r="AD58" s="24"/>
      <c r="AE58" s="24"/>
      <c r="AF58" s="24"/>
      <c r="AG58" s="24"/>
      <c r="AH58" s="24"/>
    </row>
    <row r="59" spans="1:34" ht="75" x14ac:dyDescent="0.25">
      <c r="A59" s="24" t="str">
        <f>HYPERLINK("https://www.cpso.on.ca/DoctorDetails/Alan-Earl-Brown/0039430-53406","Brown, Alan Earl")</f>
        <v>Brown, Alan Earl</v>
      </c>
      <c r="B59" s="25" t="s">
        <v>779</v>
      </c>
      <c r="C59" s="24" t="s">
        <v>780</v>
      </c>
      <c r="D59" s="24" t="s">
        <v>781</v>
      </c>
      <c r="E59" s="24" t="s">
        <v>29</v>
      </c>
      <c r="F59" s="24" t="s">
        <v>30</v>
      </c>
      <c r="G59" s="24" t="s">
        <v>31</v>
      </c>
      <c r="H59" s="24" t="s">
        <v>782</v>
      </c>
      <c r="I59" s="24" t="s">
        <v>783</v>
      </c>
      <c r="J59" s="24" t="s">
        <v>784</v>
      </c>
      <c r="K59" s="24"/>
      <c r="L59" s="24" t="s">
        <v>135</v>
      </c>
      <c r="M59" s="15"/>
      <c r="N59" s="15"/>
      <c r="O59" s="15"/>
      <c r="P59" s="15" t="s">
        <v>785</v>
      </c>
      <c r="Q59" s="15"/>
      <c r="R59" s="15" t="s">
        <v>786</v>
      </c>
      <c r="S59" s="24" t="s">
        <v>39</v>
      </c>
      <c r="T59" s="24" t="s">
        <v>39</v>
      </c>
      <c r="U59" s="24" t="s">
        <v>39</v>
      </c>
      <c r="V59" s="24" t="s">
        <v>39</v>
      </c>
      <c r="W59" s="24"/>
      <c r="X59" s="24"/>
      <c r="Y59" s="15"/>
      <c r="Z59" s="15"/>
      <c r="AA59" s="24"/>
      <c r="AB59" s="24"/>
      <c r="AC59" s="24"/>
      <c r="AD59" s="24"/>
      <c r="AE59" s="24"/>
      <c r="AF59" s="24"/>
      <c r="AG59" s="24"/>
      <c r="AH59" s="24"/>
    </row>
    <row r="60" spans="1:34" ht="90" x14ac:dyDescent="0.25">
      <c r="A60" s="24" t="str">
        <f>HYPERLINK("https://www.cpso.on.ca/DoctorDetails/Alan-Solomon-Kahn/0210046-81340","Kahn, Alan Solomon")</f>
        <v>Kahn, Alan Solomon</v>
      </c>
      <c r="B60" s="25" t="s">
        <v>787</v>
      </c>
      <c r="C60" s="24" t="s">
        <v>45</v>
      </c>
      <c r="D60" s="24" t="s">
        <v>788</v>
      </c>
      <c r="E60" s="24" t="s">
        <v>29</v>
      </c>
      <c r="F60" s="24" t="s">
        <v>30</v>
      </c>
      <c r="G60" s="24" t="s">
        <v>31</v>
      </c>
      <c r="H60" s="24" t="s">
        <v>789</v>
      </c>
      <c r="I60" s="24" t="s">
        <v>790</v>
      </c>
      <c r="J60" s="24" t="s">
        <v>791</v>
      </c>
      <c r="K60" s="24" t="s">
        <v>792</v>
      </c>
      <c r="L60" s="24" t="s">
        <v>52</v>
      </c>
      <c r="M60" s="15"/>
      <c r="N60" s="15"/>
      <c r="O60" s="15" t="s">
        <v>793</v>
      </c>
      <c r="P60" s="15" t="s">
        <v>55</v>
      </c>
      <c r="Q60" s="15" t="s">
        <v>794</v>
      </c>
      <c r="R60" s="15" t="s">
        <v>795</v>
      </c>
      <c r="S60" s="24" t="s">
        <v>39</v>
      </c>
      <c r="T60" s="24" t="s">
        <v>39</v>
      </c>
      <c r="U60" s="24" t="s">
        <v>39</v>
      </c>
      <c r="V60" s="24" t="s">
        <v>39</v>
      </c>
      <c r="W60" s="24" t="s">
        <v>796</v>
      </c>
      <c r="X60" s="24" t="s">
        <v>797</v>
      </c>
      <c r="Y60" s="15" t="s">
        <v>798</v>
      </c>
      <c r="Z60" s="15" t="s">
        <v>799</v>
      </c>
      <c r="AA60" s="24"/>
      <c r="AB60" s="24"/>
      <c r="AC60" s="24"/>
      <c r="AD60" s="24"/>
      <c r="AE60" s="24"/>
      <c r="AF60" s="24"/>
      <c r="AG60" s="24"/>
      <c r="AH60" s="24"/>
    </row>
    <row r="61" spans="1:34" ht="45" x14ac:dyDescent="0.25">
      <c r="A61" s="24" t="str">
        <f>HYPERLINK("https://www.cpso.on.ca/DoctorDetails/Alastair-John-Flint/0043448-57426","Flint, Alastair John")</f>
        <v>Flint, Alastair John</v>
      </c>
      <c r="B61" s="25" t="s">
        <v>800</v>
      </c>
      <c r="C61" s="24" t="s">
        <v>801</v>
      </c>
      <c r="D61" s="24" t="s">
        <v>802</v>
      </c>
      <c r="E61" s="24" t="s">
        <v>29</v>
      </c>
      <c r="F61" s="24" t="s">
        <v>30</v>
      </c>
      <c r="G61" s="24" t="s">
        <v>31</v>
      </c>
      <c r="H61" s="24" t="s">
        <v>803</v>
      </c>
      <c r="I61" s="24" t="s">
        <v>804</v>
      </c>
      <c r="J61" s="24" t="s">
        <v>805</v>
      </c>
      <c r="K61" s="24" t="s">
        <v>486</v>
      </c>
      <c r="L61" s="24" t="s">
        <v>52</v>
      </c>
      <c r="M61" s="15"/>
      <c r="N61" s="15" t="s">
        <v>806</v>
      </c>
      <c r="O61" s="15" t="s">
        <v>807</v>
      </c>
      <c r="P61" s="15" t="s">
        <v>808</v>
      </c>
      <c r="Q61" s="15" t="s">
        <v>809</v>
      </c>
      <c r="R61" s="15" t="s">
        <v>810</v>
      </c>
      <c r="S61" s="24" t="s">
        <v>39</v>
      </c>
      <c r="T61" s="24" t="s">
        <v>39</v>
      </c>
      <c r="U61" s="24" t="s">
        <v>39</v>
      </c>
      <c r="V61" s="24" t="s">
        <v>39</v>
      </c>
      <c r="W61" s="24"/>
      <c r="X61" s="24"/>
      <c r="Y61" s="15"/>
      <c r="Z61" s="15"/>
      <c r="AA61" s="24"/>
      <c r="AB61" s="24"/>
      <c r="AC61" s="24"/>
      <c r="AD61" s="24"/>
      <c r="AE61" s="24"/>
      <c r="AF61" s="24"/>
      <c r="AG61" s="24"/>
      <c r="AH61" s="24"/>
    </row>
    <row r="62" spans="1:34" ht="90" x14ac:dyDescent="0.25">
      <c r="A62" s="24" t="str">
        <f>HYPERLINK("https://www.cpso.on.ca/DoctorDetails/Alayna-Jaques/0282325-98724","Jaques, Alayna")</f>
        <v>Jaques, Alayna</v>
      </c>
      <c r="B62" s="25" t="s">
        <v>811</v>
      </c>
      <c r="C62" s="24" t="s">
        <v>199</v>
      </c>
      <c r="D62" s="24" t="s">
        <v>812</v>
      </c>
      <c r="E62" s="24" t="s">
        <v>29</v>
      </c>
      <c r="F62" s="24" t="s">
        <v>47</v>
      </c>
      <c r="G62" s="24" t="s">
        <v>813</v>
      </c>
      <c r="H62" s="24" t="s">
        <v>814</v>
      </c>
      <c r="I62" s="24" t="s">
        <v>815</v>
      </c>
      <c r="J62" s="24" t="s">
        <v>816</v>
      </c>
      <c r="K62" s="24"/>
      <c r="L62" s="24" t="s">
        <v>84</v>
      </c>
      <c r="M62" s="15"/>
      <c r="N62" s="15"/>
      <c r="O62" s="15" t="s">
        <v>817</v>
      </c>
      <c r="P62" s="15" t="s">
        <v>818</v>
      </c>
      <c r="Q62" s="15" t="s">
        <v>819</v>
      </c>
      <c r="R62" s="15" t="s">
        <v>820</v>
      </c>
      <c r="S62" s="24" t="s">
        <v>39</v>
      </c>
      <c r="T62" s="24" t="s">
        <v>39</v>
      </c>
      <c r="U62" s="24" t="s">
        <v>39</v>
      </c>
      <c r="V62" s="24" t="s">
        <v>39</v>
      </c>
      <c r="W62" s="24" t="s">
        <v>821</v>
      </c>
      <c r="X62" s="24" t="s">
        <v>822</v>
      </c>
      <c r="Y62" s="15" t="s">
        <v>823</v>
      </c>
      <c r="Z62" s="15" t="s">
        <v>824</v>
      </c>
      <c r="AA62" s="24"/>
      <c r="AB62" s="24"/>
      <c r="AC62" s="24"/>
      <c r="AD62" s="24"/>
      <c r="AE62" s="24"/>
      <c r="AF62" s="24"/>
      <c r="AG62" s="24"/>
      <c r="AH62" s="24"/>
    </row>
    <row r="63" spans="1:34" ht="30" x14ac:dyDescent="0.25">
      <c r="A63" s="24" t="str">
        <f>HYPERLINK("https://www.cpso.on.ca/DoctorDetails/Albert-Gyimah/0036680-50656","Gyimah, Albert")</f>
        <v>Gyimah, Albert</v>
      </c>
      <c r="B63" s="25" t="s">
        <v>825</v>
      </c>
      <c r="C63" s="24" t="s">
        <v>826</v>
      </c>
      <c r="D63" s="24" t="s">
        <v>827</v>
      </c>
      <c r="E63" s="24" t="s">
        <v>29</v>
      </c>
      <c r="F63" s="24" t="s">
        <v>30</v>
      </c>
      <c r="G63" s="24" t="s">
        <v>828</v>
      </c>
      <c r="H63" s="24" t="s">
        <v>829</v>
      </c>
      <c r="I63" s="24" t="s">
        <v>830</v>
      </c>
      <c r="J63" s="24" t="s">
        <v>831</v>
      </c>
      <c r="K63" s="24" t="s">
        <v>832</v>
      </c>
      <c r="L63" s="24" t="s">
        <v>36</v>
      </c>
      <c r="M63" s="15"/>
      <c r="N63" s="15"/>
      <c r="O63" s="15" t="s">
        <v>833</v>
      </c>
      <c r="P63" s="15" t="s">
        <v>527</v>
      </c>
      <c r="Q63" s="15"/>
      <c r="R63" s="15" t="s">
        <v>834</v>
      </c>
      <c r="S63" s="24" t="s">
        <v>39</v>
      </c>
      <c r="T63" s="24" t="s">
        <v>39</v>
      </c>
      <c r="U63" s="24" t="s">
        <v>39</v>
      </c>
      <c r="V63" s="24" t="s">
        <v>39</v>
      </c>
      <c r="W63" s="24"/>
      <c r="X63" s="24"/>
      <c r="Y63" s="15"/>
      <c r="Z63" s="15"/>
      <c r="AA63" s="24"/>
      <c r="AB63" s="24"/>
      <c r="AC63" s="24"/>
      <c r="AD63" s="24"/>
      <c r="AE63" s="24"/>
      <c r="AF63" s="24"/>
      <c r="AG63" s="24"/>
      <c r="AH63" s="24"/>
    </row>
    <row r="64" spans="1:34" ht="90" x14ac:dyDescent="0.25">
      <c r="A64" s="24" t="str">
        <f>HYPERLINK("https://www.cpso.on.ca/DoctorDetails/Albert-Hung-Choy-Wong/0052573-66537","Wong, Albert Hung Choy")</f>
        <v>Wong, Albert Hung Choy</v>
      </c>
      <c r="B64" s="25" t="s">
        <v>835</v>
      </c>
      <c r="C64" s="24" t="s">
        <v>836</v>
      </c>
      <c r="D64" s="24" t="s">
        <v>837</v>
      </c>
      <c r="E64" s="24" t="s">
        <v>29</v>
      </c>
      <c r="F64" s="24" t="s">
        <v>30</v>
      </c>
      <c r="G64" s="24" t="s">
        <v>31</v>
      </c>
      <c r="H64" s="24" t="s">
        <v>838</v>
      </c>
      <c r="I64" s="24" t="s">
        <v>839</v>
      </c>
      <c r="J64" s="24" t="s">
        <v>840</v>
      </c>
      <c r="K64" s="24" t="s">
        <v>841</v>
      </c>
      <c r="L64" s="24" t="s">
        <v>52</v>
      </c>
      <c r="M64" s="15"/>
      <c r="N64" s="15"/>
      <c r="O64" s="15" t="s">
        <v>842</v>
      </c>
      <c r="P64" s="15" t="s">
        <v>303</v>
      </c>
      <c r="Q64" s="15" t="s">
        <v>843</v>
      </c>
      <c r="R64" s="15" t="s">
        <v>844</v>
      </c>
      <c r="S64" s="24" t="s">
        <v>39</v>
      </c>
      <c r="T64" s="24" t="s">
        <v>39</v>
      </c>
      <c r="U64" s="24" t="s">
        <v>39</v>
      </c>
      <c r="V64" s="24" t="s">
        <v>39</v>
      </c>
      <c r="W64" s="24"/>
      <c r="X64" s="24"/>
      <c r="Y64" s="15"/>
      <c r="Z64" s="15"/>
      <c r="AA64" s="24"/>
      <c r="AB64" s="24"/>
      <c r="AC64" s="24"/>
      <c r="AD64" s="24"/>
      <c r="AE64" s="24"/>
      <c r="AF64" s="24"/>
      <c r="AG64" s="24"/>
      <c r="AH64" s="24"/>
    </row>
    <row r="65" spans="1:34" ht="105" x14ac:dyDescent="0.25">
      <c r="A65" s="24" t="str">
        <f>HYPERLINK("https://www.cpso.on.ca/DoctorDetails/Albert-Nguyenhoang-Allen/0250307-88359","Allen, Albert Nguyenhoang")</f>
        <v>Allen, Albert Nguyenhoang</v>
      </c>
      <c r="B65" s="25" t="s">
        <v>845</v>
      </c>
      <c r="C65" s="24" t="s">
        <v>846</v>
      </c>
      <c r="D65" s="24" t="s">
        <v>600</v>
      </c>
      <c r="E65" s="24" t="s">
        <v>29</v>
      </c>
      <c r="F65" s="24" t="s">
        <v>30</v>
      </c>
      <c r="G65" s="24" t="s">
        <v>31</v>
      </c>
      <c r="H65" s="24" t="s">
        <v>847</v>
      </c>
      <c r="I65" s="24" t="s">
        <v>848</v>
      </c>
      <c r="J65" s="24" t="s">
        <v>849</v>
      </c>
      <c r="K65" s="24" t="s">
        <v>850</v>
      </c>
      <c r="L65" s="24" t="s">
        <v>52</v>
      </c>
      <c r="M65" s="15" t="s">
        <v>851</v>
      </c>
      <c r="N65" s="15"/>
      <c r="O65" s="15"/>
      <c r="P65" s="15" t="s">
        <v>272</v>
      </c>
      <c r="Q65" s="15" t="s">
        <v>852</v>
      </c>
      <c r="R65" s="15" t="s">
        <v>853</v>
      </c>
      <c r="S65" s="24" t="s">
        <v>39</v>
      </c>
      <c r="T65" s="24" t="s">
        <v>39</v>
      </c>
      <c r="U65" s="24" t="s">
        <v>39</v>
      </c>
      <c r="V65" s="24" t="s">
        <v>39</v>
      </c>
      <c r="W65" s="24" t="s">
        <v>854</v>
      </c>
      <c r="X65" s="24" t="s">
        <v>855</v>
      </c>
      <c r="Y65" s="15" t="s">
        <v>856</v>
      </c>
      <c r="Z65" s="15" t="s">
        <v>857</v>
      </c>
      <c r="AA65" s="24"/>
      <c r="AB65" s="24"/>
      <c r="AC65" s="24"/>
      <c r="AD65" s="24"/>
      <c r="AE65" s="24"/>
      <c r="AF65" s="24"/>
      <c r="AG65" s="24"/>
      <c r="AH65" s="24"/>
    </row>
    <row r="66" spans="1:34" ht="45" x14ac:dyDescent="0.25">
      <c r="A66" s="24" t="str">
        <f>HYPERLINK("https://www.cpso.on.ca/DoctorDetails/Albina-AbayaComendador/0036065-50041","Abaya-Comendador, Albina")</f>
        <v>Abaya-Comendador, Albina</v>
      </c>
      <c r="B66" s="25" t="s">
        <v>858</v>
      </c>
      <c r="C66" s="24" t="s">
        <v>859</v>
      </c>
      <c r="D66" s="24" t="s">
        <v>860</v>
      </c>
      <c r="E66" s="24" t="s">
        <v>29</v>
      </c>
      <c r="F66" s="24" t="s">
        <v>47</v>
      </c>
      <c r="G66" s="24" t="s">
        <v>861</v>
      </c>
      <c r="H66" s="24" t="s">
        <v>862</v>
      </c>
      <c r="I66" s="24" t="s">
        <v>863</v>
      </c>
      <c r="J66" s="24" t="s">
        <v>864</v>
      </c>
      <c r="K66" s="24" t="s">
        <v>865</v>
      </c>
      <c r="L66" s="24" t="s">
        <v>36</v>
      </c>
      <c r="M66" s="15" t="s">
        <v>866</v>
      </c>
      <c r="N66" s="15"/>
      <c r="O66" s="15" t="s">
        <v>867</v>
      </c>
      <c r="P66" s="15" t="s">
        <v>868</v>
      </c>
      <c r="Q66" s="15"/>
      <c r="R66" s="15" t="s">
        <v>869</v>
      </c>
      <c r="S66" s="24" t="s">
        <v>39</v>
      </c>
      <c r="T66" s="24" t="s">
        <v>39</v>
      </c>
      <c r="U66" s="24" t="s">
        <v>39</v>
      </c>
      <c r="V66" s="24" t="s">
        <v>39</v>
      </c>
      <c r="W66" s="24"/>
      <c r="X66" s="24"/>
      <c r="Y66" s="15"/>
      <c r="Z66" s="15"/>
      <c r="AA66" s="24"/>
      <c r="AB66" s="24"/>
      <c r="AC66" s="24"/>
      <c r="AD66" s="24"/>
      <c r="AE66" s="24"/>
      <c r="AF66" s="24"/>
      <c r="AG66" s="24"/>
      <c r="AH66" s="24"/>
    </row>
    <row r="67" spans="1:34" ht="90" x14ac:dyDescent="0.25">
      <c r="A67" s="24" t="str">
        <f>HYPERLINK("https://www.cpso.on.ca/DoctorDetails/Albina-Veltman/0201750-79101","Veltman, Albina")</f>
        <v>Veltman, Albina</v>
      </c>
      <c r="B67" s="25" t="s">
        <v>870</v>
      </c>
      <c r="C67" s="24" t="s">
        <v>871</v>
      </c>
      <c r="D67" s="24" t="s">
        <v>872</v>
      </c>
      <c r="E67" s="24" t="s">
        <v>29</v>
      </c>
      <c r="F67" s="24" t="s">
        <v>47</v>
      </c>
      <c r="G67" s="24" t="s">
        <v>873</v>
      </c>
      <c r="H67" s="24" t="s">
        <v>874</v>
      </c>
      <c r="I67" s="24" t="s">
        <v>875</v>
      </c>
      <c r="J67" s="24" t="s">
        <v>876</v>
      </c>
      <c r="K67" s="24" t="s">
        <v>877</v>
      </c>
      <c r="L67" s="24" t="s">
        <v>184</v>
      </c>
      <c r="M67" s="15" t="s">
        <v>878</v>
      </c>
      <c r="N67" s="15"/>
      <c r="O67" s="15" t="s">
        <v>879</v>
      </c>
      <c r="P67" s="15" t="s">
        <v>880</v>
      </c>
      <c r="Q67" s="15" t="s">
        <v>881</v>
      </c>
      <c r="R67" s="15" t="s">
        <v>882</v>
      </c>
      <c r="S67" s="24" t="s">
        <v>39</v>
      </c>
      <c r="T67" s="24" t="s">
        <v>39</v>
      </c>
      <c r="U67" s="24" t="s">
        <v>39</v>
      </c>
      <c r="V67" s="24" t="s">
        <v>39</v>
      </c>
      <c r="W67" s="24" t="s">
        <v>883</v>
      </c>
      <c r="X67" s="24" t="s">
        <v>884</v>
      </c>
      <c r="Y67" s="15" t="s">
        <v>885</v>
      </c>
      <c r="Z67" s="15" t="s">
        <v>886</v>
      </c>
      <c r="AA67" s="24"/>
      <c r="AB67" s="24"/>
      <c r="AC67" s="24"/>
      <c r="AD67" s="24"/>
      <c r="AE67" s="24"/>
      <c r="AF67" s="24"/>
      <c r="AG67" s="24"/>
      <c r="AH67" s="24"/>
    </row>
    <row r="68" spans="1:34" ht="75" x14ac:dyDescent="0.25">
      <c r="A68" s="24" t="str">
        <f>HYPERLINK("https://www.cpso.on.ca/DoctorDetails/Alec-Wayne-Brace/0050757-64736","Brace, Alec Wayne")</f>
        <v>Brace, Alec Wayne</v>
      </c>
      <c r="B68" s="25" t="s">
        <v>887</v>
      </c>
      <c r="C68" s="24" t="s">
        <v>888</v>
      </c>
      <c r="D68" s="24" t="s">
        <v>889</v>
      </c>
      <c r="E68" s="24" t="s">
        <v>29</v>
      </c>
      <c r="F68" s="24" t="s">
        <v>30</v>
      </c>
      <c r="G68" s="24" t="s">
        <v>31</v>
      </c>
      <c r="H68" s="24" t="s">
        <v>890</v>
      </c>
      <c r="I68" s="24" t="s">
        <v>891</v>
      </c>
      <c r="J68" s="24" t="s">
        <v>892</v>
      </c>
      <c r="K68" s="24"/>
      <c r="L68" s="24"/>
      <c r="M68" s="15"/>
      <c r="N68" s="15" t="s">
        <v>167</v>
      </c>
      <c r="O68" s="15"/>
      <c r="P68" s="15" t="s">
        <v>893</v>
      </c>
      <c r="Q68" s="15" t="s">
        <v>894</v>
      </c>
      <c r="R68" s="15" t="s">
        <v>895</v>
      </c>
      <c r="S68" s="24" t="s">
        <v>39</v>
      </c>
      <c r="T68" s="24" t="s">
        <v>39</v>
      </c>
      <c r="U68" s="24" t="s">
        <v>39</v>
      </c>
      <c r="V68" s="24" t="s">
        <v>39</v>
      </c>
      <c r="W68" s="24"/>
      <c r="X68" s="24"/>
      <c r="Y68" s="15"/>
      <c r="Z68" s="15"/>
      <c r="AA68" s="24"/>
      <c r="AB68" s="24"/>
      <c r="AC68" s="24"/>
      <c r="AD68" s="24"/>
      <c r="AE68" s="24"/>
      <c r="AF68" s="24"/>
      <c r="AG68" s="24"/>
      <c r="AH68" s="24"/>
    </row>
    <row r="69" spans="1:34" ht="30" x14ac:dyDescent="0.25">
      <c r="A69" s="24" t="str">
        <f>HYPERLINK("https://www.cpso.on.ca/DoctorDetails/Alejandro-Tarnopolsky/0050602-64581","Tarnopolsky, Alejandro")</f>
        <v>Tarnopolsky, Alejandro</v>
      </c>
      <c r="B69" s="25" t="s">
        <v>896</v>
      </c>
      <c r="C69" s="24" t="s">
        <v>897</v>
      </c>
      <c r="D69" s="24" t="s">
        <v>898</v>
      </c>
      <c r="E69" s="24" t="s">
        <v>29</v>
      </c>
      <c r="F69" s="24" t="s">
        <v>30</v>
      </c>
      <c r="G69" s="24" t="s">
        <v>115</v>
      </c>
      <c r="H69" s="24" t="s">
        <v>899</v>
      </c>
      <c r="I69" s="24" t="s">
        <v>900</v>
      </c>
      <c r="J69" s="24" t="s">
        <v>901</v>
      </c>
      <c r="K69" s="24"/>
      <c r="L69" s="24" t="s">
        <v>52</v>
      </c>
      <c r="M69" s="15"/>
      <c r="N69" s="15"/>
      <c r="O69" s="15"/>
      <c r="P69" s="15" t="s">
        <v>902</v>
      </c>
      <c r="Q69" s="15"/>
      <c r="R69" s="15" t="s">
        <v>903</v>
      </c>
      <c r="S69" s="24" t="s">
        <v>39</v>
      </c>
      <c r="T69" s="24" t="s">
        <v>39</v>
      </c>
      <c r="U69" s="24" t="s">
        <v>39</v>
      </c>
      <c r="V69" s="24" t="s">
        <v>39</v>
      </c>
      <c r="W69" s="24"/>
      <c r="X69" s="24"/>
      <c r="Y69" s="15"/>
      <c r="Z69" s="15"/>
      <c r="AA69" s="24"/>
      <c r="AB69" s="24"/>
      <c r="AC69" s="24"/>
      <c r="AD69" s="24"/>
      <c r="AE69" s="24"/>
      <c r="AF69" s="24"/>
      <c r="AG69" s="24"/>
      <c r="AH69" s="24"/>
    </row>
    <row r="70" spans="1:34" ht="90" x14ac:dyDescent="0.25">
      <c r="A70" s="24" t="str">
        <f>HYPERLINK("https://www.cpso.on.ca/DoctorDetails/Aleksandra-Agnieszka-Nowicki/0226781-83486","Nowicki, Aleksandra Agnieszka")</f>
        <v>Nowicki, Aleksandra Agnieszka</v>
      </c>
      <c r="B70" s="25" t="s">
        <v>904</v>
      </c>
      <c r="C70" s="24" t="s">
        <v>905</v>
      </c>
      <c r="D70" s="24" t="s">
        <v>906</v>
      </c>
      <c r="E70" s="24" t="s">
        <v>29</v>
      </c>
      <c r="F70" s="24" t="s">
        <v>47</v>
      </c>
      <c r="G70" s="24" t="s">
        <v>907</v>
      </c>
      <c r="H70" s="24" t="s">
        <v>908</v>
      </c>
      <c r="I70" s="24" t="s">
        <v>909</v>
      </c>
      <c r="J70" s="24" t="s">
        <v>910</v>
      </c>
      <c r="K70" s="24" t="s">
        <v>911</v>
      </c>
      <c r="L70" s="24" t="s">
        <v>135</v>
      </c>
      <c r="M70" s="15" t="s">
        <v>912</v>
      </c>
      <c r="N70" s="15"/>
      <c r="O70" s="15" t="s">
        <v>913</v>
      </c>
      <c r="P70" s="15" t="s">
        <v>55</v>
      </c>
      <c r="Q70" s="15" t="s">
        <v>914</v>
      </c>
      <c r="R70" s="15" t="s">
        <v>915</v>
      </c>
      <c r="S70" s="24" t="s">
        <v>39</v>
      </c>
      <c r="T70" s="24" t="s">
        <v>39</v>
      </c>
      <c r="U70" s="24" t="s">
        <v>39</v>
      </c>
      <c r="V70" s="24" t="s">
        <v>39</v>
      </c>
      <c r="W70" s="24" t="s">
        <v>916</v>
      </c>
      <c r="X70" s="24" t="s">
        <v>917</v>
      </c>
      <c r="Y70" s="15" t="s">
        <v>918</v>
      </c>
      <c r="Z70" s="15" t="s">
        <v>919</v>
      </c>
      <c r="AA70" s="24"/>
      <c r="AB70" s="24"/>
      <c r="AC70" s="24"/>
      <c r="AD70" s="24"/>
      <c r="AE70" s="24"/>
      <c r="AF70" s="24"/>
      <c r="AG70" s="24"/>
      <c r="AH70" s="24"/>
    </row>
    <row r="71" spans="1:34" ht="75" x14ac:dyDescent="0.25">
      <c r="A71" s="24" t="str">
        <f>HYPERLINK("https://www.cpso.on.ca/DoctorDetails/Alexa-Petrina-Veresezan/0190306-78039","Veresezan, Alexa Petrina")</f>
        <v>Veresezan, Alexa Petrina</v>
      </c>
      <c r="B71" s="25" t="s">
        <v>920</v>
      </c>
      <c r="C71" s="24" t="s">
        <v>921</v>
      </c>
      <c r="D71" s="24" t="s">
        <v>922</v>
      </c>
      <c r="E71" s="24" t="s">
        <v>29</v>
      </c>
      <c r="F71" s="24" t="s">
        <v>47</v>
      </c>
      <c r="G71" s="24" t="s">
        <v>923</v>
      </c>
      <c r="H71" s="24" t="s">
        <v>924</v>
      </c>
      <c r="I71" s="24" t="s">
        <v>925</v>
      </c>
      <c r="J71" s="24" t="s">
        <v>926</v>
      </c>
      <c r="K71" s="24" t="s">
        <v>927</v>
      </c>
      <c r="L71" s="24" t="s">
        <v>135</v>
      </c>
      <c r="M71" s="15"/>
      <c r="N71" s="15"/>
      <c r="O71" s="15"/>
      <c r="P71" s="15" t="s">
        <v>488</v>
      </c>
      <c r="Q71" s="15" t="s">
        <v>928</v>
      </c>
      <c r="R71" s="15" t="s">
        <v>929</v>
      </c>
      <c r="S71" s="24" t="s">
        <v>39</v>
      </c>
      <c r="T71" s="24" t="s">
        <v>39</v>
      </c>
      <c r="U71" s="24" t="s">
        <v>39</v>
      </c>
      <c r="V71" s="24" t="s">
        <v>39</v>
      </c>
      <c r="W71" s="24"/>
      <c r="X71" s="24"/>
      <c r="Y71" s="15"/>
      <c r="Z71" s="15"/>
      <c r="AA71" s="24"/>
      <c r="AB71" s="24"/>
      <c r="AC71" s="24"/>
      <c r="AD71" s="24"/>
      <c r="AE71" s="24"/>
      <c r="AF71" s="24"/>
      <c r="AG71" s="24"/>
      <c r="AH71" s="24"/>
    </row>
    <row r="72" spans="1:34" ht="195" x14ac:dyDescent="0.25">
      <c r="A72" s="24" t="str">
        <f>HYPERLINK("https://www.cpso.on.ca/DoctorDetails/Alexander-Demetrios-Apollo-Drossos/0280842-98807","Drossos, Alexander Demetrios Apollo")</f>
        <v>Drossos, Alexander Demetrios Apollo</v>
      </c>
      <c r="B72" s="25" t="s">
        <v>930</v>
      </c>
      <c r="C72" s="24" t="s">
        <v>544</v>
      </c>
      <c r="D72" s="24" t="s">
        <v>931</v>
      </c>
      <c r="E72" s="24" t="s">
        <v>29</v>
      </c>
      <c r="F72" s="24" t="s">
        <v>30</v>
      </c>
      <c r="G72" s="24" t="s">
        <v>536</v>
      </c>
      <c r="H72" s="24" t="s">
        <v>932</v>
      </c>
      <c r="I72" s="24" t="s">
        <v>933</v>
      </c>
      <c r="J72" s="24" t="s">
        <v>934</v>
      </c>
      <c r="K72" s="24" t="s">
        <v>935</v>
      </c>
      <c r="L72" s="24" t="s">
        <v>184</v>
      </c>
      <c r="M72" s="15"/>
      <c r="N72" s="15"/>
      <c r="O72" s="15"/>
      <c r="P72" s="15" t="s">
        <v>936</v>
      </c>
      <c r="Q72" s="15" t="s">
        <v>937</v>
      </c>
      <c r="R72" s="15" t="s">
        <v>938</v>
      </c>
      <c r="S72" s="24" t="s">
        <v>39</v>
      </c>
      <c r="T72" s="24" t="s">
        <v>39</v>
      </c>
      <c r="U72" s="24" t="s">
        <v>39</v>
      </c>
      <c r="V72" s="24" t="s">
        <v>39</v>
      </c>
      <c r="W72" s="24"/>
      <c r="X72" s="24"/>
      <c r="Y72" s="15"/>
      <c r="Z72" s="15"/>
      <c r="AA72" s="24"/>
      <c r="AB72" s="24"/>
      <c r="AC72" s="24"/>
      <c r="AD72" s="24"/>
      <c r="AE72" s="24"/>
      <c r="AF72" s="24"/>
      <c r="AG72" s="24"/>
      <c r="AH72" s="24"/>
    </row>
    <row r="73" spans="1:34" ht="135" x14ac:dyDescent="0.25">
      <c r="A73" s="24" t="str">
        <f>HYPERLINK("https://www.cpso.on.ca/DoctorDetails/Alexander-William-Kolodziej/0052138-66117","Kolodziej, Alexander William")</f>
        <v>Kolodziej, Alexander William</v>
      </c>
      <c r="B73" s="25" t="s">
        <v>939</v>
      </c>
      <c r="C73" s="24" t="s">
        <v>940</v>
      </c>
      <c r="D73" s="24" t="s">
        <v>941</v>
      </c>
      <c r="E73" s="24" t="s">
        <v>29</v>
      </c>
      <c r="F73" s="24" t="s">
        <v>30</v>
      </c>
      <c r="G73" s="24" t="s">
        <v>31</v>
      </c>
      <c r="H73" s="24" t="s">
        <v>942</v>
      </c>
      <c r="I73" s="24" t="s">
        <v>943</v>
      </c>
      <c r="J73" s="24" t="s">
        <v>944</v>
      </c>
      <c r="K73" s="24" t="s">
        <v>945</v>
      </c>
      <c r="L73" s="24" t="s">
        <v>84</v>
      </c>
      <c r="M73" s="15"/>
      <c r="N73" s="15"/>
      <c r="O73" s="15"/>
      <c r="P73" s="15" t="s">
        <v>946</v>
      </c>
      <c r="Q73" s="15" t="s">
        <v>947</v>
      </c>
      <c r="R73" s="15" t="s">
        <v>948</v>
      </c>
      <c r="S73" s="24" t="s">
        <v>39</v>
      </c>
      <c r="T73" s="24" t="s">
        <v>39</v>
      </c>
      <c r="U73" s="24" t="s">
        <v>39</v>
      </c>
      <c r="V73" s="24" t="s">
        <v>39</v>
      </c>
      <c r="W73" s="24" t="s">
        <v>949</v>
      </c>
      <c r="X73" s="24" t="s">
        <v>950</v>
      </c>
      <c r="Y73" s="15" t="s">
        <v>951</v>
      </c>
      <c r="Z73" s="15" t="s">
        <v>952</v>
      </c>
      <c r="AA73" s="24"/>
      <c r="AB73" s="24"/>
      <c r="AC73" s="24"/>
      <c r="AD73" s="24"/>
      <c r="AE73" s="24"/>
      <c r="AF73" s="24"/>
      <c r="AG73" s="24"/>
      <c r="AH73" s="24"/>
    </row>
    <row r="74" spans="1:34" ht="90" x14ac:dyDescent="0.25">
      <c r="A74" s="24" t="str">
        <f>HYPERLINK("https://www.cpso.on.ca/DoctorDetails/Alexandra-Bottas/0153147-72468","Bottas, Alexandra")</f>
        <v>Bottas, Alexandra</v>
      </c>
      <c r="B74" s="25" t="s">
        <v>953</v>
      </c>
      <c r="C74" s="24" t="s">
        <v>954</v>
      </c>
      <c r="D74" s="24" t="s">
        <v>281</v>
      </c>
      <c r="E74" s="24" t="s">
        <v>29</v>
      </c>
      <c r="F74" s="24" t="s">
        <v>47</v>
      </c>
      <c r="G74" s="24" t="s">
        <v>31</v>
      </c>
      <c r="H74" s="24" t="s">
        <v>955</v>
      </c>
      <c r="I74" s="24" t="s">
        <v>956</v>
      </c>
      <c r="J74" s="24" t="s">
        <v>957</v>
      </c>
      <c r="K74" s="24"/>
      <c r="L74" s="24" t="s">
        <v>52</v>
      </c>
      <c r="M74" s="15"/>
      <c r="N74" s="15"/>
      <c r="O74" s="15" t="s">
        <v>958</v>
      </c>
      <c r="P74" s="15" t="s">
        <v>959</v>
      </c>
      <c r="Q74" s="15" t="s">
        <v>960</v>
      </c>
      <c r="R74" s="15" t="s">
        <v>961</v>
      </c>
      <c r="S74" s="24" t="s">
        <v>39</v>
      </c>
      <c r="T74" s="24" t="s">
        <v>39</v>
      </c>
      <c r="U74" s="24" t="s">
        <v>39</v>
      </c>
      <c r="V74" s="24" t="s">
        <v>39</v>
      </c>
      <c r="W74" s="24" t="s">
        <v>962</v>
      </c>
      <c r="X74" s="24" t="s">
        <v>963</v>
      </c>
      <c r="Y74" s="15" t="s">
        <v>964</v>
      </c>
      <c r="Z74" s="15" t="s">
        <v>965</v>
      </c>
      <c r="AA74" s="24"/>
      <c r="AB74" s="24"/>
      <c r="AC74" s="24"/>
      <c r="AD74" s="24"/>
      <c r="AE74" s="24"/>
      <c r="AF74" s="24"/>
      <c r="AG74" s="24"/>
      <c r="AH74" s="24"/>
    </row>
    <row r="75" spans="1:34" ht="90" x14ac:dyDescent="0.25">
      <c r="A75" s="24" t="str">
        <f>HYPERLINK("https://www.cpso.on.ca/DoctorDetails/Alexandra-Helena-Marcjanna-Karas/0265843-93156","Karas, Alexandra Helena Marcjanna")</f>
        <v>Karas, Alexandra Helena Marcjanna</v>
      </c>
      <c r="B75" s="25" t="s">
        <v>966</v>
      </c>
      <c r="C75" s="24" t="s">
        <v>570</v>
      </c>
      <c r="D75" s="24" t="s">
        <v>967</v>
      </c>
      <c r="E75" s="24" t="s">
        <v>29</v>
      </c>
      <c r="F75" s="24" t="s">
        <v>47</v>
      </c>
      <c r="G75" s="24" t="s">
        <v>31</v>
      </c>
      <c r="H75" s="24" t="s">
        <v>968</v>
      </c>
      <c r="I75" s="24" t="s">
        <v>969</v>
      </c>
      <c r="J75" s="24" t="s">
        <v>970</v>
      </c>
      <c r="K75" s="24" t="s">
        <v>971</v>
      </c>
      <c r="L75" s="24" t="s">
        <v>36</v>
      </c>
      <c r="M75" s="15"/>
      <c r="N75" s="15"/>
      <c r="O75" s="15" t="s">
        <v>972</v>
      </c>
      <c r="P75" s="15" t="s">
        <v>973</v>
      </c>
      <c r="Q75" s="15" t="s">
        <v>974</v>
      </c>
      <c r="R75" s="15" t="s">
        <v>975</v>
      </c>
      <c r="S75" s="24" t="s">
        <v>39</v>
      </c>
      <c r="T75" s="24" t="s">
        <v>39</v>
      </c>
      <c r="U75" s="24" t="s">
        <v>39</v>
      </c>
      <c r="V75" s="24" t="s">
        <v>39</v>
      </c>
      <c r="W75" s="24"/>
      <c r="X75" s="24"/>
      <c r="Y75" s="15"/>
      <c r="Z75" s="15"/>
      <c r="AA75" s="24"/>
      <c r="AB75" s="24"/>
      <c r="AC75" s="24"/>
      <c r="AD75" s="24"/>
      <c r="AE75" s="24"/>
      <c r="AF75" s="24"/>
      <c r="AG75" s="24"/>
      <c r="AH75" s="24"/>
    </row>
    <row r="76" spans="1:34" ht="75" x14ac:dyDescent="0.25">
      <c r="A76" s="24" t="str">
        <f>HYPERLINK("https://www.cpso.on.ca/DoctorDetails/Alexandra-Laura-Cristian/0281163-98143","Cristian, Alexandra Laura")</f>
        <v>Cristian, Alexandra Laura</v>
      </c>
      <c r="B76" s="25" t="s">
        <v>976</v>
      </c>
      <c r="C76" s="24" t="s">
        <v>544</v>
      </c>
      <c r="D76" s="24" t="s">
        <v>545</v>
      </c>
      <c r="E76" s="24" t="s">
        <v>29</v>
      </c>
      <c r="F76" s="24" t="s">
        <v>47</v>
      </c>
      <c r="G76" s="24" t="s">
        <v>923</v>
      </c>
      <c r="H76" s="24" t="s">
        <v>977</v>
      </c>
      <c r="I76" s="24" t="s">
        <v>978</v>
      </c>
      <c r="J76" s="24" t="s">
        <v>979</v>
      </c>
      <c r="K76" s="24" t="s">
        <v>980</v>
      </c>
      <c r="L76" s="24" t="s">
        <v>52</v>
      </c>
      <c r="M76" s="15"/>
      <c r="N76" s="15"/>
      <c r="O76" s="15" t="s">
        <v>981</v>
      </c>
      <c r="P76" s="15" t="s">
        <v>550</v>
      </c>
      <c r="Q76" s="15" t="s">
        <v>982</v>
      </c>
      <c r="R76" s="15" t="s">
        <v>552</v>
      </c>
      <c r="S76" s="24" t="s">
        <v>39</v>
      </c>
      <c r="T76" s="24" t="s">
        <v>39</v>
      </c>
      <c r="U76" s="24" t="s">
        <v>39</v>
      </c>
      <c r="V76" s="24" t="s">
        <v>39</v>
      </c>
      <c r="W76" s="24" t="s">
        <v>983</v>
      </c>
      <c r="X76" s="24" t="s">
        <v>984</v>
      </c>
      <c r="Y76" s="15" t="s">
        <v>985</v>
      </c>
      <c r="Z76" s="15" t="s">
        <v>986</v>
      </c>
      <c r="AA76" s="24"/>
      <c r="AB76" s="24"/>
      <c r="AC76" s="24"/>
      <c r="AD76" s="24"/>
      <c r="AE76" s="24"/>
      <c r="AF76" s="24"/>
      <c r="AG76" s="24"/>
      <c r="AH76" s="24"/>
    </row>
    <row r="77" spans="1:34" ht="45" x14ac:dyDescent="0.25">
      <c r="A77" s="24" t="str">
        <f>HYPERLINK("https://www.cpso.on.ca/DoctorDetails/Alexandra-Sawczenko-Baines/0220686-96939","Baines, Alexandra Sawczenko")</f>
        <v>Baines, Alexandra Sawczenko</v>
      </c>
      <c r="B77" s="25" t="s">
        <v>987</v>
      </c>
      <c r="C77" s="24" t="s">
        <v>988</v>
      </c>
      <c r="D77" s="24" t="s">
        <v>989</v>
      </c>
      <c r="E77" s="24" t="s">
        <v>29</v>
      </c>
      <c r="F77" s="24" t="s">
        <v>47</v>
      </c>
      <c r="G77" s="24" t="s">
        <v>813</v>
      </c>
      <c r="H77" s="24" t="s">
        <v>990</v>
      </c>
      <c r="I77" s="24" t="s">
        <v>991</v>
      </c>
      <c r="J77" s="24" t="s">
        <v>992</v>
      </c>
      <c r="K77" s="24"/>
      <c r="L77" s="24" t="s">
        <v>84</v>
      </c>
      <c r="M77" s="15" t="s">
        <v>993</v>
      </c>
      <c r="N77" s="15"/>
      <c r="O77" s="15" t="s">
        <v>711</v>
      </c>
      <c r="P77" s="15" t="s">
        <v>994</v>
      </c>
      <c r="Q77" s="15" t="s">
        <v>995</v>
      </c>
      <c r="R77" s="15" t="s">
        <v>996</v>
      </c>
      <c r="S77" s="24" t="s">
        <v>39</v>
      </c>
      <c r="T77" s="24" t="s">
        <v>39</v>
      </c>
      <c r="U77" s="24" t="s">
        <v>39</v>
      </c>
      <c r="V77" s="24" t="s">
        <v>39</v>
      </c>
      <c r="W77" s="24" t="s">
        <v>997</v>
      </c>
      <c r="X77" s="24" t="s">
        <v>998</v>
      </c>
      <c r="Y77" s="15" t="s">
        <v>999</v>
      </c>
      <c r="Z77" s="15" t="s">
        <v>1000</v>
      </c>
      <c r="AA77" s="24"/>
      <c r="AB77" s="24"/>
      <c r="AC77" s="24"/>
      <c r="AD77" s="24"/>
      <c r="AE77" s="24"/>
      <c r="AF77" s="24"/>
      <c r="AG77" s="24"/>
      <c r="AH77" s="24"/>
    </row>
    <row r="78" spans="1:34" x14ac:dyDescent="0.25">
      <c r="A78" s="24" t="str">
        <f>HYPERLINK("https://www.cpso.on.ca/DoctorDetails/Alexandra-Sharon-Heber/0049227-63205","Heber, Alexandra Sharon")</f>
        <v>Heber, Alexandra Sharon</v>
      </c>
      <c r="B78" s="25" t="s">
        <v>1001</v>
      </c>
      <c r="C78" s="24" t="s">
        <v>1002</v>
      </c>
      <c r="D78" s="24" t="s">
        <v>1003</v>
      </c>
      <c r="E78" s="24" t="s">
        <v>29</v>
      </c>
      <c r="F78" s="24" t="s">
        <v>47</v>
      </c>
      <c r="G78" s="24" t="s">
        <v>31</v>
      </c>
      <c r="H78" s="24" t="s">
        <v>1004</v>
      </c>
      <c r="I78" s="24" t="s">
        <v>1005</v>
      </c>
      <c r="J78" s="24" t="s">
        <v>1006</v>
      </c>
      <c r="K78" s="24"/>
      <c r="L78" s="24" t="s">
        <v>84</v>
      </c>
      <c r="M78" s="15"/>
      <c r="N78" s="15"/>
      <c r="O78" s="15"/>
      <c r="P78" s="15" t="s">
        <v>1007</v>
      </c>
      <c r="Q78" s="15" t="s">
        <v>1008</v>
      </c>
      <c r="R78" s="15" t="s">
        <v>1009</v>
      </c>
      <c r="S78" s="24" t="s">
        <v>39</v>
      </c>
      <c r="T78" s="24" t="s">
        <v>39</v>
      </c>
      <c r="U78" s="24" t="s">
        <v>39</v>
      </c>
      <c r="V78" s="24" t="s">
        <v>39</v>
      </c>
      <c r="W78" s="24" t="s">
        <v>1010</v>
      </c>
      <c r="X78" s="24" t="s">
        <v>1011</v>
      </c>
      <c r="Y78" s="15"/>
      <c r="Z78" s="15"/>
      <c r="AA78" s="24"/>
      <c r="AB78" s="24"/>
      <c r="AC78" s="24"/>
      <c r="AD78" s="24"/>
      <c r="AE78" s="24"/>
      <c r="AF78" s="24"/>
      <c r="AG78" s="24"/>
      <c r="AH78" s="24"/>
    </row>
    <row r="79" spans="1:34" ht="30" x14ac:dyDescent="0.25">
      <c r="A79" s="24" t="str">
        <f>HYPERLINK("https://www.cpso.on.ca/DoctorDetails/Alexandre-Garcia-Tavares/0297436-105485","Tavares, Alexandre Garcia")</f>
        <v>Tavares, Alexandre Garcia</v>
      </c>
      <c r="B79" s="25" t="s">
        <v>1012</v>
      </c>
      <c r="C79" s="24" t="s">
        <v>1013</v>
      </c>
      <c r="D79" s="24" t="s">
        <v>1014</v>
      </c>
      <c r="E79" s="24" t="s">
        <v>29</v>
      </c>
      <c r="F79" s="24" t="s">
        <v>30</v>
      </c>
      <c r="G79" s="24" t="s">
        <v>1015</v>
      </c>
      <c r="H79" s="24" t="s">
        <v>1016</v>
      </c>
      <c r="I79" s="24" t="s">
        <v>1017</v>
      </c>
      <c r="J79" s="24" t="s">
        <v>1018</v>
      </c>
      <c r="K79" s="24" t="s">
        <v>1019</v>
      </c>
      <c r="L79" s="24" t="s">
        <v>152</v>
      </c>
      <c r="M79" s="15"/>
      <c r="N79" s="15"/>
      <c r="O79" s="15"/>
      <c r="P79" s="15" t="s">
        <v>1020</v>
      </c>
      <c r="Q79" s="15"/>
      <c r="R79" s="15" t="s">
        <v>1021</v>
      </c>
      <c r="S79" s="24" t="s">
        <v>71</v>
      </c>
      <c r="T79" s="24" t="s">
        <v>39</v>
      </c>
      <c r="U79" s="24" t="s">
        <v>39</v>
      </c>
      <c r="V79" s="24" t="s">
        <v>39</v>
      </c>
      <c r="W79" s="24" t="s">
        <v>1022</v>
      </c>
      <c r="X79" s="24" t="s">
        <v>1023</v>
      </c>
      <c r="Y79" s="15" t="s">
        <v>1024</v>
      </c>
      <c r="Z79" s="15" t="s">
        <v>1025</v>
      </c>
      <c r="AA79" s="24"/>
      <c r="AB79" s="24"/>
      <c r="AC79" s="24"/>
      <c r="AD79" s="24"/>
      <c r="AE79" s="24"/>
      <c r="AF79" s="24"/>
      <c r="AG79" s="24"/>
      <c r="AH79" s="24"/>
    </row>
    <row r="80" spans="1:34" ht="90" x14ac:dyDescent="0.25">
      <c r="A80" s="24" t="str">
        <f>HYPERLINK("https://www.cpso.on.ca/DoctorDetails/Alexandru-Daniel-Costa/0042602-56580","Costa, Alexandru Daniel")</f>
        <v>Costa, Alexandru Daniel</v>
      </c>
      <c r="B80" s="25" t="s">
        <v>1026</v>
      </c>
      <c r="C80" s="24" t="s">
        <v>1027</v>
      </c>
      <c r="D80" s="24" t="s">
        <v>1028</v>
      </c>
      <c r="E80" s="24" t="s">
        <v>29</v>
      </c>
      <c r="F80" s="24" t="s">
        <v>30</v>
      </c>
      <c r="G80" s="24" t="s">
        <v>1029</v>
      </c>
      <c r="H80" s="24" t="s">
        <v>1030</v>
      </c>
      <c r="I80" s="24" t="s">
        <v>1031</v>
      </c>
      <c r="J80" s="24" t="s">
        <v>1032</v>
      </c>
      <c r="K80" s="24" t="s">
        <v>1032</v>
      </c>
      <c r="L80" s="24" t="s">
        <v>36</v>
      </c>
      <c r="M80" s="15"/>
      <c r="N80" s="15"/>
      <c r="O80" s="15"/>
      <c r="P80" s="15" t="s">
        <v>1033</v>
      </c>
      <c r="Q80" s="15"/>
      <c r="R80" s="15" t="s">
        <v>1034</v>
      </c>
      <c r="S80" s="24" t="s">
        <v>39</v>
      </c>
      <c r="T80" s="24" t="s">
        <v>39</v>
      </c>
      <c r="U80" s="24" t="s">
        <v>39</v>
      </c>
      <c r="V80" s="24" t="s">
        <v>39</v>
      </c>
      <c r="W80" s="24"/>
      <c r="X80" s="24"/>
      <c r="Y80" s="15"/>
      <c r="Z80" s="15"/>
      <c r="AA80" s="24"/>
      <c r="AB80" s="24"/>
      <c r="AC80" s="24"/>
      <c r="AD80" s="24"/>
      <c r="AE80" s="24"/>
      <c r="AF80" s="24"/>
      <c r="AG80" s="24"/>
      <c r="AH80" s="24"/>
    </row>
    <row r="81" spans="1:34" ht="90" x14ac:dyDescent="0.25">
      <c r="A81" s="24" t="str">
        <f>HYPERLINK("https://www.cpso.on.ca/DoctorDetails/Alfonso-Corona/0284151-102018","Corona, Alfonso")</f>
        <v>Corona, Alfonso</v>
      </c>
      <c r="B81" s="25" t="s">
        <v>1035</v>
      </c>
      <c r="C81" s="24" t="s">
        <v>1036</v>
      </c>
      <c r="D81" s="24" t="s">
        <v>1037</v>
      </c>
      <c r="E81" s="24" t="s">
        <v>29</v>
      </c>
      <c r="F81" s="24" t="s">
        <v>30</v>
      </c>
      <c r="G81" s="24" t="s">
        <v>115</v>
      </c>
      <c r="H81" s="24" t="s">
        <v>1038</v>
      </c>
      <c r="I81" s="24" t="s">
        <v>1039</v>
      </c>
      <c r="J81" s="24" t="s">
        <v>1040</v>
      </c>
      <c r="K81" s="24"/>
      <c r="L81" s="24" t="s">
        <v>340</v>
      </c>
      <c r="M81" s="15" t="s">
        <v>1041</v>
      </c>
      <c r="N81" s="15" t="s">
        <v>1042</v>
      </c>
      <c r="O81" s="15"/>
      <c r="P81" s="15" t="s">
        <v>1043</v>
      </c>
      <c r="Q81" s="15"/>
      <c r="R81" s="15" t="s">
        <v>1044</v>
      </c>
      <c r="S81" s="24" t="s">
        <v>71</v>
      </c>
      <c r="T81" s="24" t="s">
        <v>39</v>
      </c>
      <c r="U81" s="24" t="s">
        <v>39</v>
      </c>
      <c r="V81" s="24" t="s">
        <v>39</v>
      </c>
      <c r="W81" s="24"/>
      <c r="X81" s="24"/>
      <c r="Y81" s="15"/>
      <c r="Z81" s="15"/>
      <c r="AA81" s="24"/>
      <c r="AB81" s="24"/>
      <c r="AC81" s="24"/>
      <c r="AD81" s="24"/>
      <c r="AE81" s="24"/>
      <c r="AF81" s="24"/>
      <c r="AG81" s="24"/>
      <c r="AH81" s="24"/>
    </row>
    <row r="82" spans="1:34" x14ac:dyDescent="0.25">
      <c r="A82" s="24" t="str">
        <f>HYPERLINK("https://www.cpso.on.ca/DoctorDetails/Alfred-Irwin-Margulies/0012759-17539","Margulies, Alfred Irwin")</f>
        <v>Margulies, Alfred Irwin</v>
      </c>
      <c r="B82" s="25" t="s">
        <v>1045</v>
      </c>
      <c r="C82" s="24" t="s">
        <v>1046</v>
      </c>
      <c r="D82" s="24" t="s">
        <v>1047</v>
      </c>
      <c r="E82" s="24" t="s">
        <v>29</v>
      </c>
      <c r="F82" s="24" t="s">
        <v>30</v>
      </c>
      <c r="G82" s="24" t="s">
        <v>31</v>
      </c>
      <c r="H82" s="24" t="s">
        <v>1048</v>
      </c>
      <c r="I82" s="24" t="s">
        <v>1049</v>
      </c>
      <c r="J82" s="24" t="s">
        <v>1050</v>
      </c>
      <c r="K82" s="24" t="s">
        <v>1051</v>
      </c>
      <c r="L82" s="24" t="s">
        <v>52</v>
      </c>
      <c r="M82" s="15"/>
      <c r="N82" s="15"/>
      <c r="O82" s="15"/>
      <c r="P82" s="15" t="s">
        <v>736</v>
      </c>
      <c r="Q82" s="15"/>
      <c r="R82" s="15" t="s">
        <v>1052</v>
      </c>
      <c r="S82" s="24" t="s">
        <v>39</v>
      </c>
      <c r="T82" s="24" t="s">
        <v>39</v>
      </c>
      <c r="U82" s="24" t="s">
        <v>39</v>
      </c>
      <c r="V82" s="24" t="s">
        <v>39</v>
      </c>
      <c r="W82" s="24"/>
      <c r="X82" s="24"/>
      <c r="Y82" s="15"/>
      <c r="Z82" s="15"/>
      <c r="AA82" s="24"/>
      <c r="AB82" s="24"/>
      <c r="AC82" s="24"/>
      <c r="AD82" s="24"/>
      <c r="AE82" s="24"/>
      <c r="AF82" s="24"/>
      <c r="AG82" s="24"/>
      <c r="AH82" s="24"/>
    </row>
    <row r="83" spans="1:34" ht="105" x14ac:dyDescent="0.25">
      <c r="A83" s="24" t="str">
        <f>HYPERLINK("https://www.cpso.on.ca/DoctorDetails/Alfred-Michael-Manickam-Amaladoss/0243515-87221","Amaladoss, Alfred Michael Manickam")</f>
        <v>Amaladoss, Alfred Michael Manickam</v>
      </c>
      <c r="B83" s="25" t="s">
        <v>1053</v>
      </c>
      <c r="C83" s="24" t="s">
        <v>1054</v>
      </c>
      <c r="D83" s="24" t="s">
        <v>1055</v>
      </c>
      <c r="E83" s="24" t="s">
        <v>29</v>
      </c>
      <c r="F83" s="24" t="s">
        <v>30</v>
      </c>
      <c r="G83" s="24" t="s">
        <v>31</v>
      </c>
      <c r="H83" s="24" t="s">
        <v>1056</v>
      </c>
      <c r="I83" s="24" t="s">
        <v>1057</v>
      </c>
      <c r="J83" s="24" t="s">
        <v>1058</v>
      </c>
      <c r="K83" s="24"/>
      <c r="L83" s="24" t="s">
        <v>184</v>
      </c>
      <c r="M83" s="15" t="s">
        <v>1059</v>
      </c>
      <c r="N83" s="15"/>
      <c r="O83" s="15"/>
      <c r="P83" s="15" t="s">
        <v>1060</v>
      </c>
      <c r="Q83" s="15" t="s">
        <v>1061</v>
      </c>
      <c r="R83" s="15" t="s">
        <v>1062</v>
      </c>
      <c r="S83" s="24" t="s">
        <v>39</v>
      </c>
      <c r="T83" s="24" t="s">
        <v>39</v>
      </c>
      <c r="U83" s="24" t="s">
        <v>39</v>
      </c>
      <c r="V83" s="24" t="s">
        <v>39</v>
      </c>
      <c r="W83" s="24" t="s">
        <v>1063</v>
      </c>
      <c r="X83" s="24" t="s">
        <v>1064</v>
      </c>
      <c r="Y83" s="15" t="s">
        <v>1065</v>
      </c>
      <c r="Z83" s="15" t="s">
        <v>1066</v>
      </c>
      <c r="AA83" s="24"/>
      <c r="AB83" s="24"/>
      <c r="AC83" s="24"/>
      <c r="AD83" s="24"/>
      <c r="AE83" s="24"/>
      <c r="AF83" s="24"/>
      <c r="AG83" s="24"/>
      <c r="AH83" s="24"/>
    </row>
    <row r="84" spans="1:34" ht="105" x14ac:dyDescent="0.25">
      <c r="A84" s="24" t="str">
        <f>HYPERLINK("https://www.cpso.on.ca/DoctorDetails/Aliaksandr-Matveyev/0241848-87222","Matveyev, Aliaksandr")</f>
        <v>Matveyev, Aliaksandr</v>
      </c>
      <c r="B84" s="25" t="s">
        <v>1067</v>
      </c>
      <c r="C84" s="24" t="s">
        <v>1068</v>
      </c>
      <c r="D84" s="24" t="s">
        <v>1069</v>
      </c>
      <c r="E84" s="24" t="s">
        <v>29</v>
      </c>
      <c r="F84" s="24" t="s">
        <v>30</v>
      </c>
      <c r="G84" s="24" t="s">
        <v>31</v>
      </c>
      <c r="H84" s="24" t="s">
        <v>1070</v>
      </c>
      <c r="I84" s="24" t="s">
        <v>1071</v>
      </c>
      <c r="J84" s="24" t="s">
        <v>1072</v>
      </c>
      <c r="K84" s="24"/>
      <c r="L84" s="24" t="s">
        <v>340</v>
      </c>
      <c r="M84" s="15"/>
      <c r="N84" s="15"/>
      <c r="O84" s="15" t="s">
        <v>1073</v>
      </c>
      <c r="P84" s="15" t="s">
        <v>1074</v>
      </c>
      <c r="Q84" s="15" t="s">
        <v>1075</v>
      </c>
      <c r="R84" s="15" t="s">
        <v>1076</v>
      </c>
      <c r="S84" s="24" t="s">
        <v>39</v>
      </c>
      <c r="T84" s="24" t="s">
        <v>39</v>
      </c>
      <c r="U84" s="24" t="s">
        <v>39</v>
      </c>
      <c r="V84" s="24" t="s">
        <v>71</v>
      </c>
      <c r="W84" s="24" t="s">
        <v>1077</v>
      </c>
      <c r="X84" s="24" t="s">
        <v>1078</v>
      </c>
      <c r="Y84" s="15" t="s">
        <v>1079</v>
      </c>
      <c r="Z84" s="15" t="s">
        <v>1080</v>
      </c>
      <c r="AA84" s="24"/>
      <c r="AB84" s="24"/>
      <c r="AC84" s="24"/>
      <c r="AD84" s="24"/>
      <c r="AE84" s="24"/>
      <c r="AF84" s="24"/>
      <c r="AG84" s="24"/>
      <c r="AH84" s="24"/>
    </row>
    <row r="85" spans="1:34" ht="30" x14ac:dyDescent="0.25">
      <c r="A85" s="24" t="str">
        <f>HYPERLINK("https://www.cpso.on.ca/DoctorDetails/Alice-Elizabeth-Charach/0036413-50389","Charach, Alice Elizabeth")</f>
        <v>Charach, Alice Elizabeth</v>
      </c>
      <c r="B85" s="25" t="s">
        <v>1081</v>
      </c>
      <c r="C85" s="24" t="s">
        <v>1082</v>
      </c>
      <c r="D85" s="24" t="s">
        <v>1083</v>
      </c>
      <c r="E85" s="24" t="s">
        <v>29</v>
      </c>
      <c r="F85" s="24" t="s">
        <v>47</v>
      </c>
      <c r="G85" s="24" t="s">
        <v>31</v>
      </c>
      <c r="H85" s="24" t="s">
        <v>1084</v>
      </c>
      <c r="I85" s="24" t="s">
        <v>1085</v>
      </c>
      <c r="J85" s="24" t="s">
        <v>1086</v>
      </c>
      <c r="K85" s="24" t="s">
        <v>119</v>
      </c>
      <c r="L85" s="24" t="s">
        <v>52</v>
      </c>
      <c r="M85" s="15"/>
      <c r="N85" s="15"/>
      <c r="O85" s="15" t="s">
        <v>121</v>
      </c>
      <c r="P85" s="15" t="s">
        <v>499</v>
      </c>
      <c r="Q85" s="15"/>
      <c r="R85" s="15" t="s">
        <v>1087</v>
      </c>
      <c r="S85" s="24" t="s">
        <v>39</v>
      </c>
      <c r="T85" s="24" t="s">
        <v>39</v>
      </c>
      <c r="U85" s="24" t="s">
        <v>39</v>
      </c>
      <c r="V85" s="24" t="s">
        <v>39</v>
      </c>
      <c r="W85" s="24"/>
      <c r="X85" s="24"/>
      <c r="Y85" s="15"/>
      <c r="Z85" s="15"/>
      <c r="AA85" s="24"/>
      <c r="AB85" s="24"/>
      <c r="AC85" s="24"/>
      <c r="AD85" s="24"/>
      <c r="AE85" s="24"/>
      <c r="AF85" s="24"/>
      <c r="AG85" s="24"/>
      <c r="AH85" s="24"/>
    </row>
    <row r="86" spans="1:34" ht="30" x14ac:dyDescent="0.25">
      <c r="A86" s="24" t="str">
        <f>HYPERLINK("https://www.cpso.on.ca/DoctorDetails/Alice-Martina-Helen-Power/0042656-56634","Power, Alice Martina Helen")</f>
        <v>Power, Alice Martina Helen</v>
      </c>
      <c r="B86" s="25" t="s">
        <v>1088</v>
      </c>
      <c r="C86" s="24" t="s">
        <v>1089</v>
      </c>
      <c r="D86" s="24" t="s">
        <v>1090</v>
      </c>
      <c r="E86" s="24" t="s">
        <v>29</v>
      </c>
      <c r="F86" s="24" t="s">
        <v>47</v>
      </c>
      <c r="G86" s="24" t="s">
        <v>31</v>
      </c>
      <c r="H86" s="24" t="s">
        <v>1091</v>
      </c>
      <c r="I86" s="24" t="s">
        <v>1092</v>
      </c>
      <c r="J86" s="24" t="s">
        <v>1093</v>
      </c>
      <c r="K86" s="24"/>
      <c r="L86" s="24" t="s">
        <v>52</v>
      </c>
      <c r="M86" s="15"/>
      <c r="N86" s="15"/>
      <c r="O86" s="15"/>
      <c r="P86" s="15" t="s">
        <v>1094</v>
      </c>
      <c r="Q86" s="15"/>
      <c r="R86" s="15" t="s">
        <v>1095</v>
      </c>
      <c r="S86" s="24" t="s">
        <v>39</v>
      </c>
      <c r="T86" s="24" t="s">
        <v>39</v>
      </c>
      <c r="U86" s="24" t="s">
        <v>39</v>
      </c>
      <c r="V86" s="24" t="s">
        <v>39</v>
      </c>
      <c r="W86" s="24" t="s">
        <v>1096</v>
      </c>
      <c r="X86" s="24" t="s">
        <v>1097</v>
      </c>
      <c r="Y86" s="15" t="s">
        <v>1098</v>
      </c>
      <c r="Z86" s="15" t="s">
        <v>1099</v>
      </c>
      <c r="AA86" s="24"/>
      <c r="AB86" s="24"/>
      <c r="AC86" s="24"/>
      <c r="AD86" s="24"/>
      <c r="AE86" s="24"/>
      <c r="AF86" s="24"/>
      <c r="AG86" s="24"/>
      <c r="AH86" s="24"/>
    </row>
    <row r="87" spans="1:34" ht="105" x14ac:dyDescent="0.25">
      <c r="A87" s="24" t="str">
        <f>HYPERLINK("https://www.cpso.on.ca/DoctorDetails/Alicia-Debra-Donald/0289025-101532","Donald, Alicia Debra")</f>
        <v>Donald, Alicia Debra</v>
      </c>
      <c r="B87" s="25" t="s">
        <v>1100</v>
      </c>
      <c r="C87" s="24" t="s">
        <v>199</v>
      </c>
      <c r="D87" s="24" t="s">
        <v>200</v>
      </c>
      <c r="E87" s="24" t="s">
        <v>29</v>
      </c>
      <c r="F87" s="24" t="s">
        <v>47</v>
      </c>
      <c r="G87" s="24" t="s">
        <v>31</v>
      </c>
      <c r="H87" s="24" t="s">
        <v>1101</v>
      </c>
      <c r="I87" s="24" t="s">
        <v>107</v>
      </c>
      <c r="J87" s="24"/>
      <c r="K87" s="24"/>
      <c r="L87" s="24"/>
      <c r="M87" s="15"/>
      <c r="N87" s="15"/>
      <c r="O87" s="15"/>
      <c r="P87" s="15" t="s">
        <v>205</v>
      </c>
      <c r="Q87" s="15" t="s">
        <v>1102</v>
      </c>
      <c r="R87" s="15" t="s">
        <v>1103</v>
      </c>
      <c r="S87" s="24" t="s">
        <v>39</v>
      </c>
      <c r="T87" s="24" t="s">
        <v>39</v>
      </c>
      <c r="U87" s="24" t="s">
        <v>39</v>
      </c>
      <c r="V87" s="24" t="s">
        <v>39</v>
      </c>
      <c r="W87" s="24"/>
      <c r="X87" s="24"/>
      <c r="Y87" s="15"/>
      <c r="Z87" s="15"/>
      <c r="AA87" s="24"/>
      <c r="AB87" s="24"/>
      <c r="AC87" s="24"/>
      <c r="AD87" s="24"/>
      <c r="AE87" s="24"/>
      <c r="AF87" s="24"/>
      <c r="AG87" s="24"/>
      <c r="AH87" s="24"/>
    </row>
    <row r="88" spans="1:34" ht="90" x14ac:dyDescent="0.25">
      <c r="A88" s="24" t="str">
        <f>HYPERLINK("https://www.cpso.on.ca/DoctorDetails/Alicja-Dorota-Fishell/0116902-70325","Fishell, Alicja Dorota")</f>
        <v>Fishell, Alicja Dorota</v>
      </c>
      <c r="B88" s="25" t="s">
        <v>1104</v>
      </c>
      <c r="C88" s="24" t="s">
        <v>1105</v>
      </c>
      <c r="D88" s="24" t="s">
        <v>1106</v>
      </c>
      <c r="E88" s="24" t="s">
        <v>29</v>
      </c>
      <c r="F88" s="24" t="s">
        <v>47</v>
      </c>
      <c r="G88" s="24" t="s">
        <v>31</v>
      </c>
      <c r="H88" s="24" t="s">
        <v>1107</v>
      </c>
      <c r="I88" s="24" t="s">
        <v>1108</v>
      </c>
      <c r="J88" s="24" t="s">
        <v>50</v>
      </c>
      <c r="K88" s="24" t="s">
        <v>51</v>
      </c>
      <c r="L88" s="24" t="s">
        <v>52</v>
      </c>
      <c r="M88" s="15" t="s">
        <v>1109</v>
      </c>
      <c r="N88" s="15"/>
      <c r="O88" s="15" t="s">
        <v>1110</v>
      </c>
      <c r="P88" s="15" t="s">
        <v>1111</v>
      </c>
      <c r="Q88" s="15" t="s">
        <v>1112</v>
      </c>
      <c r="R88" s="15" t="s">
        <v>1113</v>
      </c>
      <c r="S88" s="24" t="s">
        <v>39</v>
      </c>
      <c r="T88" s="24" t="s">
        <v>39</v>
      </c>
      <c r="U88" s="24" t="s">
        <v>39</v>
      </c>
      <c r="V88" s="24" t="s">
        <v>39</v>
      </c>
      <c r="W88" s="24"/>
      <c r="X88" s="24"/>
      <c r="Y88" s="15"/>
      <c r="Z88" s="15"/>
      <c r="AA88" s="24"/>
      <c r="AB88" s="24"/>
      <c r="AC88" s="24"/>
      <c r="AD88" s="24"/>
      <c r="AE88" s="24"/>
      <c r="AF88" s="24"/>
      <c r="AG88" s="24"/>
      <c r="AH88" s="24"/>
    </row>
    <row r="89" spans="1:34" ht="90" x14ac:dyDescent="0.25">
      <c r="A89" s="24" t="str">
        <f>HYPERLINK("https://www.cpso.on.ca/DoctorDetails/Alina-Marin/0241599-86616","Marin, Alina")</f>
        <v>Marin, Alina</v>
      </c>
      <c r="B89" s="25" t="s">
        <v>1114</v>
      </c>
      <c r="C89" s="24" t="s">
        <v>1115</v>
      </c>
      <c r="D89" s="24" t="s">
        <v>1116</v>
      </c>
      <c r="E89" s="24" t="s">
        <v>29</v>
      </c>
      <c r="F89" s="24" t="s">
        <v>47</v>
      </c>
      <c r="G89" s="24" t="s">
        <v>1117</v>
      </c>
      <c r="H89" s="24" t="s">
        <v>1118</v>
      </c>
      <c r="I89" s="24" t="s">
        <v>1119</v>
      </c>
      <c r="J89" s="24" t="s">
        <v>1120</v>
      </c>
      <c r="K89" s="24" t="s">
        <v>1121</v>
      </c>
      <c r="L89" s="24" t="s">
        <v>340</v>
      </c>
      <c r="M89" s="15"/>
      <c r="N89" s="15"/>
      <c r="O89" s="15" t="s">
        <v>1122</v>
      </c>
      <c r="P89" s="15" t="s">
        <v>1123</v>
      </c>
      <c r="Q89" s="15"/>
      <c r="R89" s="15" t="s">
        <v>1124</v>
      </c>
      <c r="S89" s="24" t="s">
        <v>71</v>
      </c>
      <c r="T89" s="24" t="s">
        <v>39</v>
      </c>
      <c r="U89" s="24" t="s">
        <v>39</v>
      </c>
      <c r="V89" s="24" t="s">
        <v>39</v>
      </c>
      <c r="W89" s="24" t="s">
        <v>1125</v>
      </c>
      <c r="X89" s="24" t="s">
        <v>1126</v>
      </c>
      <c r="Y89" s="15" t="s">
        <v>1127</v>
      </c>
      <c r="Z89" s="15" t="s">
        <v>1128</v>
      </c>
      <c r="AA89" s="24"/>
      <c r="AB89" s="24"/>
      <c r="AC89" s="24"/>
      <c r="AD89" s="24"/>
      <c r="AE89" s="24"/>
      <c r="AF89" s="24"/>
      <c r="AG89" s="24"/>
      <c r="AH89" s="24"/>
    </row>
    <row r="90" spans="1:34" ht="120" x14ac:dyDescent="0.25">
      <c r="A90" s="24" t="str">
        <f>HYPERLINK("https://www.cpso.on.ca/DoctorDetails/Alina-Ramona-Brotea/0181519-76079","Brotea, Alina Ramona")</f>
        <v>Brotea, Alina Ramona</v>
      </c>
      <c r="B90" s="25" t="s">
        <v>1129</v>
      </c>
      <c r="C90" s="24" t="s">
        <v>1130</v>
      </c>
      <c r="D90" s="24" t="s">
        <v>1131</v>
      </c>
      <c r="E90" s="24" t="s">
        <v>29</v>
      </c>
      <c r="F90" s="24" t="s">
        <v>47</v>
      </c>
      <c r="G90" s="24" t="s">
        <v>31</v>
      </c>
      <c r="H90" s="24" t="s">
        <v>1132</v>
      </c>
      <c r="I90" s="24" t="s">
        <v>1133</v>
      </c>
      <c r="J90" s="24" t="s">
        <v>1134</v>
      </c>
      <c r="K90" s="24" t="s">
        <v>725</v>
      </c>
      <c r="L90" s="24" t="s">
        <v>184</v>
      </c>
      <c r="M90" s="15"/>
      <c r="N90" s="15"/>
      <c r="O90" s="15" t="s">
        <v>1135</v>
      </c>
      <c r="P90" s="15" t="s">
        <v>1136</v>
      </c>
      <c r="Q90" s="15" t="s">
        <v>1137</v>
      </c>
      <c r="R90" s="15" t="s">
        <v>1138</v>
      </c>
      <c r="S90" s="24" t="s">
        <v>39</v>
      </c>
      <c r="T90" s="24" t="s">
        <v>39</v>
      </c>
      <c r="U90" s="24" t="s">
        <v>39</v>
      </c>
      <c r="V90" s="24" t="s">
        <v>39</v>
      </c>
      <c r="W90" s="24" t="s">
        <v>1139</v>
      </c>
      <c r="X90" s="24" t="s">
        <v>1140</v>
      </c>
      <c r="Y90" s="15" t="s">
        <v>1141</v>
      </c>
      <c r="Z90" s="15" t="s">
        <v>1142</v>
      </c>
      <c r="AA90" s="24"/>
      <c r="AB90" s="24"/>
      <c r="AC90" s="24"/>
      <c r="AD90" s="24"/>
      <c r="AE90" s="24"/>
      <c r="AF90" s="24"/>
      <c r="AG90" s="24"/>
      <c r="AH90" s="24"/>
    </row>
    <row r="91" spans="1:34" ht="105" x14ac:dyDescent="0.25">
      <c r="A91" s="24" t="str">
        <f>HYPERLINK("https://www.cpso.on.ca/DoctorDetails/Alina-Rodica-Iosif/0183767-76667","Iosif, Alina Rodica")</f>
        <v>Iosif, Alina Rodica</v>
      </c>
      <c r="B91" s="25" t="s">
        <v>1143</v>
      </c>
      <c r="C91" s="24" t="s">
        <v>1144</v>
      </c>
      <c r="D91" s="24" t="s">
        <v>1145</v>
      </c>
      <c r="E91" s="24" t="s">
        <v>29</v>
      </c>
      <c r="F91" s="24" t="s">
        <v>47</v>
      </c>
      <c r="G91" s="24" t="s">
        <v>31</v>
      </c>
      <c r="H91" s="24" t="s">
        <v>1146</v>
      </c>
      <c r="I91" s="24" t="s">
        <v>1147</v>
      </c>
      <c r="J91" s="24" t="s">
        <v>1148</v>
      </c>
      <c r="K91" s="24"/>
      <c r="L91" s="24" t="s">
        <v>52</v>
      </c>
      <c r="M91" s="15"/>
      <c r="N91" s="15"/>
      <c r="O91" s="15" t="s">
        <v>842</v>
      </c>
      <c r="P91" s="15" t="s">
        <v>1149</v>
      </c>
      <c r="Q91" s="15" t="s">
        <v>1150</v>
      </c>
      <c r="R91" s="15" t="s">
        <v>1151</v>
      </c>
      <c r="S91" s="24" t="s">
        <v>39</v>
      </c>
      <c r="T91" s="24" t="s">
        <v>39</v>
      </c>
      <c r="U91" s="24" t="s">
        <v>39</v>
      </c>
      <c r="V91" s="24" t="s">
        <v>39</v>
      </c>
      <c r="W91" s="24" t="s">
        <v>1152</v>
      </c>
      <c r="X91" s="24" t="s">
        <v>1153</v>
      </c>
      <c r="Y91" s="15" t="s">
        <v>1154</v>
      </c>
      <c r="Z91" s="15" t="s">
        <v>1155</v>
      </c>
      <c r="AA91" s="24"/>
      <c r="AB91" s="24"/>
      <c r="AC91" s="24"/>
      <c r="AD91" s="24"/>
      <c r="AE91" s="24"/>
      <c r="AF91" s="24"/>
      <c r="AG91" s="24"/>
      <c r="AH91" s="24"/>
    </row>
    <row r="92" spans="1:34" ht="45" x14ac:dyDescent="0.25">
      <c r="A92" s="24" t="str">
        <f>HYPERLINK("https://www.cpso.on.ca/DoctorDetails/Alison-Diana-Freeland/0048028-62006","Freeland, Alison Diana")</f>
        <v>Freeland, Alison Diana</v>
      </c>
      <c r="B92" s="25" t="s">
        <v>1156</v>
      </c>
      <c r="C92" s="24" t="s">
        <v>1157</v>
      </c>
      <c r="D92" s="24" t="s">
        <v>1158</v>
      </c>
      <c r="E92" s="24" t="s">
        <v>29</v>
      </c>
      <c r="F92" s="24" t="s">
        <v>47</v>
      </c>
      <c r="G92" s="24" t="s">
        <v>31</v>
      </c>
      <c r="H92" s="24" t="s">
        <v>1159</v>
      </c>
      <c r="I92" s="24" t="s">
        <v>1160</v>
      </c>
      <c r="J92" s="24" t="s">
        <v>1161</v>
      </c>
      <c r="K92" s="24"/>
      <c r="L92" s="24" t="s">
        <v>36</v>
      </c>
      <c r="M92" s="15"/>
      <c r="N92" s="15"/>
      <c r="O92" s="15" t="s">
        <v>1162</v>
      </c>
      <c r="P92" s="15" t="s">
        <v>1007</v>
      </c>
      <c r="Q92" s="15" t="s">
        <v>1163</v>
      </c>
      <c r="R92" s="15" t="s">
        <v>1164</v>
      </c>
      <c r="S92" s="24" t="s">
        <v>39</v>
      </c>
      <c r="T92" s="24" t="s">
        <v>39</v>
      </c>
      <c r="U92" s="24" t="s">
        <v>39</v>
      </c>
      <c r="V92" s="24" t="s">
        <v>39</v>
      </c>
      <c r="W92" s="24" t="s">
        <v>1165</v>
      </c>
      <c r="X92" s="24" t="s">
        <v>1166</v>
      </c>
      <c r="Y92" s="15" t="s">
        <v>1167</v>
      </c>
      <c r="Z92" s="15" t="s">
        <v>1168</v>
      </c>
      <c r="AA92" s="24"/>
      <c r="AB92" s="24"/>
      <c r="AC92" s="24"/>
      <c r="AD92" s="24"/>
      <c r="AE92" s="24"/>
      <c r="AF92" s="24"/>
      <c r="AG92" s="24"/>
      <c r="AH92" s="24"/>
    </row>
    <row r="93" spans="1:34" ht="75" x14ac:dyDescent="0.25">
      <c r="A93" s="24" t="str">
        <f>HYPERLINK("https://www.cpso.on.ca/DoctorDetails/Aliza-Tsira-Israel/0210626-81019","Israel, Aliza Tsira")</f>
        <v>Israel, Aliza Tsira</v>
      </c>
      <c r="B93" s="25" t="s">
        <v>1169</v>
      </c>
      <c r="C93" s="24" t="s">
        <v>45</v>
      </c>
      <c r="D93" s="24" t="s">
        <v>46</v>
      </c>
      <c r="E93" s="24" t="s">
        <v>29</v>
      </c>
      <c r="F93" s="24" t="s">
        <v>47</v>
      </c>
      <c r="G93" s="24" t="s">
        <v>31</v>
      </c>
      <c r="H93" s="24" t="s">
        <v>1170</v>
      </c>
      <c r="I93" s="24" t="s">
        <v>1171</v>
      </c>
      <c r="J93" s="24" t="s">
        <v>50</v>
      </c>
      <c r="K93" s="24"/>
      <c r="L93" s="24" t="s">
        <v>52</v>
      </c>
      <c r="M93" s="15"/>
      <c r="N93" s="15"/>
      <c r="O93" s="15" t="s">
        <v>1110</v>
      </c>
      <c r="P93" s="15" t="s">
        <v>1172</v>
      </c>
      <c r="Q93" s="15" t="s">
        <v>56</v>
      </c>
      <c r="R93" s="15" t="s">
        <v>57</v>
      </c>
      <c r="S93" s="24" t="s">
        <v>39</v>
      </c>
      <c r="T93" s="24" t="s">
        <v>39</v>
      </c>
      <c r="U93" s="24" t="s">
        <v>39</v>
      </c>
      <c r="V93" s="24" t="s">
        <v>39</v>
      </c>
      <c r="W93" s="24"/>
      <c r="X93" s="24"/>
      <c r="Y93" s="15"/>
      <c r="Z93" s="15"/>
      <c r="AA93" s="24"/>
      <c r="AB93" s="24"/>
      <c r="AC93" s="24"/>
      <c r="AD93" s="24"/>
      <c r="AE93" s="24"/>
      <c r="AF93" s="24"/>
      <c r="AG93" s="24"/>
      <c r="AH93" s="24"/>
    </row>
    <row r="94" spans="1:34" x14ac:dyDescent="0.25">
      <c r="A94" s="24" t="str">
        <f>HYPERLINK("https://www.cpso.on.ca/DoctorDetails/Allan-Bernard-Steingart/0028807-33630","Steingart, Allan Bernard")</f>
        <v>Steingart, Allan Bernard</v>
      </c>
      <c r="B94" s="25" t="s">
        <v>1173</v>
      </c>
      <c r="C94" s="24" t="s">
        <v>1174</v>
      </c>
      <c r="D94" s="24" t="s">
        <v>1175</v>
      </c>
      <c r="E94" s="24" t="s">
        <v>29</v>
      </c>
      <c r="F94" s="24" t="s">
        <v>30</v>
      </c>
      <c r="G94" s="24" t="s">
        <v>31</v>
      </c>
      <c r="H94" s="24" t="s">
        <v>1176</v>
      </c>
      <c r="I94" s="24" t="s">
        <v>1177</v>
      </c>
      <c r="J94" s="24" t="s">
        <v>1178</v>
      </c>
      <c r="K94" s="24" t="s">
        <v>1178</v>
      </c>
      <c r="L94" s="24" t="s">
        <v>52</v>
      </c>
      <c r="M94" s="15"/>
      <c r="N94" s="15"/>
      <c r="O94" s="15"/>
      <c r="P94" s="15" t="s">
        <v>122</v>
      </c>
      <c r="Q94" s="15"/>
      <c r="R94" s="15" t="s">
        <v>1179</v>
      </c>
      <c r="S94" s="24" t="s">
        <v>39</v>
      </c>
      <c r="T94" s="24" t="s">
        <v>39</v>
      </c>
      <c r="U94" s="24" t="s">
        <v>39</v>
      </c>
      <c r="V94" s="24" t="s">
        <v>39</v>
      </c>
      <c r="W94" s="24" t="s">
        <v>1180</v>
      </c>
      <c r="X94" s="24" t="s">
        <v>1181</v>
      </c>
      <c r="Y94" s="15" t="s">
        <v>1182</v>
      </c>
      <c r="Z94" s="15" t="s">
        <v>1183</v>
      </c>
      <c r="AA94" s="24"/>
      <c r="AB94" s="24"/>
      <c r="AC94" s="24"/>
      <c r="AD94" s="24"/>
      <c r="AE94" s="24"/>
      <c r="AF94" s="24"/>
      <c r="AG94" s="24"/>
      <c r="AH94" s="24"/>
    </row>
    <row r="95" spans="1:34" ht="30" x14ac:dyDescent="0.25">
      <c r="A95" s="24" t="str">
        <f>HYPERLINK("https://www.cpso.on.ca/DoctorDetails/Allan-Bruce-Rosenbluth/0027624-32447","Rosenbluth, Allan Bruce")</f>
        <v>Rosenbluth, Allan Bruce</v>
      </c>
      <c r="B95" s="25" t="s">
        <v>1184</v>
      </c>
      <c r="C95" s="24" t="s">
        <v>1185</v>
      </c>
      <c r="D95" s="24" t="s">
        <v>1186</v>
      </c>
      <c r="E95" s="24" t="s">
        <v>29</v>
      </c>
      <c r="F95" s="24" t="s">
        <v>30</v>
      </c>
      <c r="G95" s="24" t="s">
        <v>31</v>
      </c>
      <c r="H95" s="24" t="s">
        <v>1187</v>
      </c>
      <c r="I95" s="24" t="s">
        <v>1188</v>
      </c>
      <c r="J95" s="24" t="s">
        <v>1189</v>
      </c>
      <c r="K95" s="24" t="s">
        <v>1190</v>
      </c>
      <c r="L95" s="24" t="s">
        <v>52</v>
      </c>
      <c r="M95" s="15"/>
      <c r="N95" s="15"/>
      <c r="O95" s="15" t="s">
        <v>1191</v>
      </c>
      <c r="P95" s="15" t="s">
        <v>1192</v>
      </c>
      <c r="Q95" s="15"/>
      <c r="R95" s="15" t="s">
        <v>1193</v>
      </c>
      <c r="S95" s="24" t="s">
        <v>39</v>
      </c>
      <c r="T95" s="24" t="s">
        <v>39</v>
      </c>
      <c r="U95" s="24" t="s">
        <v>39</v>
      </c>
      <c r="V95" s="24" t="s">
        <v>39</v>
      </c>
      <c r="W95" s="24"/>
      <c r="X95" s="24"/>
      <c r="Y95" s="15"/>
      <c r="Z95" s="15"/>
      <c r="AA95" s="24"/>
      <c r="AB95" s="24"/>
      <c r="AC95" s="24"/>
      <c r="AD95" s="24"/>
      <c r="AE95" s="24"/>
      <c r="AF95" s="24"/>
      <c r="AG95" s="24"/>
      <c r="AH95" s="24"/>
    </row>
    <row r="96" spans="1:34" ht="30" x14ac:dyDescent="0.25">
      <c r="A96" s="24" t="str">
        <f>HYPERLINK("https://www.cpso.on.ca/DoctorDetails/Allan-David-Peterkin/0047747-61725","Peterkin, Allan David")</f>
        <v>Peterkin, Allan David</v>
      </c>
      <c r="B96" s="25" t="s">
        <v>1194</v>
      </c>
      <c r="C96" s="24" t="s">
        <v>1195</v>
      </c>
      <c r="D96" s="24" t="s">
        <v>1196</v>
      </c>
      <c r="E96" s="24" t="s">
        <v>29</v>
      </c>
      <c r="F96" s="24" t="s">
        <v>30</v>
      </c>
      <c r="G96" s="24" t="s">
        <v>813</v>
      </c>
      <c r="H96" s="24" t="s">
        <v>1197</v>
      </c>
      <c r="I96" s="24" t="s">
        <v>1198</v>
      </c>
      <c r="J96" s="24" t="s">
        <v>1199</v>
      </c>
      <c r="K96" s="24" t="s">
        <v>1200</v>
      </c>
      <c r="L96" s="24" t="s">
        <v>52</v>
      </c>
      <c r="M96" s="15"/>
      <c r="N96" s="15"/>
      <c r="O96" s="15" t="s">
        <v>1201</v>
      </c>
      <c r="P96" s="15" t="s">
        <v>1202</v>
      </c>
      <c r="Q96" s="15"/>
      <c r="R96" s="15" t="s">
        <v>1203</v>
      </c>
      <c r="S96" s="24" t="s">
        <v>39</v>
      </c>
      <c r="T96" s="24" t="s">
        <v>39</v>
      </c>
      <c r="U96" s="24" t="s">
        <v>39</v>
      </c>
      <c r="V96" s="24" t="s">
        <v>39</v>
      </c>
      <c r="W96" s="24"/>
      <c r="X96" s="24"/>
      <c r="Y96" s="15"/>
      <c r="Z96" s="15"/>
      <c r="AA96" s="24"/>
      <c r="AB96" s="24"/>
      <c r="AC96" s="24"/>
      <c r="AD96" s="24"/>
      <c r="AE96" s="24"/>
      <c r="AF96" s="24"/>
      <c r="AG96" s="24"/>
      <c r="AH96" s="24"/>
    </row>
    <row r="97" spans="1:34" ht="30" x14ac:dyDescent="0.25">
      <c r="A97" s="24" t="str">
        <f>HYPERLINK("https://www.cpso.on.ca/DoctorDetails/Allan-Gary-Swayze/0014598-19381","Swayze, Allan Gary")</f>
        <v>Swayze, Allan Gary</v>
      </c>
      <c r="B97" s="25" t="s">
        <v>1204</v>
      </c>
      <c r="C97" s="24" t="s">
        <v>1205</v>
      </c>
      <c r="D97" s="24" t="s">
        <v>1206</v>
      </c>
      <c r="E97" s="24" t="s">
        <v>29</v>
      </c>
      <c r="F97" s="24" t="s">
        <v>30</v>
      </c>
      <c r="G97" s="24" t="s">
        <v>31</v>
      </c>
      <c r="H97" s="24" t="s">
        <v>1207</v>
      </c>
      <c r="I97" s="24" t="s">
        <v>1208</v>
      </c>
      <c r="J97" s="24" t="s">
        <v>1209</v>
      </c>
      <c r="K97" s="24" t="s">
        <v>1210</v>
      </c>
      <c r="L97" s="24" t="s">
        <v>52</v>
      </c>
      <c r="M97" s="15"/>
      <c r="N97" s="15"/>
      <c r="O97" s="15"/>
      <c r="P97" s="15" t="s">
        <v>1211</v>
      </c>
      <c r="Q97" s="15"/>
      <c r="R97" s="15" t="s">
        <v>1212</v>
      </c>
      <c r="S97" s="24" t="s">
        <v>39</v>
      </c>
      <c r="T97" s="24" t="s">
        <v>39</v>
      </c>
      <c r="U97" s="24" t="s">
        <v>39</v>
      </c>
      <c r="V97" s="24" t="s">
        <v>39</v>
      </c>
      <c r="W97" s="24"/>
      <c r="X97" s="24"/>
      <c r="Y97" s="15"/>
      <c r="Z97" s="15"/>
      <c r="AA97" s="24"/>
      <c r="AB97" s="24"/>
      <c r="AC97" s="24"/>
      <c r="AD97" s="24"/>
      <c r="AE97" s="24"/>
      <c r="AF97" s="24"/>
      <c r="AG97" s="24"/>
      <c r="AH97" s="24"/>
    </row>
    <row r="98" spans="1:34" ht="30" x14ac:dyDescent="0.25">
      <c r="A98" s="24" t="str">
        <f>HYPERLINK("https://www.cpso.on.ca/DoctorDetails/Allan-Saul-Kaplan/0025922-30745","Kaplan, Allan Saul")</f>
        <v>Kaplan, Allan Saul</v>
      </c>
      <c r="B98" s="25" t="s">
        <v>1213</v>
      </c>
      <c r="C98" s="24" t="s">
        <v>1214</v>
      </c>
      <c r="D98" s="24" t="s">
        <v>1215</v>
      </c>
      <c r="E98" s="24" t="s">
        <v>29</v>
      </c>
      <c r="F98" s="24" t="s">
        <v>30</v>
      </c>
      <c r="G98" s="24" t="s">
        <v>31</v>
      </c>
      <c r="H98" s="24" t="s">
        <v>1216</v>
      </c>
      <c r="I98" s="24" t="s">
        <v>1217</v>
      </c>
      <c r="J98" s="24" t="s">
        <v>1218</v>
      </c>
      <c r="K98" s="24" t="s">
        <v>1219</v>
      </c>
      <c r="L98" s="24" t="s">
        <v>52</v>
      </c>
      <c r="M98" s="15"/>
      <c r="N98" s="15"/>
      <c r="O98" s="15" t="s">
        <v>793</v>
      </c>
      <c r="P98" s="15" t="s">
        <v>316</v>
      </c>
      <c r="Q98" s="15"/>
      <c r="R98" s="15" t="s">
        <v>1220</v>
      </c>
      <c r="S98" s="24" t="s">
        <v>39</v>
      </c>
      <c r="T98" s="24" t="s">
        <v>39</v>
      </c>
      <c r="U98" s="24" t="s">
        <v>39</v>
      </c>
      <c r="V98" s="24" t="s">
        <v>39</v>
      </c>
      <c r="W98" s="24"/>
      <c r="X98" s="24"/>
      <c r="Y98" s="15"/>
      <c r="Z98" s="15"/>
      <c r="AA98" s="24"/>
      <c r="AB98" s="24"/>
      <c r="AC98" s="24"/>
      <c r="AD98" s="24"/>
      <c r="AE98" s="24"/>
      <c r="AF98" s="24"/>
      <c r="AG98" s="24"/>
      <c r="AH98" s="24"/>
    </row>
    <row r="99" spans="1:34" x14ac:dyDescent="0.25">
      <c r="A99" s="24" t="str">
        <f>HYPERLINK("https://www.cpso.on.ca/DoctorDetails/Allen-Brian-Berkal/0043678-57656","Berkal, Allen Brian")</f>
        <v>Berkal, Allen Brian</v>
      </c>
      <c r="B99" s="25" t="s">
        <v>1221</v>
      </c>
      <c r="C99" s="24" t="s">
        <v>1222</v>
      </c>
      <c r="D99" s="24" t="s">
        <v>114</v>
      </c>
      <c r="E99" s="24" t="s">
        <v>29</v>
      </c>
      <c r="F99" s="24" t="s">
        <v>30</v>
      </c>
      <c r="G99" s="24" t="s">
        <v>31</v>
      </c>
      <c r="H99" s="24" t="s">
        <v>1223</v>
      </c>
      <c r="I99" s="24" t="s">
        <v>1224</v>
      </c>
      <c r="J99" s="24" t="s">
        <v>1225</v>
      </c>
      <c r="K99" s="24" t="s">
        <v>1226</v>
      </c>
      <c r="L99" s="24" t="s">
        <v>52</v>
      </c>
      <c r="M99" s="15"/>
      <c r="N99" s="15"/>
      <c r="O99" s="15"/>
      <c r="P99" s="15" t="s">
        <v>1227</v>
      </c>
      <c r="Q99" s="15"/>
      <c r="R99" s="15" t="s">
        <v>1228</v>
      </c>
      <c r="S99" s="24" t="s">
        <v>39</v>
      </c>
      <c r="T99" s="24" t="s">
        <v>39</v>
      </c>
      <c r="U99" s="24" t="s">
        <v>39</v>
      </c>
      <c r="V99" s="24" t="s">
        <v>39</v>
      </c>
      <c r="W99" s="24" t="s">
        <v>1229</v>
      </c>
      <c r="X99" s="24" t="s">
        <v>1230</v>
      </c>
      <c r="Y99" s="15" t="s">
        <v>1231</v>
      </c>
      <c r="Z99" s="15" t="s">
        <v>1232</v>
      </c>
      <c r="AA99" s="24"/>
      <c r="AB99" s="24"/>
      <c r="AC99" s="24"/>
      <c r="AD99" s="24"/>
      <c r="AE99" s="24"/>
      <c r="AF99" s="24"/>
      <c r="AG99" s="24"/>
      <c r="AH99" s="24"/>
    </row>
    <row r="100" spans="1:34" ht="90" x14ac:dyDescent="0.25">
      <c r="A100" s="24" t="str">
        <f>HYPERLINK("https://www.cpso.on.ca/DoctorDetails/Allison-Mary-Jane-Crawford/0158922-73847","Crawford, Allison Mary Jane")</f>
        <v>Crawford, Allison Mary Jane</v>
      </c>
      <c r="B100" s="25" t="s">
        <v>1233</v>
      </c>
      <c r="C100" s="24" t="s">
        <v>280</v>
      </c>
      <c r="D100" s="24" t="s">
        <v>1234</v>
      </c>
      <c r="E100" s="24" t="s">
        <v>29</v>
      </c>
      <c r="F100" s="24" t="s">
        <v>47</v>
      </c>
      <c r="G100" s="24" t="s">
        <v>31</v>
      </c>
      <c r="H100" s="24" t="s">
        <v>1235</v>
      </c>
      <c r="I100" s="24" t="s">
        <v>1236</v>
      </c>
      <c r="J100" s="24" t="s">
        <v>1237</v>
      </c>
      <c r="K100" s="24" t="s">
        <v>1238</v>
      </c>
      <c r="L100" s="24" t="s">
        <v>52</v>
      </c>
      <c r="M100" s="15"/>
      <c r="N100" s="15" t="s">
        <v>342</v>
      </c>
      <c r="O100" s="15" t="s">
        <v>438</v>
      </c>
      <c r="P100" s="15" t="s">
        <v>1239</v>
      </c>
      <c r="Q100" s="15" t="s">
        <v>1240</v>
      </c>
      <c r="R100" s="15" t="s">
        <v>1241</v>
      </c>
      <c r="S100" s="24" t="s">
        <v>39</v>
      </c>
      <c r="T100" s="24" t="s">
        <v>39</v>
      </c>
      <c r="U100" s="24" t="s">
        <v>39</v>
      </c>
      <c r="V100" s="24" t="s">
        <v>39</v>
      </c>
      <c r="W100" s="24"/>
      <c r="X100" s="24"/>
      <c r="Y100" s="15"/>
      <c r="Z100" s="15"/>
      <c r="AA100" s="24"/>
      <c r="AB100" s="24"/>
      <c r="AC100" s="24"/>
      <c r="AD100" s="24"/>
      <c r="AE100" s="24"/>
      <c r="AF100" s="24"/>
      <c r="AG100" s="24"/>
      <c r="AH100" s="24"/>
    </row>
    <row r="101" spans="1:34" ht="45" x14ac:dyDescent="0.25">
      <c r="A101" s="24" t="str">
        <f>HYPERLINK("https://www.cpso.on.ca/DoctorDetails/Alphie-Pallen/0167151-74382","Pallen, Alphie")</f>
        <v>Pallen, Alphie</v>
      </c>
      <c r="B101" s="25" t="s">
        <v>1242</v>
      </c>
      <c r="C101" s="24" t="s">
        <v>1243</v>
      </c>
      <c r="D101" s="24" t="s">
        <v>1244</v>
      </c>
      <c r="E101" s="24" t="s">
        <v>29</v>
      </c>
      <c r="F101" s="24" t="s">
        <v>30</v>
      </c>
      <c r="G101" s="24" t="s">
        <v>1245</v>
      </c>
      <c r="H101" s="24" t="s">
        <v>1246</v>
      </c>
      <c r="I101" s="24" t="s">
        <v>1247</v>
      </c>
      <c r="J101" s="24" t="s">
        <v>1248</v>
      </c>
      <c r="K101" s="24" t="s">
        <v>1249</v>
      </c>
      <c r="L101" s="24" t="s">
        <v>184</v>
      </c>
      <c r="M101" s="15"/>
      <c r="N101" s="15"/>
      <c r="O101" s="15" t="s">
        <v>1250</v>
      </c>
      <c r="P101" s="15" t="s">
        <v>1251</v>
      </c>
      <c r="Q101" s="15"/>
      <c r="R101" s="15" t="s">
        <v>1252</v>
      </c>
      <c r="S101" s="24" t="s">
        <v>39</v>
      </c>
      <c r="T101" s="24" t="s">
        <v>39</v>
      </c>
      <c r="U101" s="24" t="s">
        <v>39</v>
      </c>
      <c r="V101" s="24" t="s">
        <v>39</v>
      </c>
      <c r="W101" s="24" t="s">
        <v>1253</v>
      </c>
      <c r="X101" s="24" t="s">
        <v>1254</v>
      </c>
      <c r="Y101" s="15" t="s">
        <v>1255</v>
      </c>
      <c r="Z101" s="15" t="s">
        <v>1256</v>
      </c>
      <c r="AA101" s="24"/>
      <c r="AB101" s="24"/>
      <c r="AC101" s="24"/>
      <c r="AD101" s="24"/>
      <c r="AE101" s="24"/>
      <c r="AF101" s="24"/>
      <c r="AG101" s="24"/>
      <c r="AH101" s="24"/>
    </row>
    <row r="102" spans="1:34" ht="75" x14ac:dyDescent="0.25">
      <c r="A102" s="24" t="str">
        <f>HYPERLINK("https://www.cpso.on.ca/DoctorDetails/Alpna-Munshi/0233021-84477","Munshi, Alpna")</f>
        <v>Munshi, Alpna</v>
      </c>
      <c r="B102" s="25" t="s">
        <v>1257</v>
      </c>
      <c r="C102" s="24" t="s">
        <v>1258</v>
      </c>
      <c r="D102" s="24" t="s">
        <v>1259</v>
      </c>
      <c r="E102" s="24" t="s">
        <v>29</v>
      </c>
      <c r="F102" s="24" t="s">
        <v>47</v>
      </c>
      <c r="G102" s="24" t="s">
        <v>31</v>
      </c>
      <c r="H102" s="24" t="s">
        <v>1260</v>
      </c>
      <c r="I102" s="24" t="s">
        <v>1261</v>
      </c>
      <c r="J102" s="24" t="s">
        <v>1262</v>
      </c>
      <c r="K102" s="24" t="s">
        <v>1263</v>
      </c>
      <c r="L102" s="24" t="s">
        <v>52</v>
      </c>
      <c r="M102" s="15"/>
      <c r="N102" s="15"/>
      <c r="O102" s="15" t="s">
        <v>981</v>
      </c>
      <c r="P102" s="15" t="s">
        <v>654</v>
      </c>
      <c r="Q102" s="15" t="s">
        <v>655</v>
      </c>
      <c r="R102" s="15" t="s">
        <v>1264</v>
      </c>
      <c r="S102" s="24" t="s">
        <v>39</v>
      </c>
      <c r="T102" s="24" t="s">
        <v>39</v>
      </c>
      <c r="U102" s="24" t="s">
        <v>39</v>
      </c>
      <c r="V102" s="24" t="s">
        <v>39</v>
      </c>
      <c r="W102" s="24"/>
      <c r="X102" s="24"/>
      <c r="Y102" s="15"/>
      <c r="Z102" s="15"/>
      <c r="AA102" s="24"/>
      <c r="AB102" s="24"/>
      <c r="AC102" s="24"/>
      <c r="AD102" s="24"/>
      <c r="AE102" s="24"/>
      <c r="AF102" s="24"/>
      <c r="AG102" s="24"/>
      <c r="AH102" s="24"/>
    </row>
    <row r="103" spans="1:34" ht="90" x14ac:dyDescent="0.25">
      <c r="A103" s="24" t="str">
        <f>HYPERLINK("https://www.cpso.on.ca/DoctorDetails/Amanda--Rae-Sawyer/0273225-96072","Sawyer, Amanda  Rae")</f>
        <v>Sawyer, Amanda  Rae</v>
      </c>
      <c r="B103" s="25" t="s">
        <v>1265</v>
      </c>
      <c r="C103" s="24" t="s">
        <v>1266</v>
      </c>
      <c r="D103" s="24" t="s">
        <v>545</v>
      </c>
      <c r="E103" s="24" t="s">
        <v>29</v>
      </c>
      <c r="F103" s="24" t="s">
        <v>47</v>
      </c>
      <c r="G103" s="24" t="s">
        <v>31</v>
      </c>
      <c r="H103" s="24" t="s">
        <v>1267</v>
      </c>
      <c r="I103" s="24" t="s">
        <v>1268</v>
      </c>
      <c r="J103" s="24" t="s">
        <v>1269</v>
      </c>
      <c r="K103" s="24"/>
      <c r="L103" s="24" t="s">
        <v>52</v>
      </c>
      <c r="M103" s="15"/>
      <c r="N103" s="15"/>
      <c r="O103" s="15"/>
      <c r="P103" s="15" t="s">
        <v>1270</v>
      </c>
      <c r="Q103" s="15" t="s">
        <v>1271</v>
      </c>
      <c r="R103" s="15" t="s">
        <v>1272</v>
      </c>
      <c r="S103" s="24" t="s">
        <v>39</v>
      </c>
      <c r="T103" s="24" t="s">
        <v>39</v>
      </c>
      <c r="U103" s="24" t="s">
        <v>39</v>
      </c>
      <c r="V103" s="24" t="s">
        <v>39</v>
      </c>
      <c r="W103" s="24" t="s">
        <v>1273</v>
      </c>
      <c r="X103" s="24" t="s">
        <v>1274</v>
      </c>
      <c r="Y103" s="15" t="s">
        <v>1275</v>
      </c>
      <c r="Z103" s="15" t="s">
        <v>1276</v>
      </c>
      <c r="AA103" s="24"/>
      <c r="AB103" s="24"/>
      <c r="AC103" s="24"/>
      <c r="AD103" s="24"/>
      <c r="AE103" s="24"/>
      <c r="AF103" s="24"/>
      <c r="AG103" s="24"/>
      <c r="AH103" s="24"/>
    </row>
    <row r="104" spans="1:34" ht="45" x14ac:dyDescent="0.25">
      <c r="A104" s="24" t="str">
        <f>HYPERLINK("https://www.cpso.on.ca/DoctorDetails/Amanda-Joy-Sullovey/0211021-91440","Sullovey, Amanda Joy")</f>
        <v>Sullovey, Amanda Joy</v>
      </c>
      <c r="B104" s="25" t="s">
        <v>1277</v>
      </c>
      <c r="C104" s="24" t="s">
        <v>1278</v>
      </c>
      <c r="D104" s="24" t="s">
        <v>1279</v>
      </c>
      <c r="E104" s="24" t="s">
        <v>29</v>
      </c>
      <c r="F104" s="24" t="s">
        <v>47</v>
      </c>
      <c r="G104" s="24" t="s">
        <v>31</v>
      </c>
      <c r="H104" s="24" t="s">
        <v>908</v>
      </c>
      <c r="I104" s="24" t="s">
        <v>1280</v>
      </c>
      <c r="J104" s="24" t="s">
        <v>1281</v>
      </c>
      <c r="K104" s="24" t="s">
        <v>1282</v>
      </c>
      <c r="L104" s="24" t="s">
        <v>52</v>
      </c>
      <c r="M104" s="15"/>
      <c r="N104" s="15"/>
      <c r="O104" s="15"/>
      <c r="P104" s="15" t="s">
        <v>1283</v>
      </c>
      <c r="Q104" s="15" t="s">
        <v>1284</v>
      </c>
      <c r="R104" s="15" t="s">
        <v>1285</v>
      </c>
      <c r="S104" s="24" t="s">
        <v>39</v>
      </c>
      <c r="T104" s="24" t="s">
        <v>39</v>
      </c>
      <c r="U104" s="24" t="s">
        <v>39</v>
      </c>
      <c r="V104" s="24" t="s">
        <v>39</v>
      </c>
      <c r="W104" s="24"/>
      <c r="X104" s="24"/>
      <c r="Y104" s="15"/>
      <c r="Z104" s="15"/>
      <c r="AA104" s="24"/>
      <c r="AB104" s="24"/>
      <c r="AC104" s="24"/>
      <c r="AD104" s="24"/>
      <c r="AE104" s="24"/>
      <c r="AF104" s="24"/>
      <c r="AG104" s="24"/>
      <c r="AH104" s="24"/>
    </row>
    <row r="105" spans="1:34" ht="75" x14ac:dyDescent="0.25">
      <c r="A105" s="24" t="str">
        <f>HYPERLINK("https://www.cpso.on.ca/DoctorDetails/Amanda-Katherine-Abate/0288804-100336","Abate, Amanda Katherine")</f>
        <v>Abate, Amanda Katherine</v>
      </c>
      <c r="B105" s="25" t="s">
        <v>1286</v>
      </c>
      <c r="C105" s="24" t="s">
        <v>1287</v>
      </c>
      <c r="D105" s="24" t="s">
        <v>1288</v>
      </c>
      <c r="E105" s="24" t="s">
        <v>29</v>
      </c>
      <c r="F105" s="24" t="s">
        <v>47</v>
      </c>
      <c r="G105" s="24" t="s">
        <v>31</v>
      </c>
      <c r="H105" s="24" t="s">
        <v>1289</v>
      </c>
      <c r="I105" s="24" t="s">
        <v>1290</v>
      </c>
      <c r="J105" s="24" t="s">
        <v>1291</v>
      </c>
      <c r="K105" s="24"/>
      <c r="L105" s="24" t="s">
        <v>36</v>
      </c>
      <c r="M105" s="15"/>
      <c r="N105" s="15"/>
      <c r="O105" s="15"/>
      <c r="P105" s="15" t="s">
        <v>205</v>
      </c>
      <c r="Q105" s="15" t="s">
        <v>206</v>
      </c>
      <c r="R105" s="15" t="s">
        <v>1292</v>
      </c>
      <c r="S105" s="24" t="s">
        <v>39</v>
      </c>
      <c r="T105" s="24" t="s">
        <v>39</v>
      </c>
      <c r="U105" s="24" t="s">
        <v>39</v>
      </c>
      <c r="V105" s="24" t="s">
        <v>39</v>
      </c>
      <c r="W105" s="24"/>
      <c r="X105" s="24"/>
      <c r="Y105" s="15"/>
      <c r="Z105" s="15"/>
      <c r="AA105" s="24"/>
      <c r="AB105" s="24"/>
      <c r="AC105" s="24"/>
      <c r="AD105" s="24"/>
      <c r="AE105" s="24"/>
      <c r="AF105" s="24"/>
      <c r="AG105" s="24"/>
      <c r="AH105" s="24"/>
    </row>
    <row r="106" spans="1:34" ht="30" x14ac:dyDescent="0.25">
      <c r="A106" s="24" t="str">
        <f>HYPERLINK("https://www.cpso.on.ca/DoctorDetails/Amarendra-Narayan-Singh/0027589-32412","Singh, Amarendra Narayan")</f>
        <v>Singh, Amarendra Narayan</v>
      </c>
      <c r="B106" s="25" t="s">
        <v>1293</v>
      </c>
      <c r="C106" s="24" t="s">
        <v>1294</v>
      </c>
      <c r="D106" s="24" t="s">
        <v>1295</v>
      </c>
      <c r="E106" s="24" t="s">
        <v>29</v>
      </c>
      <c r="F106" s="24" t="s">
        <v>30</v>
      </c>
      <c r="G106" s="24" t="s">
        <v>131</v>
      </c>
      <c r="H106" s="24" t="s">
        <v>1296</v>
      </c>
      <c r="I106" s="24" t="s">
        <v>1297</v>
      </c>
      <c r="J106" s="24" t="s">
        <v>1298</v>
      </c>
      <c r="K106" s="24"/>
      <c r="L106" s="24" t="s">
        <v>340</v>
      </c>
      <c r="M106" s="15"/>
      <c r="N106" s="15" t="s">
        <v>398</v>
      </c>
      <c r="O106" s="15"/>
      <c r="P106" s="15" t="s">
        <v>1299</v>
      </c>
      <c r="Q106" s="15"/>
      <c r="R106" s="15" t="s">
        <v>1300</v>
      </c>
      <c r="S106" s="24" t="s">
        <v>39</v>
      </c>
      <c r="T106" s="24" t="s">
        <v>39</v>
      </c>
      <c r="U106" s="24" t="s">
        <v>39</v>
      </c>
      <c r="V106" s="24" t="s">
        <v>39</v>
      </c>
      <c r="W106" s="24" t="s">
        <v>1301</v>
      </c>
      <c r="X106" s="24" t="s">
        <v>1302</v>
      </c>
      <c r="Y106" s="15"/>
      <c r="Z106" s="15"/>
      <c r="AA106" s="24"/>
      <c r="AB106" s="24"/>
      <c r="AC106" s="24"/>
      <c r="AD106" s="24"/>
      <c r="AE106" s="24"/>
      <c r="AF106" s="24"/>
      <c r="AG106" s="24"/>
      <c r="AH106" s="24"/>
    </row>
    <row r="107" spans="1:34" ht="135" x14ac:dyDescent="0.25">
      <c r="A107" s="24" t="str">
        <f>HYPERLINK("https://www.cpso.on.ca/DoctorDetails/Ameneh-Mirzaei/0210995-81230","Mirzaei, Ameneh")</f>
        <v>Mirzaei, Ameneh</v>
      </c>
      <c r="B107" s="25" t="s">
        <v>1303</v>
      </c>
      <c r="C107" s="24" t="s">
        <v>1304</v>
      </c>
      <c r="D107" s="24" t="s">
        <v>1305</v>
      </c>
      <c r="E107" s="24" t="s">
        <v>29</v>
      </c>
      <c r="F107" s="24" t="s">
        <v>47</v>
      </c>
      <c r="G107" s="24" t="s">
        <v>31</v>
      </c>
      <c r="H107" s="24" t="s">
        <v>908</v>
      </c>
      <c r="I107" s="24" t="s">
        <v>1306</v>
      </c>
      <c r="J107" s="24" t="s">
        <v>1307</v>
      </c>
      <c r="K107" s="24" t="s">
        <v>1308</v>
      </c>
      <c r="L107" s="24" t="s">
        <v>84</v>
      </c>
      <c r="M107" s="15"/>
      <c r="N107" s="15"/>
      <c r="O107" s="15" t="s">
        <v>1309</v>
      </c>
      <c r="P107" s="15" t="s">
        <v>1310</v>
      </c>
      <c r="Q107" s="15" t="s">
        <v>1311</v>
      </c>
      <c r="R107" s="15" t="s">
        <v>1312</v>
      </c>
      <c r="S107" s="24" t="s">
        <v>39</v>
      </c>
      <c r="T107" s="24" t="s">
        <v>39</v>
      </c>
      <c r="U107" s="24" t="s">
        <v>39</v>
      </c>
      <c r="V107" s="24" t="s">
        <v>39</v>
      </c>
      <c r="W107" s="24" t="s">
        <v>1313</v>
      </c>
      <c r="X107" s="24" t="s">
        <v>1314</v>
      </c>
      <c r="Y107" s="15" t="s">
        <v>1315</v>
      </c>
      <c r="Z107" s="15" t="s">
        <v>1316</v>
      </c>
      <c r="AA107" s="24" t="s">
        <v>1317</v>
      </c>
      <c r="AB107" s="24" t="s">
        <v>1318</v>
      </c>
      <c r="AC107" s="24" t="s">
        <v>1319</v>
      </c>
      <c r="AD107" s="24" t="s">
        <v>1320</v>
      </c>
      <c r="AE107" s="24"/>
      <c r="AF107" s="24"/>
      <c r="AG107" s="24"/>
      <c r="AH107" s="24"/>
    </row>
    <row r="108" spans="1:34" ht="45" x14ac:dyDescent="0.25">
      <c r="A108" s="24" t="str">
        <f>HYPERLINK("https://www.cpso.on.ca/DoctorDetails/Amer-Mohammed-AbdulLatif-Burhan/0185651-76957","Burhan, Amer Mohammed Abdul-Latif")</f>
        <v>Burhan, Amer Mohammed Abdul-Latif</v>
      </c>
      <c r="B108" s="25" t="s">
        <v>1321</v>
      </c>
      <c r="C108" s="24" t="s">
        <v>1322</v>
      </c>
      <c r="D108" s="24" t="s">
        <v>1323</v>
      </c>
      <c r="E108" s="24" t="s">
        <v>29</v>
      </c>
      <c r="F108" s="24" t="s">
        <v>30</v>
      </c>
      <c r="G108" s="24" t="s">
        <v>105</v>
      </c>
      <c r="H108" s="24" t="s">
        <v>1324</v>
      </c>
      <c r="I108" s="24" t="s">
        <v>1325</v>
      </c>
      <c r="J108" s="24" t="s">
        <v>1326</v>
      </c>
      <c r="K108" s="24" t="s">
        <v>1327</v>
      </c>
      <c r="L108" s="24" t="s">
        <v>135</v>
      </c>
      <c r="M108" s="15" t="s">
        <v>1328</v>
      </c>
      <c r="N108" s="15"/>
      <c r="O108" s="15" t="s">
        <v>1329</v>
      </c>
      <c r="P108" s="15" t="s">
        <v>1330</v>
      </c>
      <c r="Q108" s="15" t="s">
        <v>1331</v>
      </c>
      <c r="R108" s="15" t="s">
        <v>1332</v>
      </c>
      <c r="S108" s="24" t="s">
        <v>39</v>
      </c>
      <c r="T108" s="24" t="s">
        <v>39</v>
      </c>
      <c r="U108" s="24" t="s">
        <v>39</v>
      </c>
      <c r="V108" s="24" t="s">
        <v>39</v>
      </c>
      <c r="W108" s="24" t="s">
        <v>1333</v>
      </c>
      <c r="X108" s="24" t="s">
        <v>1334</v>
      </c>
      <c r="Y108" s="15" t="s">
        <v>1335</v>
      </c>
      <c r="Z108" s="15" t="s">
        <v>1336</v>
      </c>
      <c r="AA108" s="24"/>
      <c r="AB108" s="24"/>
      <c r="AC108" s="24"/>
      <c r="AD108" s="24"/>
      <c r="AE108" s="24"/>
      <c r="AF108" s="24"/>
      <c r="AG108" s="24"/>
      <c r="AH108" s="24"/>
    </row>
    <row r="109" spans="1:34" ht="30" x14ac:dyDescent="0.25">
      <c r="A109" s="24" t="str">
        <f>HYPERLINK("https://www.cpso.on.ca/DoctorDetails/Amir-Magdi-Barsoum/0175185-75385","Barsoum, Amir Magdi")</f>
        <v>Barsoum, Amir Magdi</v>
      </c>
      <c r="B109" s="25" t="s">
        <v>1337</v>
      </c>
      <c r="C109" s="24" t="s">
        <v>213</v>
      </c>
      <c r="D109" s="24" t="s">
        <v>214</v>
      </c>
      <c r="E109" s="24" t="s">
        <v>29</v>
      </c>
      <c r="F109" s="24" t="s">
        <v>30</v>
      </c>
      <c r="G109" s="24" t="s">
        <v>31</v>
      </c>
      <c r="H109" s="24" t="s">
        <v>1338</v>
      </c>
      <c r="I109" s="24" t="s">
        <v>1339</v>
      </c>
      <c r="J109" s="24" t="s">
        <v>1340</v>
      </c>
      <c r="K109" s="24" t="s">
        <v>1341</v>
      </c>
      <c r="L109" s="24" t="s">
        <v>36</v>
      </c>
      <c r="M109" s="15"/>
      <c r="N109" s="15"/>
      <c r="O109" s="15" t="s">
        <v>1342</v>
      </c>
      <c r="P109" s="15" t="s">
        <v>1343</v>
      </c>
      <c r="Q109" s="15"/>
      <c r="R109" s="15" t="s">
        <v>1344</v>
      </c>
      <c r="S109" s="24" t="s">
        <v>39</v>
      </c>
      <c r="T109" s="24" t="s">
        <v>39</v>
      </c>
      <c r="U109" s="24" t="s">
        <v>39</v>
      </c>
      <c r="V109" s="24" t="s">
        <v>39</v>
      </c>
      <c r="W109" s="24" t="s">
        <v>1345</v>
      </c>
      <c r="X109" s="24" t="s">
        <v>1346</v>
      </c>
      <c r="Y109" s="15" t="s">
        <v>1347</v>
      </c>
      <c r="Z109" s="15" t="s">
        <v>1348</v>
      </c>
      <c r="AA109" s="24"/>
      <c r="AB109" s="24"/>
      <c r="AC109" s="24"/>
      <c r="AD109" s="24"/>
      <c r="AE109" s="24"/>
      <c r="AF109" s="24"/>
      <c r="AG109" s="24"/>
      <c r="AH109" s="24"/>
    </row>
    <row r="110" spans="1:34" ht="75" x14ac:dyDescent="0.25">
      <c r="A110" s="24" t="str">
        <f>HYPERLINK("https://www.cpso.on.ca/DoctorDetails/Amit-Yosef-Rotem/0282630-99424","Rotem, Amit Yosef")</f>
        <v>Rotem, Amit Yosef</v>
      </c>
      <c r="B110" s="25" t="s">
        <v>1349</v>
      </c>
      <c r="C110" s="24" t="s">
        <v>1350</v>
      </c>
      <c r="D110" s="24" t="s">
        <v>1351</v>
      </c>
      <c r="E110" s="24" t="s">
        <v>29</v>
      </c>
      <c r="F110" s="24" t="s">
        <v>30</v>
      </c>
      <c r="G110" s="24" t="s">
        <v>252</v>
      </c>
      <c r="H110" s="24" t="s">
        <v>1352</v>
      </c>
      <c r="I110" s="24" t="s">
        <v>1353</v>
      </c>
      <c r="J110" s="24" t="s">
        <v>1354</v>
      </c>
      <c r="K110" s="24" t="s">
        <v>1355</v>
      </c>
      <c r="L110" s="24" t="s">
        <v>52</v>
      </c>
      <c r="M110" s="15"/>
      <c r="N110" s="15" t="s">
        <v>1356</v>
      </c>
      <c r="O110" s="15" t="s">
        <v>981</v>
      </c>
      <c r="P110" s="15" t="s">
        <v>1357</v>
      </c>
      <c r="Q110" s="15" t="s">
        <v>1358</v>
      </c>
      <c r="R110" s="15" t="s">
        <v>1359</v>
      </c>
      <c r="S110" s="24" t="s">
        <v>71</v>
      </c>
      <c r="T110" s="24" t="s">
        <v>39</v>
      </c>
      <c r="U110" s="24" t="s">
        <v>39</v>
      </c>
      <c r="V110" s="24" t="s">
        <v>39</v>
      </c>
      <c r="W110" s="24" t="s">
        <v>1360</v>
      </c>
      <c r="X110" s="24" t="s">
        <v>1361</v>
      </c>
      <c r="Y110" s="15" t="s">
        <v>1362</v>
      </c>
      <c r="Z110" s="15" t="s">
        <v>1363</v>
      </c>
      <c r="AA110" s="24"/>
      <c r="AB110" s="24"/>
      <c r="AC110" s="24"/>
      <c r="AD110" s="24"/>
      <c r="AE110" s="24"/>
      <c r="AF110" s="24"/>
      <c r="AG110" s="24"/>
      <c r="AH110" s="24"/>
    </row>
    <row r="111" spans="1:34" x14ac:dyDescent="0.25">
      <c r="A111" s="24" t="str">
        <f>HYPERLINK("https://www.cpso.on.ca/DoctorDetails/Amita-Gandhi/0057077-68666","Gandhi, Amita")</f>
        <v>Gandhi, Amita</v>
      </c>
      <c r="B111" s="25" t="s">
        <v>1364</v>
      </c>
      <c r="C111" s="24" t="s">
        <v>1365</v>
      </c>
      <c r="D111" s="24" t="s">
        <v>1366</v>
      </c>
      <c r="E111" s="24" t="s">
        <v>29</v>
      </c>
      <c r="F111" s="24" t="s">
        <v>47</v>
      </c>
      <c r="G111" s="24" t="s">
        <v>691</v>
      </c>
      <c r="H111" s="24" t="s">
        <v>1367</v>
      </c>
      <c r="I111" s="24" t="s">
        <v>1368</v>
      </c>
      <c r="J111" s="24" t="s">
        <v>1369</v>
      </c>
      <c r="K111" s="24"/>
      <c r="L111" s="24"/>
      <c r="M111" s="15"/>
      <c r="N111" s="15" t="s">
        <v>1370</v>
      </c>
      <c r="O111" s="15"/>
      <c r="P111" s="15" t="s">
        <v>1007</v>
      </c>
      <c r="Q111" s="15"/>
      <c r="R111" s="15" t="s">
        <v>1371</v>
      </c>
      <c r="S111" s="24" t="s">
        <v>39</v>
      </c>
      <c r="T111" s="24" t="s">
        <v>39</v>
      </c>
      <c r="U111" s="24" t="s">
        <v>39</v>
      </c>
      <c r="V111" s="24" t="s">
        <v>39</v>
      </c>
      <c r="W111" s="24"/>
      <c r="X111" s="24"/>
      <c r="Y111" s="15"/>
      <c r="Z111" s="15"/>
      <c r="AA111" s="24"/>
      <c r="AB111" s="24"/>
      <c r="AC111" s="24"/>
      <c r="AD111" s="24"/>
      <c r="AE111" s="24"/>
      <c r="AF111" s="24"/>
      <c r="AG111" s="24"/>
      <c r="AH111" s="24"/>
    </row>
    <row r="112" spans="1:34" ht="120" x14ac:dyDescent="0.25">
      <c r="A112" s="24" t="str">
        <f>HYPERLINK("https://www.cpso.on.ca/DoctorDetails/Amlan-Kusum-Das/0283900-99955","Das, Amlan Kusum")</f>
        <v>Das, Amlan Kusum</v>
      </c>
      <c r="B112" s="25" t="s">
        <v>1372</v>
      </c>
      <c r="C112" s="24" t="s">
        <v>1373</v>
      </c>
      <c r="D112" s="24" t="s">
        <v>1374</v>
      </c>
      <c r="E112" s="24" t="s">
        <v>29</v>
      </c>
      <c r="F112" s="24" t="s">
        <v>30</v>
      </c>
      <c r="G112" s="24" t="s">
        <v>1375</v>
      </c>
      <c r="H112" s="24" t="s">
        <v>1376</v>
      </c>
      <c r="I112" s="24" t="s">
        <v>1377</v>
      </c>
      <c r="J112" s="24" t="s">
        <v>1378</v>
      </c>
      <c r="K112" s="24"/>
      <c r="L112" s="24" t="s">
        <v>36</v>
      </c>
      <c r="M112" s="15"/>
      <c r="N112" s="15"/>
      <c r="O112" s="15"/>
      <c r="P112" s="15" t="s">
        <v>1379</v>
      </c>
      <c r="Q112" s="15"/>
      <c r="R112" s="15" t="s">
        <v>1380</v>
      </c>
      <c r="S112" s="24" t="s">
        <v>39</v>
      </c>
      <c r="T112" s="24" t="s">
        <v>39</v>
      </c>
      <c r="U112" s="24" t="s">
        <v>39</v>
      </c>
      <c r="V112" s="24" t="s">
        <v>39</v>
      </c>
      <c r="W112" s="24" t="s">
        <v>1381</v>
      </c>
      <c r="X112" s="24" t="s">
        <v>1382</v>
      </c>
      <c r="Y112" s="15" t="s">
        <v>1383</v>
      </c>
      <c r="Z112" s="15" t="s">
        <v>1384</v>
      </c>
      <c r="AA112" s="24"/>
      <c r="AB112" s="24"/>
      <c r="AC112" s="24"/>
      <c r="AD112" s="24"/>
      <c r="AE112" s="24"/>
      <c r="AF112" s="24"/>
      <c r="AG112" s="24"/>
      <c r="AH112" s="24"/>
    </row>
    <row r="113" spans="1:34" ht="90" x14ac:dyDescent="0.25">
      <c r="A113" s="24" t="str">
        <f>HYPERLINK("https://www.cpso.on.ca/DoctorDetails/Amy-Gajaria/0281065-97864","Gajaria, Amy")</f>
        <v>Gajaria, Amy</v>
      </c>
      <c r="B113" s="25" t="s">
        <v>1385</v>
      </c>
      <c r="C113" s="24" t="s">
        <v>544</v>
      </c>
      <c r="D113" s="24" t="s">
        <v>545</v>
      </c>
      <c r="E113" s="24" t="s">
        <v>29</v>
      </c>
      <c r="F113" s="24" t="s">
        <v>47</v>
      </c>
      <c r="G113" s="24" t="s">
        <v>31</v>
      </c>
      <c r="H113" s="24" t="s">
        <v>1386</v>
      </c>
      <c r="I113" s="24" t="s">
        <v>353</v>
      </c>
      <c r="J113" s="24" t="s">
        <v>1387</v>
      </c>
      <c r="K113" s="24"/>
      <c r="L113" s="24" t="s">
        <v>52</v>
      </c>
      <c r="M113" s="15"/>
      <c r="N113" s="15" t="s">
        <v>342</v>
      </c>
      <c r="O113" s="15" t="s">
        <v>329</v>
      </c>
      <c r="P113" s="15" t="s">
        <v>550</v>
      </c>
      <c r="Q113" s="15" t="s">
        <v>1388</v>
      </c>
      <c r="R113" s="15" t="s">
        <v>552</v>
      </c>
      <c r="S113" s="24" t="s">
        <v>39</v>
      </c>
      <c r="T113" s="24" t="s">
        <v>39</v>
      </c>
      <c r="U113" s="24" t="s">
        <v>39</v>
      </c>
      <c r="V113" s="24" t="s">
        <v>39</v>
      </c>
      <c r="W113" s="24"/>
      <c r="X113" s="24"/>
      <c r="Y113" s="15"/>
      <c r="Z113" s="15"/>
      <c r="AA113" s="24"/>
      <c r="AB113" s="24"/>
      <c r="AC113" s="24"/>
      <c r="AD113" s="24"/>
      <c r="AE113" s="24"/>
      <c r="AF113" s="24"/>
      <c r="AG113" s="24"/>
      <c r="AH113" s="24"/>
    </row>
    <row r="114" spans="1:34" ht="105" x14ac:dyDescent="0.25">
      <c r="A114" s="24" t="str">
        <f>HYPERLINK("https://www.cpso.on.ca/DoctorDetails/Amy-Heung-Yu-Cheung/0140017-71591","Cheung, Amy Heung Yu")</f>
        <v>Cheung, Amy Heung Yu</v>
      </c>
      <c r="B114" s="25" t="s">
        <v>1389</v>
      </c>
      <c r="C114" s="24" t="s">
        <v>1390</v>
      </c>
      <c r="D114" s="24" t="s">
        <v>1391</v>
      </c>
      <c r="E114" s="24" t="s">
        <v>29</v>
      </c>
      <c r="F114" s="24" t="s">
        <v>47</v>
      </c>
      <c r="G114" s="24" t="s">
        <v>1392</v>
      </c>
      <c r="H114" s="24" t="s">
        <v>1393</v>
      </c>
      <c r="I114" s="24" t="s">
        <v>1394</v>
      </c>
      <c r="J114" s="24" t="s">
        <v>1395</v>
      </c>
      <c r="K114" s="24" t="s">
        <v>1396</v>
      </c>
      <c r="L114" s="24" t="s">
        <v>52</v>
      </c>
      <c r="M114" s="15"/>
      <c r="N114" s="15"/>
      <c r="O114" s="15" t="s">
        <v>1397</v>
      </c>
      <c r="P114" s="15" t="s">
        <v>1398</v>
      </c>
      <c r="Q114" s="15" t="s">
        <v>1399</v>
      </c>
      <c r="R114" s="15" t="s">
        <v>1400</v>
      </c>
      <c r="S114" s="24" t="s">
        <v>39</v>
      </c>
      <c r="T114" s="24" t="s">
        <v>39</v>
      </c>
      <c r="U114" s="24" t="s">
        <v>39</v>
      </c>
      <c r="V114" s="24" t="s">
        <v>39</v>
      </c>
      <c r="W114" s="24" t="s">
        <v>1401</v>
      </c>
      <c r="X114" s="24" t="s">
        <v>1402</v>
      </c>
      <c r="Y114" s="15" t="s">
        <v>1403</v>
      </c>
      <c r="Z114" s="15" t="s">
        <v>1404</v>
      </c>
      <c r="AA114" s="24"/>
      <c r="AB114" s="24"/>
      <c r="AC114" s="24"/>
      <c r="AD114" s="24"/>
      <c r="AE114" s="24"/>
      <c r="AF114" s="24"/>
      <c r="AG114" s="24"/>
      <c r="AH114" s="24"/>
    </row>
    <row r="115" spans="1:34" ht="135" x14ac:dyDescent="0.25">
      <c r="A115" s="24" t="str">
        <f>HYPERLINK("https://www.cpso.on.ca/DoctorDetails/Amy-Janice-Colbourne/0280677-98335","Colbourne, Amy Janice")</f>
        <v>Colbourne, Amy Janice</v>
      </c>
      <c r="B115" s="25" t="s">
        <v>1405</v>
      </c>
      <c r="C115" s="24" t="s">
        <v>1406</v>
      </c>
      <c r="D115" s="24" t="s">
        <v>1407</v>
      </c>
      <c r="E115" s="24" t="s">
        <v>29</v>
      </c>
      <c r="F115" s="24" t="s">
        <v>47</v>
      </c>
      <c r="G115" s="24" t="s">
        <v>31</v>
      </c>
      <c r="H115" s="24" t="s">
        <v>1408</v>
      </c>
      <c r="I115" s="24" t="s">
        <v>1409</v>
      </c>
      <c r="J115" s="24" t="s">
        <v>1410</v>
      </c>
      <c r="K115" s="24"/>
      <c r="L115" s="24" t="s">
        <v>340</v>
      </c>
      <c r="M115" s="15"/>
      <c r="N115" s="15"/>
      <c r="O115" s="15"/>
      <c r="P115" s="15" t="s">
        <v>1411</v>
      </c>
      <c r="Q115" s="15" t="s">
        <v>1412</v>
      </c>
      <c r="R115" s="15" t="s">
        <v>1413</v>
      </c>
      <c r="S115" s="24" t="s">
        <v>39</v>
      </c>
      <c r="T115" s="24" t="s">
        <v>39</v>
      </c>
      <c r="U115" s="24" t="s">
        <v>39</v>
      </c>
      <c r="V115" s="24" t="s">
        <v>39</v>
      </c>
      <c r="W115" s="24"/>
      <c r="X115" s="24"/>
      <c r="Y115" s="15"/>
      <c r="Z115" s="15"/>
      <c r="AA115" s="24"/>
      <c r="AB115" s="24"/>
      <c r="AC115" s="24"/>
      <c r="AD115" s="24"/>
      <c r="AE115" s="24"/>
      <c r="AF115" s="24"/>
      <c r="AG115" s="24"/>
      <c r="AH115" s="24"/>
    </row>
    <row r="116" spans="1:34" x14ac:dyDescent="0.25">
      <c r="A116" s="24" t="str">
        <f>HYPERLINK("https://www.cpso.on.ca/DoctorDetails/Amy-Roseanne-Goldwater/0044176-58154","Goldwater, Amy Roseanne")</f>
        <v>Goldwater, Amy Roseanne</v>
      </c>
      <c r="B116" s="25" t="s">
        <v>1414</v>
      </c>
      <c r="C116" s="24" t="s">
        <v>1415</v>
      </c>
      <c r="D116" s="24" t="s">
        <v>1416</v>
      </c>
      <c r="E116" s="24" t="s">
        <v>29</v>
      </c>
      <c r="F116" s="24" t="s">
        <v>47</v>
      </c>
      <c r="G116" s="24" t="s">
        <v>31</v>
      </c>
      <c r="H116" s="24" t="s">
        <v>1417</v>
      </c>
      <c r="I116" s="24" t="s">
        <v>1418</v>
      </c>
      <c r="J116" s="24" t="s">
        <v>1419</v>
      </c>
      <c r="K116" s="24"/>
      <c r="L116" s="24" t="s">
        <v>36</v>
      </c>
      <c r="M116" s="15"/>
      <c r="N116" s="15"/>
      <c r="O116" s="15"/>
      <c r="P116" s="15" t="s">
        <v>1420</v>
      </c>
      <c r="Q116" s="15"/>
      <c r="R116" s="15" t="s">
        <v>1421</v>
      </c>
      <c r="S116" s="24" t="s">
        <v>39</v>
      </c>
      <c r="T116" s="24" t="s">
        <v>39</v>
      </c>
      <c r="U116" s="24" t="s">
        <v>39</v>
      </c>
      <c r="V116" s="24" t="s">
        <v>39</v>
      </c>
      <c r="W116" s="24" t="s">
        <v>1422</v>
      </c>
      <c r="X116" s="24" t="s">
        <v>1423</v>
      </c>
      <c r="Y116" s="15" t="s">
        <v>1424</v>
      </c>
      <c r="Z116" s="15" t="s">
        <v>1425</v>
      </c>
      <c r="AA116" s="24"/>
      <c r="AB116" s="24"/>
      <c r="AC116" s="24"/>
      <c r="AD116" s="24"/>
      <c r="AE116" s="24"/>
      <c r="AF116" s="24"/>
      <c r="AG116" s="24"/>
      <c r="AH116" s="24"/>
    </row>
    <row r="117" spans="1:34" ht="120" x14ac:dyDescent="0.25">
      <c r="A117" s="24" t="str">
        <f>HYPERLINK("https://www.cpso.on.ca/DoctorDetails/Ana-Drandic/0280939-98601","Drandic, Ana")</f>
        <v>Drandic, Ana</v>
      </c>
      <c r="B117" s="25" t="s">
        <v>1426</v>
      </c>
      <c r="C117" s="24" t="s">
        <v>392</v>
      </c>
      <c r="D117" s="24" t="s">
        <v>393</v>
      </c>
      <c r="E117" s="24" t="s">
        <v>29</v>
      </c>
      <c r="F117" s="24" t="s">
        <v>47</v>
      </c>
      <c r="G117" s="24" t="s">
        <v>31</v>
      </c>
      <c r="H117" s="24" t="s">
        <v>1427</v>
      </c>
      <c r="I117" s="24" t="s">
        <v>107</v>
      </c>
      <c r="J117" s="24"/>
      <c r="K117" s="24"/>
      <c r="L117" s="24"/>
      <c r="M117" s="15"/>
      <c r="N117" s="15"/>
      <c r="O117" s="15"/>
      <c r="P117" s="15" t="s">
        <v>1428</v>
      </c>
      <c r="Q117" s="15" t="s">
        <v>1429</v>
      </c>
      <c r="R117" s="15" t="s">
        <v>1430</v>
      </c>
      <c r="S117" s="24" t="s">
        <v>39</v>
      </c>
      <c r="T117" s="24" t="s">
        <v>39</v>
      </c>
      <c r="U117" s="24" t="s">
        <v>39</v>
      </c>
      <c r="V117" s="24" t="s">
        <v>39</v>
      </c>
      <c r="W117" s="24"/>
      <c r="X117" s="24"/>
      <c r="Y117" s="15"/>
      <c r="Z117" s="15"/>
      <c r="AA117" s="24"/>
      <c r="AB117" s="24"/>
      <c r="AC117" s="24"/>
      <c r="AD117" s="24"/>
      <c r="AE117" s="24"/>
      <c r="AF117" s="24"/>
      <c r="AG117" s="24"/>
      <c r="AH117" s="24"/>
    </row>
    <row r="118" spans="1:34" ht="90" x14ac:dyDescent="0.25">
      <c r="A118" s="24" t="str">
        <f>HYPERLINK("https://www.cpso.on.ca/DoctorDetails/Ana-Hategan/0199021-78695","Hategan, Ana")</f>
        <v>Hategan, Ana</v>
      </c>
      <c r="B118" s="25" t="s">
        <v>1431</v>
      </c>
      <c r="C118" s="24" t="s">
        <v>1432</v>
      </c>
      <c r="D118" s="24" t="s">
        <v>1433</v>
      </c>
      <c r="E118" s="24" t="s">
        <v>29</v>
      </c>
      <c r="F118" s="24" t="s">
        <v>47</v>
      </c>
      <c r="G118" s="24" t="s">
        <v>31</v>
      </c>
      <c r="H118" s="24" t="s">
        <v>1434</v>
      </c>
      <c r="I118" s="24" t="s">
        <v>1435</v>
      </c>
      <c r="J118" s="24" t="s">
        <v>1436</v>
      </c>
      <c r="K118" s="24"/>
      <c r="L118" s="24" t="s">
        <v>184</v>
      </c>
      <c r="M118" s="15" t="s">
        <v>1437</v>
      </c>
      <c r="N118" s="15"/>
      <c r="O118" s="15" t="s">
        <v>1438</v>
      </c>
      <c r="P118" s="15" t="s">
        <v>1439</v>
      </c>
      <c r="Q118" s="15" t="s">
        <v>1440</v>
      </c>
      <c r="R118" s="15" t="s">
        <v>1441</v>
      </c>
      <c r="S118" s="24" t="s">
        <v>39</v>
      </c>
      <c r="T118" s="24" t="s">
        <v>39</v>
      </c>
      <c r="U118" s="24" t="s">
        <v>39</v>
      </c>
      <c r="V118" s="24" t="s">
        <v>39</v>
      </c>
      <c r="W118" s="24"/>
      <c r="X118" s="24"/>
      <c r="Y118" s="15"/>
      <c r="Z118" s="15"/>
      <c r="AA118" s="24"/>
      <c r="AB118" s="24"/>
      <c r="AC118" s="24"/>
      <c r="AD118" s="24"/>
      <c r="AE118" s="24"/>
      <c r="AF118" s="24"/>
      <c r="AG118" s="24"/>
      <c r="AH118" s="24"/>
    </row>
    <row r="119" spans="1:34" ht="45" x14ac:dyDescent="0.25">
      <c r="A119" s="24" t="str">
        <f>HYPERLINK("https://www.cpso.on.ca/DoctorDetails/Anbreen-Khizar/0321907-114212","Khizar, Anbreen")</f>
        <v>Khizar, Anbreen</v>
      </c>
      <c r="B119" s="25" t="s">
        <v>1442</v>
      </c>
      <c r="C119" s="24" t="s">
        <v>1443</v>
      </c>
      <c r="D119" s="24" t="s">
        <v>1444</v>
      </c>
      <c r="E119" s="24" t="s">
        <v>29</v>
      </c>
      <c r="F119" s="24" t="s">
        <v>47</v>
      </c>
      <c r="G119" s="24" t="s">
        <v>1445</v>
      </c>
      <c r="H119" s="24" t="s">
        <v>1446</v>
      </c>
      <c r="I119" s="24" t="s">
        <v>1447</v>
      </c>
      <c r="J119" s="24" t="s">
        <v>1448</v>
      </c>
      <c r="K119" s="24"/>
      <c r="L119" s="24" t="s">
        <v>52</v>
      </c>
      <c r="M119" s="15"/>
      <c r="N119" s="15" t="s">
        <v>1449</v>
      </c>
      <c r="O119" s="15" t="s">
        <v>981</v>
      </c>
      <c r="P119" s="15" t="s">
        <v>1450</v>
      </c>
      <c r="Q119" s="15"/>
      <c r="R119" s="15" t="s">
        <v>1451</v>
      </c>
      <c r="S119" s="24" t="s">
        <v>71</v>
      </c>
      <c r="T119" s="24" t="s">
        <v>39</v>
      </c>
      <c r="U119" s="24" t="s">
        <v>39</v>
      </c>
      <c r="V119" s="24" t="s">
        <v>39</v>
      </c>
      <c r="W119" s="24" t="s">
        <v>1452</v>
      </c>
      <c r="X119" s="24" t="s">
        <v>1453</v>
      </c>
      <c r="Y119" s="15" t="s">
        <v>1454</v>
      </c>
      <c r="Z119" s="15" t="s">
        <v>1455</v>
      </c>
      <c r="AA119" s="24"/>
      <c r="AB119" s="24"/>
      <c r="AC119" s="24"/>
      <c r="AD119" s="24"/>
      <c r="AE119" s="24"/>
      <c r="AF119" s="24"/>
      <c r="AG119" s="24"/>
      <c r="AH119" s="24"/>
    </row>
    <row r="120" spans="1:34" ht="45" x14ac:dyDescent="0.25">
      <c r="A120" s="24" t="str">
        <f>HYPERLINK("https://www.cpso.on.ca/DoctorDetails/Andre-Ferrer-Carvalho/0321380-114420","Carvalho, Andre Ferrer")</f>
        <v>Carvalho, Andre Ferrer</v>
      </c>
      <c r="B120" s="25" t="s">
        <v>1456</v>
      </c>
      <c r="C120" s="24" t="s">
        <v>1457</v>
      </c>
      <c r="D120" s="24" t="s">
        <v>1458</v>
      </c>
      <c r="E120" s="24" t="s">
        <v>29</v>
      </c>
      <c r="F120" s="24" t="s">
        <v>30</v>
      </c>
      <c r="G120" s="24" t="s">
        <v>468</v>
      </c>
      <c r="H120" s="24" t="s">
        <v>1459</v>
      </c>
      <c r="I120" s="24" t="s">
        <v>1460</v>
      </c>
      <c r="J120" s="24" t="s">
        <v>1461</v>
      </c>
      <c r="K120" s="24"/>
      <c r="L120" s="24" t="s">
        <v>52</v>
      </c>
      <c r="M120" s="15"/>
      <c r="N120" s="15"/>
      <c r="O120" s="15"/>
      <c r="P120" s="15" t="s">
        <v>1462</v>
      </c>
      <c r="Q120" s="15"/>
      <c r="R120" s="15" t="s">
        <v>1463</v>
      </c>
      <c r="S120" s="24" t="s">
        <v>71</v>
      </c>
      <c r="T120" s="24" t="s">
        <v>39</v>
      </c>
      <c r="U120" s="24" t="s">
        <v>39</v>
      </c>
      <c r="V120" s="24" t="s">
        <v>39</v>
      </c>
      <c r="W120" s="24"/>
      <c r="X120" s="24"/>
      <c r="Y120" s="15"/>
      <c r="Z120" s="15"/>
      <c r="AA120" s="24"/>
      <c r="AB120" s="24"/>
      <c r="AC120" s="24"/>
      <c r="AD120" s="24"/>
      <c r="AE120" s="24"/>
      <c r="AF120" s="24"/>
      <c r="AG120" s="24"/>
      <c r="AH120" s="24"/>
    </row>
    <row r="121" spans="1:34" ht="60" x14ac:dyDescent="0.25">
      <c r="A121" s="24" t="str">
        <f>HYPERLINK("https://www.cpso.on.ca/DoctorDetails/Andre-Gagnon/0026531-31354","Gagnon, Andre")</f>
        <v>Gagnon, Andre</v>
      </c>
      <c r="B121" s="25" t="s">
        <v>1464</v>
      </c>
      <c r="C121" s="24" t="s">
        <v>1465</v>
      </c>
      <c r="D121" s="24" t="s">
        <v>1466</v>
      </c>
      <c r="E121" s="24" t="s">
        <v>29</v>
      </c>
      <c r="F121" s="24" t="s">
        <v>30</v>
      </c>
      <c r="G121" s="24" t="s">
        <v>813</v>
      </c>
      <c r="H121" s="24" t="s">
        <v>1467</v>
      </c>
      <c r="I121" s="24" t="s">
        <v>1468</v>
      </c>
      <c r="J121" s="24" t="s">
        <v>1469</v>
      </c>
      <c r="K121" s="24" t="s">
        <v>1470</v>
      </c>
      <c r="L121" s="24"/>
      <c r="M121" s="15"/>
      <c r="N121" s="15" t="s">
        <v>710</v>
      </c>
      <c r="O121" s="15"/>
      <c r="P121" s="15" t="s">
        <v>1471</v>
      </c>
      <c r="Q121" s="15"/>
      <c r="R121" s="15" t="s">
        <v>1472</v>
      </c>
      <c r="S121" s="24" t="s">
        <v>71</v>
      </c>
      <c r="T121" s="24" t="s">
        <v>71</v>
      </c>
      <c r="U121" s="24" t="s">
        <v>39</v>
      </c>
      <c r="V121" s="24" t="s">
        <v>39</v>
      </c>
      <c r="W121" s="24"/>
      <c r="X121" s="24"/>
      <c r="Y121" s="15"/>
      <c r="Z121" s="15"/>
      <c r="AA121" s="24"/>
      <c r="AB121" s="24"/>
      <c r="AC121" s="24"/>
      <c r="AD121" s="24"/>
      <c r="AE121" s="24"/>
      <c r="AF121" s="24"/>
      <c r="AG121" s="24"/>
      <c r="AH121" s="24"/>
    </row>
    <row r="122" spans="1:34" ht="90" x14ac:dyDescent="0.25">
      <c r="A122" s="24" t="str">
        <f>HYPERLINK("https://www.cpso.on.ca/DoctorDetails/Andrea-Evelyn-Waddell/0201438-79482","Waddell, Andrea Evelyn")</f>
        <v>Waddell, Andrea Evelyn</v>
      </c>
      <c r="B122" s="25" t="s">
        <v>1473</v>
      </c>
      <c r="C122" s="24" t="s">
        <v>871</v>
      </c>
      <c r="D122" s="24" t="s">
        <v>1474</v>
      </c>
      <c r="E122" s="24" t="s">
        <v>29</v>
      </c>
      <c r="F122" s="24" t="s">
        <v>47</v>
      </c>
      <c r="G122" s="24" t="s">
        <v>31</v>
      </c>
      <c r="H122" s="24" t="s">
        <v>1475</v>
      </c>
      <c r="I122" s="24" t="s">
        <v>1476</v>
      </c>
      <c r="J122" s="24" t="s">
        <v>1477</v>
      </c>
      <c r="K122" s="24"/>
      <c r="L122" s="24" t="s">
        <v>52</v>
      </c>
      <c r="M122" s="15"/>
      <c r="N122" s="15"/>
      <c r="O122" s="15" t="s">
        <v>793</v>
      </c>
      <c r="P122" s="15" t="s">
        <v>1478</v>
      </c>
      <c r="Q122" s="15" t="s">
        <v>1479</v>
      </c>
      <c r="R122" s="15" t="s">
        <v>1480</v>
      </c>
      <c r="S122" s="24" t="s">
        <v>39</v>
      </c>
      <c r="T122" s="24" t="s">
        <v>39</v>
      </c>
      <c r="U122" s="24" t="s">
        <v>39</v>
      </c>
      <c r="V122" s="24" t="s">
        <v>39</v>
      </c>
      <c r="W122" s="24"/>
      <c r="X122" s="24"/>
      <c r="Y122" s="15"/>
      <c r="Z122" s="15"/>
      <c r="AA122" s="24"/>
      <c r="AB122" s="24"/>
      <c r="AC122" s="24"/>
      <c r="AD122" s="24"/>
      <c r="AE122" s="24"/>
      <c r="AF122" s="24"/>
      <c r="AG122" s="24"/>
      <c r="AH122" s="24"/>
    </row>
    <row r="123" spans="1:34" ht="90" x14ac:dyDescent="0.25">
      <c r="A123" s="24" t="str">
        <f>HYPERLINK("https://www.cpso.on.ca/DoctorDetails/Andrea-Iaboni/0232874-84666","Iaboni, Andrea")</f>
        <v>Iaboni, Andrea</v>
      </c>
      <c r="B123" s="25" t="s">
        <v>1481</v>
      </c>
      <c r="C123" s="24" t="s">
        <v>647</v>
      </c>
      <c r="D123" s="24" t="s">
        <v>648</v>
      </c>
      <c r="E123" s="24" t="s">
        <v>29</v>
      </c>
      <c r="F123" s="24" t="s">
        <v>47</v>
      </c>
      <c r="G123" s="24" t="s">
        <v>31</v>
      </c>
      <c r="H123" s="24" t="s">
        <v>649</v>
      </c>
      <c r="I123" s="24" t="s">
        <v>1482</v>
      </c>
      <c r="J123" s="24" t="s">
        <v>1483</v>
      </c>
      <c r="K123" s="24" t="s">
        <v>1484</v>
      </c>
      <c r="L123" s="24" t="s">
        <v>52</v>
      </c>
      <c r="M123" s="15"/>
      <c r="N123" s="15"/>
      <c r="O123" s="15" t="s">
        <v>1485</v>
      </c>
      <c r="P123" s="15" t="s">
        <v>1486</v>
      </c>
      <c r="Q123" s="15" t="s">
        <v>1487</v>
      </c>
      <c r="R123" s="15" t="s">
        <v>656</v>
      </c>
      <c r="S123" s="24" t="s">
        <v>39</v>
      </c>
      <c r="T123" s="24" t="s">
        <v>39</v>
      </c>
      <c r="U123" s="24" t="s">
        <v>39</v>
      </c>
      <c r="V123" s="24" t="s">
        <v>39</v>
      </c>
      <c r="W123" s="24"/>
      <c r="X123" s="24"/>
      <c r="Y123" s="15"/>
      <c r="Z123" s="15"/>
      <c r="AA123" s="24"/>
      <c r="AB123" s="24"/>
      <c r="AC123" s="24"/>
      <c r="AD123" s="24"/>
      <c r="AE123" s="24"/>
      <c r="AF123" s="24"/>
      <c r="AG123" s="24"/>
      <c r="AH123" s="24"/>
    </row>
    <row r="124" spans="1:34" ht="120" x14ac:dyDescent="0.25">
      <c r="A124" s="24" t="str">
        <f>HYPERLINK("https://www.cpso.on.ca/DoctorDetails/Andrea-Joy-Levinson/0159004-73946","Levinson, Andrea Joy")</f>
        <v>Levinson, Andrea Joy</v>
      </c>
      <c r="B124" s="25" t="s">
        <v>1488</v>
      </c>
      <c r="C124" s="24" t="s">
        <v>1489</v>
      </c>
      <c r="D124" s="24" t="s">
        <v>1490</v>
      </c>
      <c r="E124" s="24" t="s">
        <v>29</v>
      </c>
      <c r="F124" s="24" t="s">
        <v>47</v>
      </c>
      <c r="G124" s="24" t="s">
        <v>31</v>
      </c>
      <c r="H124" s="24" t="s">
        <v>1235</v>
      </c>
      <c r="I124" s="24" t="s">
        <v>1491</v>
      </c>
      <c r="J124" s="24" t="s">
        <v>1492</v>
      </c>
      <c r="K124" s="24" t="s">
        <v>1493</v>
      </c>
      <c r="L124" s="24" t="s">
        <v>52</v>
      </c>
      <c r="M124" s="15" t="s">
        <v>1494</v>
      </c>
      <c r="N124" s="15"/>
      <c r="O124" s="15" t="s">
        <v>981</v>
      </c>
      <c r="P124" s="15" t="s">
        <v>1495</v>
      </c>
      <c r="Q124" s="15" t="s">
        <v>1496</v>
      </c>
      <c r="R124" s="15" t="s">
        <v>1497</v>
      </c>
      <c r="S124" s="24" t="s">
        <v>39</v>
      </c>
      <c r="T124" s="24" t="s">
        <v>39</v>
      </c>
      <c r="U124" s="24" t="s">
        <v>39</v>
      </c>
      <c r="V124" s="24" t="s">
        <v>39</v>
      </c>
      <c r="W124" s="24" t="s">
        <v>1498</v>
      </c>
      <c r="X124" s="24" t="s">
        <v>1499</v>
      </c>
      <c r="Y124" s="15" t="s">
        <v>1500</v>
      </c>
      <c r="Z124" s="15" t="s">
        <v>1501</v>
      </c>
      <c r="AA124" s="24"/>
      <c r="AB124" s="24"/>
      <c r="AC124" s="24"/>
      <c r="AD124" s="24"/>
      <c r="AE124" s="24"/>
      <c r="AF124" s="24"/>
      <c r="AG124" s="24"/>
      <c r="AH124" s="24"/>
    </row>
    <row r="125" spans="1:34" ht="120" x14ac:dyDescent="0.25">
      <c r="A125" s="24" t="str">
        <f>HYPERLINK("https://www.cpso.on.ca/DoctorDetails/Andrea-Joyce-Nixon/0257974-90846","Nixon, Andrea Joyce")</f>
        <v>Nixon, Andrea Joyce</v>
      </c>
      <c r="B125" s="25" t="s">
        <v>1502</v>
      </c>
      <c r="C125" s="24" t="s">
        <v>1503</v>
      </c>
      <c r="D125" s="24" t="s">
        <v>1504</v>
      </c>
      <c r="E125" s="24" t="s">
        <v>29</v>
      </c>
      <c r="F125" s="24" t="s">
        <v>47</v>
      </c>
      <c r="G125" s="24" t="s">
        <v>31</v>
      </c>
      <c r="H125" s="24" t="s">
        <v>444</v>
      </c>
      <c r="I125" s="24" t="s">
        <v>107</v>
      </c>
      <c r="J125" s="24"/>
      <c r="K125" s="24"/>
      <c r="L125" s="24"/>
      <c r="M125" s="15"/>
      <c r="N125" s="15"/>
      <c r="O125" s="15"/>
      <c r="P125" s="15" t="s">
        <v>629</v>
      </c>
      <c r="Q125" s="15" t="s">
        <v>1505</v>
      </c>
      <c r="R125" s="15" t="s">
        <v>1506</v>
      </c>
      <c r="S125" s="24" t="s">
        <v>39</v>
      </c>
      <c r="T125" s="24" t="s">
        <v>39</v>
      </c>
      <c r="U125" s="24" t="s">
        <v>39</v>
      </c>
      <c r="V125" s="24" t="s">
        <v>39</v>
      </c>
      <c r="W125" s="24"/>
      <c r="X125" s="24"/>
      <c r="Y125" s="15"/>
      <c r="Z125" s="15"/>
      <c r="AA125" s="24"/>
      <c r="AB125" s="24"/>
      <c r="AC125" s="24"/>
      <c r="AD125" s="24"/>
      <c r="AE125" s="24"/>
      <c r="AF125" s="24"/>
      <c r="AG125" s="24"/>
      <c r="AH125" s="24"/>
    </row>
    <row r="126" spans="1:34" ht="120" x14ac:dyDescent="0.25">
      <c r="A126" s="24" t="str">
        <f>HYPERLINK("https://www.cpso.on.ca/DoctorDetails/Andrea-Kirsten-Stewart/0191363-78043","Stewart, Andrea Kirsten")</f>
        <v>Stewart, Andrea Kirsten</v>
      </c>
      <c r="B126" s="25" t="s">
        <v>1507</v>
      </c>
      <c r="C126" s="24" t="s">
        <v>921</v>
      </c>
      <c r="D126" s="24" t="s">
        <v>1508</v>
      </c>
      <c r="E126" s="24" t="s">
        <v>29</v>
      </c>
      <c r="F126" s="24" t="s">
        <v>47</v>
      </c>
      <c r="G126" s="24" t="s">
        <v>813</v>
      </c>
      <c r="H126" s="24" t="s">
        <v>1509</v>
      </c>
      <c r="I126" s="24" t="s">
        <v>1510</v>
      </c>
      <c r="J126" s="24" t="s">
        <v>1511</v>
      </c>
      <c r="K126" s="24" t="s">
        <v>1512</v>
      </c>
      <c r="L126" s="24" t="s">
        <v>84</v>
      </c>
      <c r="M126" s="15" t="s">
        <v>1513</v>
      </c>
      <c r="N126" s="15"/>
      <c r="O126" s="15" t="s">
        <v>1514</v>
      </c>
      <c r="P126" s="15" t="s">
        <v>1515</v>
      </c>
      <c r="Q126" s="15" t="s">
        <v>1516</v>
      </c>
      <c r="R126" s="15" t="s">
        <v>1517</v>
      </c>
      <c r="S126" s="24" t="s">
        <v>39</v>
      </c>
      <c r="T126" s="24" t="s">
        <v>39</v>
      </c>
      <c r="U126" s="24" t="s">
        <v>39</v>
      </c>
      <c r="V126" s="24" t="s">
        <v>39</v>
      </c>
      <c r="W126" s="24" t="s">
        <v>1518</v>
      </c>
      <c r="X126" s="24" t="s">
        <v>1519</v>
      </c>
      <c r="Y126" s="15" t="s">
        <v>1520</v>
      </c>
      <c r="Z126" s="15" t="s">
        <v>1521</v>
      </c>
      <c r="AA126" s="24"/>
      <c r="AB126" s="24"/>
      <c r="AC126" s="24"/>
      <c r="AD126" s="24"/>
      <c r="AE126" s="24"/>
      <c r="AF126" s="24"/>
      <c r="AG126" s="24"/>
      <c r="AH126" s="24"/>
    </row>
    <row r="127" spans="1:34" ht="105" x14ac:dyDescent="0.25">
      <c r="A127" s="24" t="str">
        <f>HYPERLINK("https://www.cpso.on.ca/DoctorDetails/Andrea-Margaret-Berntson/0191390-77640","Berntson, Andrea Margaret")</f>
        <v>Berntson, Andrea Margaret</v>
      </c>
      <c r="B127" s="25" t="s">
        <v>1522</v>
      </c>
      <c r="C127" s="24" t="s">
        <v>1523</v>
      </c>
      <c r="D127" s="24" t="s">
        <v>1524</v>
      </c>
      <c r="E127" s="24" t="s">
        <v>29</v>
      </c>
      <c r="F127" s="24" t="s">
        <v>47</v>
      </c>
      <c r="G127" s="24" t="s">
        <v>31</v>
      </c>
      <c r="H127" s="24" t="s">
        <v>1525</v>
      </c>
      <c r="I127" s="24" t="s">
        <v>1526</v>
      </c>
      <c r="J127" s="24" t="s">
        <v>1527</v>
      </c>
      <c r="K127" s="24" t="s">
        <v>1528</v>
      </c>
      <c r="L127" s="24" t="s">
        <v>52</v>
      </c>
      <c r="M127" s="15"/>
      <c r="N127" s="15"/>
      <c r="O127" s="15" t="s">
        <v>1201</v>
      </c>
      <c r="P127" s="15" t="s">
        <v>880</v>
      </c>
      <c r="Q127" s="15" t="s">
        <v>1529</v>
      </c>
      <c r="R127" s="15" t="s">
        <v>1530</v>
      </c>
      <c r="S127" s="24" t="s">
        <v>39</v>
      </c>
      <c r="T127" s="24" t="s">
        <v>39</v>
      </c>
      <c r="U127" s="24" t="s">
        <v>39</v>
      </c>
      <c r="V127" s="24" t="s">
        <v>39</v>
      </c>
      <c r="W127" s="24"/>
      <c r="X127" s="24"/>
      <c r="Y127" s="15"/>
      <c r="Z127" s="15"/>
      <c r="AA127" s="24"/>
      <c r="AB127" s="24"/>
      <c r="AC127" s="24"/>
      <c r="AD127" s="24"/>
      <c r="AE127" s="24"/>
      <c r="AF127" s="24"/>
      <c r="AG127" s="24"/>
      <c r="AH127" s="24"/>
    </row>
    <row r="128" spans="1:34" ht="105" x14ac:dyDescent="0.25">
      <c r="A128" s="24" t="str">
        <f>HYPERLINK("https://www.cpso.on.ca/DoctorDetails/Andrea-del-Pilar-Alvarez-Higuera/0243004-87314","Alvarez Higuera, Andrea del Pilar")</f>
        <v>Alvarez Higuera, Andrea del Pilar</v>
      </c>
      <c r="B128" s="25" t="s">
        <v>1531</v>
      </c>
      <c r="C128" s="24" t="s">
        <v>1532</v>
      </c>
      <c r="D128" s="24" t="s">
        <v>1533</v>
      </c>
      <c r="E128" s="24" t="s">
        <v>29</v>
      </c>
      <c r="F128" s="24" t="s">
        <v>47</v>
      </c>
      <c r="G128" s="24" t="s">
        <v>115</v>
      </c>
      <c r="H128" s="24" t="s">
        <v>1534</v>
      </c>
      <c r="I128" s="24" t="s">
        <v>1535</v>
      </c>
      <c r="J128" s="24" t="s">
        <v>1536</v>
      </c>
      <c r="K128" s="24" t="s">
        <v>1537</v>
      </c>
      <c r="L128" s="24" t="s">
        <v>152</v>
      </c>
      <c r="M128" s="15" t="s">
        <v>1538</v>
      </c>
      <c r="N128" s="15"/>
      <c r="O128" s="15" t="s">
        <v>1539</v>
      </c>
      <c r="P128" s="15" t="s">
        <v>1540</v>
      </c>
      <c r="Q128" s="15" t="s">
        <v>1541</v>
      </c>
      <c r="R128" s="15" t="s">
        <v>1542</v>
      </c>
      <c r="S128" s="24" t="s">
        <v>39</v>
      </c>
      <c r="T128" s="24" t="s">
        <v>39</v>
      </c>
      <c r="U128" s="24" t="s">
        <v>39</v>
      </c>
      <c r="V128" s="24" t="s">
        <v>39</v>
      </c>
      <c r="W128" s="24" t="s">
        <v>1543</v>
      </c>
      <c r="X128" s="24" t="s">
        <v>1544</v>
      </c>
      <c r="Y128" s="15" t="s">
        <v>1545</v>
      </c>
      <c r="Z128" s="15" t="s">
        <v>1546</v>
      </c>
      <c r="AA128" s="24"/>
      <c r="AB128" s="24"/>
      <c r="AC128" s="24"/>
      <c r="AD128" s="24"/>
      <c r="AE128" s="24"/>
      <c r="AF128" s="24"/>
      <c r="AG128" s="24"/>
      <c r="AH128" s="24"/>
    </row>
    <row r="129" spans="1:34" x14ac:dyDescent="0.25">
      <c r="A129" s="24" t="str">
        <f>HYPERLINK("https://www.cpso.on.ca/DoctorDetails/Andreanne-Wassef/0325767-115674","Wassef, Andreanne")</f>
        <v>Wassef, Andreanne</v>
      </c>
      <c r="B129" s="25" t="s">
        <v>1547</v>
      </c>
      <c r="C129" s="24" t="s">
        <v>1548</v>
      </c>
      <c r="D129" s="24" t="s">
        <v>200</v>
      </c>
      <c r="E129" s="24" t="s">
        <v>29</v>
      </c>
      <c r="F129" s="24" t="s">
        <v>47</v>
      </c>
      <c r="G129" s="24" t="s">
        <v>813</v>
      </c>
      <c r="H129" s="24" t="s">
        <v>1549</v>
      </c>
      <c r="I129" s="24" t="s">
        <v>1550</v>
      </c>
      <c r="J129" s="24" t="s">
        <v>1551</v>
      </c>
      <c r="K129" s="24"/>
      <c r="L129" s="24" t="s">
        <v>52</v>
      </c>
      <c r="M129" s="15"/>
      <c r="N129" s="15"/>
      <c r="O129" s="15"/>
      <c r="P129" s="15" t="s">
        <v>205</v>
      </c>
      <c r="Q129" s="15" t="s">
        <v>1552</v>
      </c>
      <c r="R129" s="15" t="s">
        <v>1553</v>
      </c>
      <c r="S129" s="24" t="s">
        <v>39</v>
      </c>
      <c r="T129" s="24" t="s">
        <v>39</v>
      </c>
      <c r="U129" s="24" t="s">
        <v>39</v>
      </c>
      <c r="V129" s="24" t="s">
        <v>39</v>
      </c>
      <c r="W129" s="24"/>
      <c r="X129" s="24"/>
      <c r="Y129" s="15"/>
      <c r="Z129" s="15"/>
      <c r="AA129" s="24"/>
      <c r="AB129" s="24"/>
      <c r="AC129" s="24"/>
      <c r="AD129" s="24"/>
      <c r="AE129" s="24"/>
      <c r="AF129" s="24"/>
      <c r="AG129" s="24"/>
      <c r="AH129" s="24"/>
    </row>
    <row r="130" spans="1:34" ht="90" x14ac:dyDescent="0.25">
      <c r="A130" s="24" t="str">
        <f>HYPERLINK("https://www.cpso.on.ca/DoctorDetails/Andreia-Zavaloni-Scalco/0223758-83548","Scalco, Andreia Zavaloni")</f>
        <v>Scalco, Andreia Zavaloni</v>
      </c>
      <c r="B130" s="25" t="s">
        <v>1554</v>
      </c>
      <c r="C130" s="24" t="s">
        <v>1555</v>
      </c>
      <c r="D130" s="24" t="s">
        <v>46</v>
      </c>
      <c r="E130" s="24" t="s">
        <v>29</v>
      </c>
      <c r="F130" s="24" t="s">
        <v>47</v>
      </c>
      <c r="G130" s="24" t="s">
        <v>468</v>
      </c>
      <c r="H130" s="24" t="s">
        <v>1556</v>
      </c>
      <c r="I130" s="24" t="s">
        <v>1557</v>
      </c>
      <c r="J130" s="24" t="s">
        <v>1558</v>
      </c>
      <c r="K130" s="24" t="s">
        <v>1559</v>
      </c>
      <c r="L130" s="24" t="s">
        <v>52</v>
      </c>
      <c r="M130" s="15"/>
      <c r="N130" s="15" t="s">
        <v>1560</v>
      </c>
      <c r="O130" s="15" t="s">
        <v>1397</v>
      </c>
      <c r="P130" s="15" t="s">
        <v>55</v>
      </c>
      <c r="Q130" s="15" t="s">
        <v>1561</v>
      </c>
      <c r="R130" s="15" t="s">
        <v>1562</v>
      </c>
      <c r="S130" s="24" t="s">
        <v>39</v>
      </c>
      <c r="T130" s="24" t="s">
        <v>39</v>
      </c>
      <c r="U130" s="24" t="s">
        <v>39</v>
      </c>
      <c r="V130" s="24" t="s">
        <v>39</v>
      </c>
      <c r="W130" s="24"/>
      <c r="X130" s="24"/>
      <c r="Y130" s="15"/>
      <c r="Z130" s="15"/>
      <c r="AA130" s="24"/>
      <c r="AB130" s="24"/>
      <c r="AC130" s="24"/>
      <c r="AD130" s="24"/>
      <c r="AE130" s="24"/>
      <c r="AF130" s="24"/>
      <c r="AG130" s="24"/>
      <c r="AH130" s="24"/>
    </row>
    <row r="131" spans="1:34" ht="75" x14ac:dyDescent="0.25">
      <c r="A131" s="24" t="str">
        <f>HYPERLINK("https://www.cpso.on.ca/DoctorDetails/Andrej-Brajovic/0289321-101733","Brajovic, Andrej")</f>
        <v>Brajovic, Andrej</v>
      </c>
      <c r="B131" s="25" t="s">
        <v>1563</v>
      </c>
      <c r="C131" s="24" t="s">
        <v>1564</v>
      </c>
      <c r="D131" s="24" t="s">
        <v>1565</v>
      </c>
      <c r="E131" s="24" t="s">
        <v>29</v>
      </c>
      <c r="F131" s="24" t="s">
        <v>30</v>
      </c>
      <c r="G131" s="24" t="s">
        <v>1566</v>
      </c>
      <c r="H131" s="24" t="s">
        <v>1567</v>
      </c>
      <c r="I131" s="24" t="s">
        <v>1568</v>
      </c>
      <c r="J131" s="24" t="s">
        <v>1569</v>
      </c>
      <c r="K131" s="24" t="s">
        <v>1570</v>
      </c>
      <c r="L131" s="24" t="s">
        <v>184</v>
      </c>
      <c r="M131" s="15"/>
      <c r="N131" s="15" t="s">
        <v>1571</v>
      </c>
      <c r="O131" s="15" t="s">
        <v>1572</v>
      </c>
      <c r="P131" s="15" t="s">
        <v>1573</v>
      </c>
      <c r="Q131" s="15"/>
      <c r="R131" s="15" t="s">
        <v>1574</v>
      </c>
      <c r="S131" s="24" t="s">
        <v>71</v>
      </c>
      <c r="T131" s="24" t="s">
        <v>39</v>
      </c>
      <c r="U131" s="24" t="s">
        <v>39</v>
      </c>
      <c r="V131" s="24" t="s">
        <v>39</v>
      </c>
      <c r="W131" s="24" t="s">
        <v>1575</v>
      </c>
      <c r="X131" s="24" t="s">
        <v>1576</v>
      </c>
      <c r="Y131" s="15" t="s">
        <v>1577</v>
      </c>
      <c r="Z131" s="15" t="s">
        <v>1578</v>
      </c>
      <c r="AA131" s="24"/>
      <c r="AB131" s="24"/>
      <c r="AC131" s="24"/>
      <c r="AD131" s="24"/>
      <c r="AE131" s="24"/>
      <c r="AF131" s="24"/>
      <c r="AG131" s="24"/>
      <c r="AH131" s="24"/>
    </row>
    <row r="132" spans="1:34" ht="165" x14ac:dyDescent="0.25">
      <c r="A132" s="24" t="str">
        <f>HYPERLINK("https://www.cpso.on.ca/DoctorDetails/Andrew-Jason-Mark-Lustig/0168582-75270","Lustig, Andrew Jason Mark")</f>
        <v>Lustig, Andrew Jason Mark</v>
      </c>
      <c r="B132" s="25" t="s">
        <v>1579</v>
      </c>
      <c r="C132" s="24" t="s">
        <v>1580</v>
      </c>
      <c r="D132" s="24" t="s">
        <v>1581</v>
      </c>
      <c r="E132" s="24" t="s">
        <v>29</v>
      </c>
      <c r="F132" s="24" t="s">
        <v>30</v>
      </c>
      <c r="G132" s="24" t="s">
        <v>31</v>
      </c>
      <c r="H132" s="24" t="s">
        <v>1582</v>
      </c>
      <c r="I132" s="24" t="s">
        <v>1583</v>
      </c>
      <c r="J132" s="24" t="s">
        <v>1584</v>
      </c>
      <c r="K132" s="24" t="s">
        <v>1585</v>
      </c>
      <c r="L132" s="24" t="s">
        <v>52</v>
      </c>
      <c r="M132" s="15"/>
      <c r="N132" s="15"/>
      <c r="O132" s="15" t="s">
        <v>793</v>
      </c>
      <c r="P132" s="15" t="s">
        <v>1586</v>
      </c>
      <c r="Q132" s="15" t="s">
        <v>1587</v>
      </c>
      <c r="R132" s="15" t="s">
        <v>1588</v>
      </c>
      <c r="S132" s="24" t="s">
        <v>39</v>
      </c>
      <c r="T132" s="24" t="s">
        <v>39</v>
      </c>
      <c r="U132" s="24" t="s">
        <v>39</v>
      </c>
      <c r="V132" s="24" t="s">
        <v>39</v>
      </c>
      <c r="W132" s="24" t="s">
        <v>1589</v>
      </c>
      <c r="X132" s="24" t="s">
        <v>1590</v>
      </c>
      <c r="Y132" s="15" t="s">
        <v>1591</v>
      </c>
      <c r="Z132" s="15" t="s">
        <v>1592</v>
      </c>
      <c r="AA132" s="24"/>
      <c r="AB132" s="24"/>
      <c r="AC132" s="24"/>
      <c r="AD132" s="24"/>
      <c r="AE132" s="24"/>
      <c r="AF132" s="24"/>
      <c r="AG132" s="24"/>
      <c r="AH132" s="24"/>
    </row>
    <row r="133" spans="1:34" ht="75" x14ac:dyDescent="0.25">
      <c r="A133" s="24" t="str">
        <f>HYPERLINK("https://www.cpso.on.ca/DoctorDetails/Andrew-Lindsay-Howlett/0242122-86470","Howlett, Andrew Lindsay")</f>
        <v>Howlett, Andrew Lindsay</v>
      </c>
      <c r="B133" s="25" t="s">
        <v>1593</v>
      </c>
      <c r="C133" s="24" t="s">
        <v>1115</v>
      </c>
      <c r="D133" s="24" t="s">
        <v>1594</v>
      </c>
      <c r="E133" s="24" t="s">
        <v>29</v>
      </c>
      <c r="F133" s="24" t="s">
        <v>30</v>
      </c>
      <c r="G133" s="24" t="s">
        <v>31</v>
      </c>
      <c r="H133" s="24" t="s">
        <v>1595</v>
      </c>
      <c r="I133" s="24" t="s">
        <v>1596</v>
      </c>
      <c r="J133" s="24" t="s">
        <v>1597</v>
      </c>
      <c r="K133" s="24" t="s">
        <v>1598</v>
      </c>
      <c r="L133" s="24" t="s">
        <v>52</v>
      </c>
      <c r="M133" s="15" t="s">
        <v>1599</v>
      </c>
      <c r="N133" s="15"/>
      <c r="O133" s="15" t="s">
        <v>1600</v>
      </c>
      <c r="P133" s="15" t="s">
        <v>1074</v>
      </c>
      <c r="Q133" s="15" t="s">
        <v>1601</v>
      </c>
      <c r="R133" s="15" t="s">
        <v>1602</v>
      </c>
      <c r="S133" s="24" t="s">
        <v>39</v>
      </c>
      <c r="T133" s="24" t="s">
        <v>39</v>
      </c>
      <c r="U133" s="24" t="s">
        <v>39</v>
      </c>
      <c r="V133" s="24" t="s">
        <v>39</v>
      </c>
      <c r="W133" s="24"/>
      <c r="X133" s="24"/>
      <c r="Y133" s="15"/>
      <c r="Z133" s="15"/>
      <c r="AA133" s="24"/>
      <c r="AB133" s="24"/>
      <c r="AC133" s="24"/>
      <c r="AD133" s="24"/>
      <c r="AE133" s="24"/>
      <c r="AF133" s="24"/>
      <c r="AG133" s="24"/>
      <c r="AH133" s="24"/>
    </row>
    <row r="134" spans="1:34" ht="75" x14ac:dyDescent="0.25">
      <c r="A134" s="24" t="str">
        <f>HYPERLINK("https://www.cpso.on.ca/DoctorDetails/Andrew-Peter-Gotowiec/0200773-79071","Gotowiec, Andrew Peter")</f>
        <v>Gotowiec, Andrew Peter</v>
      </c>
      <c r="B134" s="25" t="s">
        <v>1603</v>
      </c>
      <c r="C134" s="24" t="s">
        <v>871</v>
      </c>
      <c r="D134" s="24" t="s">
        <v>872</v>
      </c>
      <c r="E134" s="24" t="s">
        <v>29</v>
      </c>
      <c r="F134" s="24" t="s">
        <v>30</v>
      </c>
      <c r="G134" s="24" t="s">
        <v>31</v>
      </c>
      <c r="H134" s="24" t="s">
        <v>1604</v>
      </c>
      <c r="I134" s="24" t="s">
        <v>1605</v>
      </c>
      <c r="J134" s="24" t="s">
        <v>1606</v>
      </c>
      <c r="K134" s="24" t="s">
        <v>1190</v>
      </c>
      <c r="L134" s="24" t="s">
        <v>52</v>
      </c>
      <c r="M134" s="15"/>
      <c r="N134" s="15"/>
      <c r="O134" s="15" t="s">
        <v>1191</v>
      </c>
      <c r="P134" s="15" t="s">
        <v>880</v>
      </c>
      <c r="Q134" s="15" t="s">
        <v>1607</v>
      </c>
      <c r="R134" s="15" t="s">
        <v>882</v>
      </c>
      <c r="S134" s="24" t="s">
        <v>39</v>
      </c>
      <c r="T134" s="24" t="s">
        <v>39</v>
      </c>
      <c r="U134" s="24" t="s">
        <v>39</v>
      </c>
      <c r="V134" s="24" t="s">
        <v>39</v>
      </c>
      <c r="W134" s="24"/>
      <c r="X134" s="24"/>
      <c r="Y134" s="15"/>
      <c r="Z134" s="15"/>
      <c r="AA134" s="24"/>
      <c r="AB134" s="24"/>
      <c r="AC134" s="24"/>
      <c r="AD134" s="24"/>
      <c r="AE134" s="24"/>
      <c r="AF134" s="24"/>
      <c r="AG134" s="24"/>
      <c r="AH134" s="24"/>
    </row>
    <row r="135" spans="1:34" ht="150" x14ac:dyDescent="0.25">
      <c r="A135" s="24" t="str">
        <f>HYPERLINK("https://www.cpso.on.ca/DoctorDetails/Andrew-Stewart-Wiens/0044368-58346","Wiens, Andrew Stewart")</f>
        <v>Wiens, Andrew Stewart</v>
      </c>
      <c r="B135" s="25" t="s">
        <v>1608</v>
      </c>
      <c r="C135" s="24" t="s">
        <v>1609</v>
      </c>
      <c r="D135" s="24" t="s">
        <v>1610</v>
      </c>
      <c r="E135" s="24" t="s">
        <v>29</v>
      </c>
      <c r="F135" s="24" t="s">
        <v>30</v>
      </c>
      <c r="G135" s="24" t="s">
        <v>813</v>
      </c>
      <c r="H135" s="24" t="s">
        <v>1611</v>
      </c>
      <c r="I135" s="24" t="s">
        <v>708</v>
      </c>
      <c r="J135" s="24" t="s">
        <v>1612</v>
      </c>
      <c r="K135" s="24" t="s">
        <v>1613</v>
      </c>
      <c r="L135" s="24" t="s">
        <v>84</v>
      </c>
      <c r="M135" s="15"/>
      <c r="N135" s="15"/>
      <c r="O135" s="15" t="s">
        <v>1614</v>
      </c>
      <c r="P135" s="15" t="s">
        <v>1615</v>
      </c>
      <c r="Q135" s="15" t="s">
        <v>1616</v>
      </c>
      <c r="R135" s="15" t="s">
        <v>1617</v>
      </c>
      <c r="S135" s="24" t="s">
        <v>39</v>
      </c>
      <c r="T135" s="24" t="s">
        <v>39</v>
      </c>
      <c r="U135" s="24" t="s">
        <v>39</v>
      </c>
      <c r="V135" s="24" t="s">
        <v>39</v>
      </c>
      <c r="W135" s="24" t="s">
        <v>1618</v>
      </c>
      <c r="X135" s="24" t="s">
        <v>1619</v>
      </c>
      <c r="Y135" s="15" t="s">
        <v>1620</v>
      </c>
      <c r="Z135" s="15" t="s">
        <v>1621</v>
      </c>
      <c r="AA135" s="24"/>
      <c r="AB135" s="24"/>
      <c r="AC135" s="24"/>
      <c r="AD135" s="24"/>
      <c r="AE135" s="24"/>
      <c r="AF135" s="24"/>
      <c r="AG135" s="24"/>
      <c r="AH135" s="24"/>
    </row>
    <row r="136" spans="1:34" ht="90" x14ac:dyDescent="0.25">
      <c r="A136" s="24" t="str">
        <f>HYPERLINK("https://www.cpso.on.ca/DoctorDetails/Andrew-William-Morgan/0242096-86203","Morgan, Andrew William")</f>
        <v>Morgan, Andrew William</v>
      </c>
      <c r="B136" s="25" t="s">
        <v>1622</v>
      </c>
      <c r="C136" s="24" t="s">
        <v>1115</v>
      </c>
      <c r="D136" s="24" t="s">
        <v>1594</v>
      </c>
      <c r="E136" s="24" t="s">
        <v>29</v>
      </c>
      <c r="F136" s="24" t="s">
        <v>30</v>
      </c>
      <c r="G136" s="24" t="s">
        <v>31</v>
      </c>
      <c r="H136" s="24" t="s">
        <v>1623</v>
      </c>
      <c r="I136" s="24" t="s">
        <v>1624</v>
      </c>
      <c r="J136" s="24" t="s">
        <v>1625</v>
      </c>
      <c r="K136" s="24" t="s">
        <v>1626</v>
      </c>
      <c r="L136" s="24" t="s">
        <v>36</v>
      </c>
      <c r="M136" s="15" t="s">
        <v>1627</v>
      </c>
      <c r="N136" s="15"/>
      <c r="O136" s="15" t="s">
        <v>1628</v>
      </c>
      <c r="P136" s="15" t="s">
        <v>1629</v>
      </c>
      <c r="Q136" s="15" t="s">
        <v>1630</v>
      </c>
      <c r="R136" s="15" t="s">
        <v>1602</v>
      </c>
      <c r="S136" s="24" t="s">
        <v>39</v>
      </c>
      <c r="T136" s="24" t="s">
        <v>39</v>
      </c>
      <c r="U136" s="24" t="s">
        <v>39</v>
      </c>
      <c r="V136" s="24" t="s">
        <v>39</v>
      </c>
      <c r="W136" s="24" t="s">
        <v>1631</v>
      </c>
      <c r="X136" s="24" t="s">
        <v>1632</v>
      </c>
      <c r="Y136" s="15" t="s">
        <v>1633</v>
      </c>
      <c r="Z136" s="15" t="s">
        <v>1634</v>
      </c>
      <c r="AA136" s="24"/>
      <c r="AB136" s="24"/>
      <c r="AC136" s="24"/>
      <c r="AD136" s="24"/>
      <c r="AE136" s="24"/>
      <c r="AF136" s="24"/>
      <c r="AG136" s="24"/>
      <c r="AH136" s="24"/>
    </row>
    <row r="137" spans="1:34" ht="90" x14ac:dyDescent="0.25">
      <c r="A137" s="24" t="str">
        <f>HYPERLINK("https://www.cpso.on.ca/DoctorDetails/Andriy-Kolchak/0225298-83466","Kolchak, Andriy")</f>
        <v>Kolchak, Andriy</v>
      </c>
      <c r="B137" s="25" t="s">
        <v>1635</v>
      </c>
      <c r="C137" s="24" t="s">
        <v>1636</v>
      </c>
      <c r="D137" s="24" t="s">
        <v>1637</v>
      </c>
      <c r="E137" s="24" t="s">
        <v>29</v>
      </c>
      <c r="F137" s="24" t="s">
        <v>30</v>
      </c>
      <c r="G137" s="24" t="s">
        <v>873</v>
      </c>
      <c r="H137" s="24" t="s">
        <v>1638</v>
      </c>
      <c r="I137" s="24" t="s">
        <v>1639</v>
      </c>
      <c r="J137" s="24" t="s">
        <v>1640</v>
      </c>
      <c r="K137" s="24"/>
      <c r="L137" s="24"/>
      <c r="M137" s="15"/>
      <c r="N137" s="15" t="s">
        <v>1370</v>
      </c>
      <c r="O137" s="15"/>
      <c r="P137" s="15" t="s">
        <v>1641</v>
      </c>
      <c r="Q137" s="15" t="s">
        <v>1642</v>
      </c>
      <c r="R137" s="15" t="s">
        <v>1643</v>
      </c>
      <c r="S137" s="24" t="s">
        <v>39</v>
      </c>
      <c r="T137" s="24" t="s">
        <v>39</v>
      </c>
      <c r="U137" s="24" t="s">
        <v>39</v>
      </c>
      <c r="V137" s="24" t="s">
        <v>39</v>
      </c>
      <c r="W137" s="24"/>
      <c r="X137" s="24"/>
      <c r="Y137" s="15"/>
      <c r="Z137" s="15"/>
      <c r="AA137" s="24"/>
      <c r="AB137" s="24"/>
      <c r="AC137" s="24"/>
      <c r="AD137" s="24"/>
      <c r="AE137" s="24"/>
      <c r="AF137" s="24"/>
      <c r="AG137" s="24"/>
      <c r="AH137" s="24"/>
    </row>
    <row r="138" spans="1:34" ht="90" x14ac:dyDescent="0.25">
      <c r="A138" s="24" t="str">
        <f>HYPERLINK("https://www.cpso.on.ca/DoctorDetails/Andriy-Valeriyovych-Samokhvalov/0264177-92491","Samokhvalov, Andriy Valeriyovych")</f>
        <v>Samokhvalov, Andriy Valeriyovych</v>
      </c>
      <c r="B138" s="25" t="s">
        <v>1644</v>
      </c>
      <c r="C138" s="24" t="s">
        <v>1645</v>
      </c>
      <c r="D138" s="24" t="s">
        <v>1646</v>
      </c>
      <c r="E138" s="24" t="s">
        <v>29</v>
      </c>
      <c r="F138" s="24" t="s">
        <v>30</v>
      </c>
      <c r="G138" s="24" t="s">
        <v>1647</v>
      </c>
      <c r="H138" s="24" t="s">
        <v>1648</v>
      </c>
      <c r="I138" s="24" t="s">
        <v>1649</v>
      </c>
      <c r="J138" s="24" t="s">
        <v>1650</v>
      </c>
      <c r="K138" s="24" t="s">
        <v>1651</v>
      </c>
      <c r="L138" s="24" t="s">
        <v>52</v>
      </c>
      <c r="M138" s="15"/>
      <c r="N138" s="15"/>
      <c r="O138" s="15" t="s">
        <v>981</v>
      </c>
      <c r="P138" s="15" t="s">
        <v>936</v>
      </c>
      <c r="Q138" s="15" t="s">
        <v>1652</v>
      </c>
      <c r="R138" s="15" t="s">
        <v>1653</v>
      </c>
      <c r="S138" s="24" t="s">
        <v>71</v>
      </c>
      <c r="T138" s="24" t="s">
        <v>39</v>
      </c>
      <c r="U138" s="24" t="s">
        <v>39</v>
      </c>
      <c r="V138" s="24" t="s">
        <v>39</v>
      </c>
      <c r="W138" s="24"/>
      <c r="X138" s="24"/>
      <c r="Y138" s="15"/>
      <c r="Z138" s="15"/>
      <c r="AA138" s="24"/>
      <c r="AB138" s="24"/>
      <c r="AC138" s="24"/>
      <c r="AD138" s="24"/>
      <c r="AE138" s="24"/>
      <c r="AF138" s="24"/>
      <c r="AG138" s="24"/>
      <c r="AH138" s="24"/>
    </row>
    <row r="139" spans="1:34" x14ac:dyDescent="0.25">
      <c r="A139" s="24" t="str">
        <f>HYPERLINK("https://www.cpso.on.ca/DoctorDetails/Andrzej-Zebrowski/0163946-73818","Zebrowski, Andrzej")</f>
        <v>Zebrowski, Andrzej</v>
      </c>
      <c r="B139" s="25" t="s">
        <v>1654</v>
      </c>
      <c r="C139" s="24" t="s">
        <v>1655</v>
      </c>
      <c r="D139" s="24" t="s">
        <v>1656</v>
      </c>
      <c r="E139" s="24" t="s">
        <v>29</v>
      </c>
      <c r="F139" s="24" t="s">
        <v>30</v>
      </c>
      <c r="G139" s="24" t="s">
        <v>1657</v>
      </c>
      <c r="H139" s="24" t="s">
        <v>1658</v>
      </c>
      <c r="I139" s="24" t="s">
        <v>1659</v>
      </c>
      <c r="J139" s="24" t="s">
        <v>1660</v>
      </c>
      <c r="K139" s="24" t="s">
        <v>1661</v>
      </c>
      <c r="L139" s="24" t="s">
        <v>184</v>
      </c>
      <c r="M139" s="15"/>
      <c r="N139" s="15"/>
      <c r="O139" s="15" t="s">
        <v>1662</v>
      </c>
      <c r="P139" s="15" t="s">
        <v>1007</v>
      </c>
      <c r="Q139" s="15"/>
      <c r="R139" s="15" t="s">
        <v>1663</v>
      </c>
      <c r="S139" s="24" t="s">
        <v>39</v>
      </c>
      <c r="T139" s="24" t="s">
        <v>39</v>
      </c>
      <c r="U139" s="24" t="s">
        <v>39</v>
      </c>
      <c r="V139" s="24" t="s">
        <v>39</v>
      </c>
      <c r="W139" s="24" t="s">
        <v>1664</v>
      </c>
      <c r="X139" s="24" t="s">
        <v>1665</v>
      </c>
      <c r="Y139" s="15" t="s">
        <v>1666</v>
      </c>
      <c r="Z139" s="15" t="s">
        <v>1667</v>
      </c>
      <c r="AA139" s="24"/>
      <c r="AB139" s="24"/>
      <c r="AC139" s="24"/>
      <c r="AD139" s="24"/>
      <c r="AE139" s="24"/>
      <c r="AF139" s="24"/>
      <c r="AG139" s="24"/>
      <c r="AH139" s="24"/>
    </row>
    <row r="140" spans="1:34" ht="75" x14ac:dyDescent="0.25">
      <c r="A140" s="24" t="str">
        <f>HYPERLINK("https://www.cpso.on.ca/DoctorDetails/Andy-San-Cheok/0056426-68014","Cheok, Andy San")</f>
        <v>Cheok, Andy San</v>
      </c>
      <c r="B140" s="25" t="s">
        <v>1668</v>
      </c>
      <c r="C140" s="24" t="s">
        <v>1669</v>
      </c>
      <c r="D140" s="24" t="s">
        <v>1670</v>
      </c>
      <c r="E140" s="24" t="s">
        <v>29</v>
      </c>
      <c r="F140" s="24" t="s">
        <v>30</v>
      </c>
      <c r="G140" s="24" t="s">
        <v>31</v>
      </c>
      <c r="H140" s="24" t="s">
        <v>1671</v>
      </c>
      <c r="I140" s="24" t="s">
        <v>1672</v>
      </c>
      <c r="J140" s="24" t="s">
        <v>1673</v>
      </c>
      <c r="K140" s="24" t="s">
        <v>1674</v>
      </c>
      <c r="L140" s="24" t="s">
        <v>328</v>
      </c>
      <c r="M140" s="15" t="s">
        <v>1675</v>
      </c>
      <c r="N140" s="15"/>
      <c r="O140" s="15" t="s">
        <v>1676</v>
      </c>
      <c r="P140" s="15" t="s">
        <v>1677</v>
      </c>
      <c r="Q140" s="15" t="s">
        <v>1678</v>
      </c>
      <c r="R140" s="15" t="s">
        <v>1679</v>
      </c>
      <c r="S140" s="24" t="s">
        <v>39</v>
      </c>
      <c r="T140" s="24" t="s">
        <v>39</v>
      </c>
      <c r="U140" s="24" t="s">
        <v>39</v>
      </c>
      <c r="V140" s="24" t="s">
        <v>39</v>
      </c>
      <c r="W140" s="24" t="s">
        <v>1680</v>
      </c>
      <c r="X140" s="24" t="s">
        <v>1681</v>
      </c>
      <c r="Y140" s="15" t="s">
        <v>1682</v>
      </c>
      <c r="Z140" s="15" t="s">
        <v>1683</v>
      </c>
      <c r="AA140" s="24"/>
      <c r="AB140" s="24"/>
      <c r="AC140" s="24"/>
      <c r="AD140" s="24"/>
      <c r="AE140" s="24"/>
      <c r="AF140" s="24"/>
      <c r="AG140" s="24"/>
      <c r="AH140" s="24"/>
    </row>
    <row r="141" spans="1:34" ht="120" x14ac:dyDescent="0.25">
      <c r="A141" s="24" t="str">
        <f>HYPERLINK("https://www.cpso.on.ca/DoctorDetails/Anelia-Konstantinova-Raviele/0268174-94593","Raviele, Anelia Konstantinova")</f>
        <v>Raviele, Anelia Konstantinova</v>
      </c>
      <c r="B141" s="25" t="s">
        <v>1684</v>
      </c>
      <c r="C141" s="24" t="s">
        <v>1685</v>
      </c>
      <c r="D141" s="24" t="s">
        <v>1686</v>
      </c>
      <c r="E141" s="24" t="s">
        <v>29</v>
      </c>
      <c r="F141" s="24" t="s">
        <v>47</v>
      </c>
      <c r="G141" s="24" t="s">
        <v>1687</v>
      </c>
      <c r="H141" s="24" t="s">
        <v>1688</v>
      </c>
      <c r="I141" s="24" t="s">
        <v>1689</v>
      </c>
      <c r="J141" s="24" t="s">
        <v>1690</v>
      </c>
      <c r="K141" s="24"/>
      <c r="L141" s="24" t="s">
        <v>36</v>
      </c>
      <c r="M141" s="15"/>
      <c r="N141" s="15"/>
      <c r="O141" s="15" t="s">
        <v>1691</v>
      </c>
      <c r="P141" s="15" t="s">
        <v>1692</v>
      </c>
      <c r="Q141" s="15"/>
      <c r="R141" s="15" t="s">
        <v>1693</v>
      </c>
      <c r="S141" s="24" t="s">
        <v>71</v>
      </c>
      <c r="T141" s="24" t="s">
        <v>39</v>
      </c>
      <c r="U141" s="24" t="s">
        <v>39</v>
      </c>
      <c r="V141" s="24" t="s">
        <v>39</v>
      </c>
      <c r="W141" s="24" t="s">
        <v>1694</v>
      </c>
      <c r="X141" s="24" t="s">
        <v>1695</v>
      </c>
      <c r="Y141" s="15" t="s">
        <v>1696</v>
      </c>
      <c r="Z141" s="15" t="s">
        <v>1697</v>
      </c>
      <c r="AA141" s="24"/>
      <c r="AB141" s="24"/>
      <c r="AC141" s="24"/>
      <c r="AD141" s="24"/>
      <c r="AE141" s="24"/>
      <c r="AF141" s="24"/>
      <c r="AG141" s="24"/>
      <c r="AH141" s="24"/>
    </row>
    <row r="142" spans="1:34" ht="90" x14ac:dyDescent="0.25">
      <c r="A142" s="24" t="str">
        <f>HYPERLINK("https://www.cpso.on.ca/DoctorDetails/Angela-Christine-Golas/0265750-93266","Golas, Angela Christine")</f>
        <v>Golas, Angela Christine</v>
      </c>
      <c r="B142" s="25" t="s">
        <v>1698</v>
      </c>
      <c r="C142" s="24" t="s">
        <v>570</v>
      </c>
      <c r="D142" s="24" t="s">
        <v>571</v>
      </c>
      <c r="E142" s="24" t="s">
        <v>29</v>
      </c>
      <c r="F142" s="24" t="s">
        <v>47</v>
      </c>
      <c r="G142" s="24" t="s">
        <v>31</v>
      </c>
      <c r="H142" s="24" t="s">
        <v>1699</v>
      </c>
      <c r="I142" s="24" t="s">
        <v>1700</v>
      </c>
      <c r="J142" s="24" t="s">
        <v>1262</v>
      </c>
      <c r="K142" s="24" t="s">
        <v>1701</v>
      </c>
      <c r="L142" s="24" t="s">
        <v>52</v>
      </c>
      <c r="M142" s="15" t="s">
        <v>1702</v>
      </c>
      <c r="N142" s="15" t="s">
        <v>342</v>
      </c>
      <c r="O142" s="15" t="s">
        <v>1703</v>
      </c>
      <c r="P142" s="15" t="s">
        <v>1704</v>
      </c>
      <c r="Q142" s="15" t="s">
        <v>1705</v>
      </c>
      <c r="R142" s="15" t="s">
        <v>1706</v>
      </c>
      <c r="S142" s="24" t="s">
        <v>39</v>
      </c>
      <c r="T142" s="24" t="s">
        <v>39</v>
      </c>
      <c r="U142" s="24" t="s">
        <v>39</v>
      </c>
      <c r="V142" s="24" t="s">
        <v>39</v>
      </c>
      <c r="W142" s="24" t="s">
        <v>1707</v>
      </c>
      <c r="X142" s="24" t="s">
        <v>1708</v>
      </c>
      <c r="Y142" s="15" t="s">
        <v>1709</v>
      </c>
      <c r="Z142" s="15" t="s">
        <v>1710</v>
      </c>
      <c r="AA142" s="24"/>
      <c r="AB142" s="24"/>
      <c r="AC142" s="24"/>
      <c r="AD142" s="24"/>
      <c r="AE142" s="24"/>
      <c r="AF142" s="24"/>
      <c r="AG142" s="24"/>
      <c r="AH142" s="24"/>
    </row>
    <row r="143" spans="1:34" ht="75" x14ac:dyDescent="0.25">
      <c r="A143" s="24" t="str">
        <f>HYPERLINK("https://www.cpso.on.ca/DoctorDetails/Angela-Onkay-Ho/0257912-90794","Ho, Angela Onkay")</f>
        <v>Ho, Angela Onkay</v>
      </c>
      <c r="B143" s="25" t="s">
        <v>1711</v>
      </c>
      <c r="C143" s="24" t="s">
        <v>442</v>
      </c>
      <c r="D143" s="24" t="s">
        <v>443</v>
      </c>
      <c r="E143" s="24" t="s">
        <v>29</v>
      </c>
      <c r="F143" s="24" t="s">
        <v>47</v>
      </c>
      <c r="G143" s="24" t="s">
        <v>31</v>
      </c>
      <c r="H143" s="24" t="s">
        <v>444</v>
      </c>
      <c r="I143" s="24" t="s">
        <v>1712</v>
      </c>
      <c r="J143" s="24" t="s">
        <v>1713</v>
      </c>
      <c r="K143" s="24" t="s">
        <v>1714</v>
      </c>
      <c r="L143" s="24" t="s">
        <v>52</v>
      </c>
      <c r="M143" s="15" t="s">
        <v>1715</v>
      </c>
      <c r="N143" s="15"/>
      <c r="O143" s="15" t="s">
        <v>1716</v>
      </c>
      <c r="P143" s="15" t="s">
        <v>449</v>
      </c>
      <c r="Q143" s="15" t="s">
        <v>450</v>
      </c>
      <c r="R143" s="15" t="s">
        <v>451</v>
      </c>
      <c r="S143" s="24" t="s">
        <v>39</v>
      </c>
      <c r="T143" s="24" t="s">
        <v>39</v>
      </c>
      <c r="U143" s="24" t="s">
        <v>39</v>
      </c>
      <c r="V143" s="24" t="s">
        <v>39</v>
      </c>
      <c r="W143" s="24"/>
      <c r="X143" s="24"/>
      <c r="Y143" s="15"/>
      <c r="Z143" s="15"/>
      <c r="AA143" s="24"/>
      <c r="AB143" s="24"/>
      <c r="AC143" s="24"/>
      <c r="AD143" s="24"/>
      <c r="AE143" s="24"/>
      <c r="AF143" s="24"/>
      <c r="AG143" s="24"/>
      <c r="AH143" s="24"/>
    </row>
    <row r="144" spans="1:34" ht="75" x14ac:dyDescent="0.25">
      <c r="A144" s="24" t="str">
        <f>HYPERLINK("https://www.cpso.on.ca/DoctorDetails/Angela-Rebecca-Koritnik/0052591-66555","Koritnik, Angela Rebecca")</f>
        <v>Koritnik, Angela Rebecca</v>
      </c>
      <c r="B144" s="25" t="s">
        <v>1717</v>
      </c>
      <c r="C144" s="24" t="s">
        <v>1718</v>
      </c>
      <c r="D144" s="24" t="s">
        <v>1719</v>
      </c>
      <c r="E144" s="24" t="s">
        <v>29</v>
      </c>
      <c r="F144" s="24" t="s">
        <v>47</v>
      </c>
      <c r="G144" s="24" t="s">
        <v>31</v>
      </c>
      <c r="H144" s="24" t="s">
        <v>1720</v>
      </c>
      <c r="I144" s="24" t="s">
        <v>1721</v>
      </c>
      <c r="J144" s="24" t="s">
        <v>1722</v>
      </c>
      <c r="K144" s="24"/>
      <c r="L144" s="24" t="s">
        <v>84</v>
      </c>
      <c r="M144" s="15"/>
      <c r="N144" s="15"/>
      <c r="O144" s="15"/>
      <c r="P144" s="15" t="s">
        <v>1723</v>
      </c>
      <c r="Q144" s="15" t="s">
        <v>1724</v>
      </c>
      <c r="R144" s="15" t="s">
        <v>1725</v>
      </c>
      <c r="S144" s="24" t="s">
        <v>39</v>
      </c>
      <c r="T144" s="24" t="s">
        <v>39</v>
      </c>
      <c r="U144" s="24" t="s">
        <v>39</v>
      </c>
      <c r="V144" s="24" t="s">
        <v>39</v>
      </c>
      <c r="W144" s="24"/>
      <c r="X144" s="24"/>
      <c r="Y144" s="15"/>
      <c r="Z144" s="15"/>
      <c r="AA144" s="24"/>
      <c r="AB144" s="24"/>
      <c r="AC144" s="24"/>
      <c r="AD144" s="24"/>
      <c r="AE144" s="24"/>
      <c r="AF144" s="24"/>
      <c r="AG144" s="24"/>
      <c r="AH144" s="24"/>
    </row>
    <row r="145" spans="1:34" ht="30" x14ac:dyDescent="0.25">
      <c r="A145" s="24" t="str">
        <f>HYPERLINK("https://www.cpso.on.ca/DoctorDetails/Angelica-Staniloiu/0186275-77136","Staniloiu, Angelica")</f>
        <v>Staniloiu, Angelica</v>
      </c>
      <c r="B145" s="25" t="s">
        <v>1726</v>
      </c>
      <c r="C145" s="24" t="s">
        <v>1727</v>
      </c>
      <c r="D145" s="24" t="s">
        <v>1728</v>
      </c>
      <c r="E145" s="24" t="s">
        <v>29</v>
      </c>
      <c r="F145" s="24" t="s">
        <v>47</v>
      </c>
      <c r="G145" s="24" t="s">
        <v>1729</v>
      </c>
      <c r="H145" s="24" t="s">
        <v>1730</v>
      </c>
      <c r="I145" s="24" t="s">
        <v>1731</v>
      </c>
      <c r="J145" s="24" t="s">
        <v>1732</v>
      </c>
      <c r="K145" s="24" t="s">
        <v>1733</v>
      </c>
      <c r="L145" s="24"/>
      <c r="M145" s="15"/>
      <c r="N145" s="15" t="s">
        <v>1734</v>
      </c>
      <c r="O145" s="15"/>
      <c r="P145" s="15" t="s">
        <v>1735</v>
      </c>
      <c r="Q145" s="15" t="s">
        <v>1736</v>
      </c>
      <c r="R145" s="15" t="s">
        <v>1737</v>
      </c>
      <c r="S145" s="24" t="s">
        <v>39</v>
      </c>
      <c r="T145" s="24" t="s">
        <v>39</v>
      </c>
      <c r="U145" s="24" t="s">
        <v>39</v>
      </c>
      <c r="V145" s="24" t="s">
        <v>39</v>
      </c>
      <c r="W145" s="24"/>
      <c r="X145" s="24"/>
      <c r="Y145" s="15"/>
      <c r="Z145" s="15"/>
      <c r="AA145" s="24"/>
      <c r="AB145" s="24"/>
      <c r="AC145" s="24"/>
      <c r="AD145" s="24"/>
      <c r="AE145" s="24"/>
      <c r="AF145" s="24"/>
      <c r="AG145" s="24"/>
      <c r="AH145" s="24"/>
    </row>
    <row r="146" spans="1:34" ht="90" x14ac:dyDescent="0.25">
      <c r="A146" s="24" t="str">
        <f>HYPERLINK("https://www.cpso.on.ca/DoctorDetails/Angelita-Rodriguez-Sanchez/0235431-85670","Sanchez, Angelita Rodriguez")</f>
        <v>Sanchez, Angelita Rodriguez</v>
      </c>
      <c r="B146" s="25" t="s">
        <v>1738</v>
      </c>
      <c r="C146" s="24" t="s">
        <v>1739</v>
      </c>
      <c r="D146" s="24" t="s">
        <v>1740</v>
      </c>
      <c r="E146" s="24" t="s">
        <v>29</v>
      </c>
      <c r="F146" s="24" t="s">
        <v>47</v>
      </c>
      <c r="G146" s="24" t="s">
        <v>861</v>
      </c>
      <c r="H146" s="24" t="s">
        <v>1741</v>
      </c>
      <c r="I146" s="24" t="s">
        <v>1742</v>
      </c>
      <c r="J146" s="24" t="s">
        <v>1743</v>
      </c>
      <c r="K146" s="24" t="s">
        <v>1744</v>
      </c>
      <c r="L146" s="24" t="s">
        <v>328</v>
      </c>
      <c r="M146" s="15"/>
      <c r="N146" s="15" t="s">
        <v>1745</v>
      </c>
      <c r="O146" s="15" t="s">
        <v>1746</v>
      </c>
      <c r="P146" s="15" t="s">
        <v>1747</v>
      </c>
      <c r="Q146" s="15"/>
      <c r="R146" s="15" t="s">
        <v>1748</v>
      </c>
      <c r="S146" s="24" t="s">
        <v>39</v>
      </c>
      <c r="T146" s="24" t="s">
        <v>39</v>
      </c>
      <c r="U146" s="24" t="s">
        <v>39</v>
      </c>
      <c r="V146" s="24" t="s">
        <v>39</v>
      </c>
      <c r="W146" s="24" t="s">
        <v>1749</v>
      </c>
      <c r="X146" s="24" t="s">
        <v>1750</v>
      </c>
      <c r="Y146" s="15" t="s">
        <v>1751</v>
      </c>
      <c r="Z146" s="15" t="s">
        <v>1752</v>
      </c>
      <c r="AA146" s="24"/>
      <c r="AB146" s="24"/>
      <c r="AC146" s="24"/>
      <c r="AD146" s="24"/>
      <c r="AE146" s="24"/>
      <c r="AF146" s="24"/>
      <c r="AG146" s="24"/>
      <c r="AH146" s="24"/>
    </row>
    <row r="147" spans="1:34" ht="45" x14ac:dyDescent="0.25">
      <c r="A147" s="24" t="str">
        <f>HYPERLINK("https://www.cpso.on.ca/DoctorDetails/Angie-Danyluk/0221301-90377","Danyluk, Angie")</f>
        <v>Danyluk, Angie</v>
      </c>
      <c r="B147" s="25" t="s">
        <v>1753</v>
      </c>
      <c r="C147" s="24" t="s">
        <v>1754</v>
      </c>
      <c r="D147" s="24" t="s">
        <v>1755</v>
      </c>
      <c r="E147" s="24" t="s">
        <v>29</v>
      </c>
      <c r="F147" s="24" t="s">
        <v>47</v>
      </c>
      <c r="G147" s="24" t="s">
        <v>31</v>
      </c>
      <c r="H147" s="24" t="s">
        <v>1756</v>
      </c>
      <c r="I147" s="24" t="s">
        <v>1757</v>
      </c>
      <c r="J147" s="24" t="s">
        <v>1758</v>
      </c>
      <c r="K147" s="24" t="s">
        <v>1759</v>
      </c>
      <c r="L147" s="24" t="s">
        <v>36</v>
      </c>
      <c r="M147" s="15"/>
      <c r="N147" s="15"/>
      <c r="O147" s="15" t="s">
        <v>1760</v>
      </c>
      <c r="P147" s="15" t="s">
        <v>1761</v>
      </c>
      <c r="Q147" s="15" t="s">
        <v>1762</v>
      </c>
      <c r="R147" s="15" t="s">
        <v>1763</v>
      </c>
      <c r="S147" s="24" t="s">
        <v>39</v>
      </c>
      <c r="T147" s="24" t="s">
        <v>39</v>
      </c>
      <c r="U147" s="24" t="s">
        <v>39</v>
      </c>
      <c r="V147" s="24" t="s">
        <v>39</v>
      </c>
      <c r="W147" s="24"/>
      <c r="X147" s="24"/>
      <c r="Y147" s="15"/>
      <c r="Z147" s="15"/>
      <c r="AA147" s="24"/>
      <c r="AB147" s="24"/>
      <c r="AC147" s="24"/>
      <c r="AD147" s="24"/>
      <c r="AE147" s="24"/>
      <c r="AF147" s="24"/>
      <c r="AG147" s="24"/>
      <c r="AH147" s="24"/>
    </row>
    <row r="148" spans="1:34" ht="30" x14ac:dyDescent="0.25">
      <c r="A148" s="24" t="str">
        <f>HYPERLINK("https://www.cpso.on.ca/DoctorDetails/Anil-Paul-Joseph/0161119-74155","Joseph, Anil Paul")</f>
        <v>Joseph, Anil Paul</v>
      </c>
      <c r="B148" s="25" t="s">
        <v>1764</v>
      </c>
      <c r="C148" s="24" t="s">
        <v>1765</v>
      </c>
      <c r="D148" s="24" t="s">
        <v>1766</v>
      </c>
      <c r="E148" s="24" t="s">
        <v>29</v>
      </c>
      <c r="F148" s="24" t="s">
        <v>30</v>
      </c>
      <c r="G148" s="24" t="s">
        <v>1245</v>
      </c>
      <c r="H148" s="24" t="s">
        <v>1767</v>
      </c>
      <c r="I148" s="24" t="s">
        <v>1768</v>
      </c>
      <c r="J148" s="24" t="s">
        <v>1769</v>
      </c>
      <c r="K148" s="24" t="s">
        <v>1744</v>
      </c>
      <c r="L148" s="24" t="s">
        <v>328</v>
      </c>
      <c r="M148" s="15" t="s">
        <v>1770</v>
      </c>
      <c r="N148" s="15"/>
      <c r="O148" s="15" t="s">
        <v>1746</v>
      </c>
      <c r="P148" s="15" t="s">
        <v>1771</v>
      </c>
      <c r="Q148" s="15"/>
      <c r="R148" s="15" t="s">
        <v>1772</v>
      </c>
      <c r="S148" s="24" t="s">
        <v>39</v>
      </c>
      <c r="T148" s="24" t="s">
        <v>39</v>
      </c>
      <c r="U148" s="24" t="s">
        <v>39</v>
      </c>
      <c r="V148" s="24" t="s">
        <v>39</v>
      </c>
      <c r="W148" s="24" t="s">
        <v>1773</v>
      </c>
      <c r="X148" s="24" t="s">
        <v>1774</v>
      </c>
      <c r="Y148" s="15" t="s">
        <v>1775</v>
      </c>
      <c r="Z148" s="15" t="s">
        <v>1776</v>
      </c>
      <c r="AA148" s="24"/>
      <c r="AB148" s="24"/>
      <c r="AC148" s="24"/>
      <c r="AD148" s="24"/>
      <c r="AE148" s="24"/>
      <c r="AF148" s="24"/>
      <c r="AG148" s="24"/>
      <c r="AH148" s="24"/>
    </row>
    <row r="149" spans="1:34" ht="75" x14ac:dyDescent="0.25">
      <c r="A149" s="24" t="str">
        <f>HYPERLINK("https://www.cpso.on.ca/DoctorDetails/Anil-Srivastava/0200971-79188","Srivastava, Anil")</f>
        <v>Srivastava, Anil</v>
      </c>
      <c r="B149" s="25" t="s">
        <v>1777</v>
      </c>
      <c r="C149" s="24" t="s">
        <v>1778</v>
      </c>
      <c r="D149" s="24" t="s">
        <v>1779</v>
      </c>
      <c r="E149" s="24" t="s">
        <v>29</v>
      </c>
      <c r="F149" s="24" t="s">
        <v>30</v>
      </c>
      <c r="G149" s="24" t="s">
        <v>31</v>
      </c>
      <c r="H149" s="24" t="s">
        <v>1780</v>
      </c>
      <c r="I149" s="24" t="s">
        <v>1781</v>
      </c>
      <c r="J149" s="24" t="s">
        <v>1782</v>
      </c>
      <c r="K149" s="24" t="s">
        <v>1783</v>
      </c>
      <c r="L149" s="24" t="s">
        <v>52</v>
      </c>
      <c r="M149" s="15"/>
      <c r="N149" s="15"/>
      <c r="O149" s="15" t="s">
        <v>1784</v>
      </c>
      <c r="P149" s="15" t="s">
        <v>880</v>
      </c>
      <c r="Q149" s="15" t="s">
        <v>1607</v>
      </c>
      <c r="R149" s="15" t="s">
        <v>1785</v>
      </c>
      <c r="S149" s="24" t="s">
        <v>39</v>
      </c>
      <c r="T149" s="24" t="s">
        <v>39</v>
      </c>
      <c r="U149" s="24" t="s">
        <v>39</v>
      </c>
      <c r="V149" s="24" t="s">
        <v>39</v>
      </c>
      <c r="W149" s="24" t="s">
        <v>1786</v>
      </c>
      <c r="X149" s="24" t="s">
        <v>1787</v>
      </c>
      <c r="Y149" s="15"/>
      <c r="Z149" s="15"/>
      <c r="AA149" s="24"/>
      <c r="AB149" s="24"/>
      <c r="AC149" s="24"/>
      <c r="AD149" s="24"/>
      <c r="AE149" s="24"/>
      <c r="AF149" s="24"/>
      <c r="AG149" s="24"/>
      <c r="AH149" s="24"/>
    </row>
    <row r="150" spans="1:34" ht="30" x14ac:dyDescent="0.25">
      <c r="A150" s="24" t="str">
        <f>HYPERLINK("https://www.cpso.on.ca/DoctorDetails/Anita-Gladys-Caroline-Johnston/0021702-26491","Johnston, Anita Gladys Caroline")</f>
        <v>Johnston, Anita Gladys Caroline</v>
      </c>
      <c r="B150" s="25" t="s">
        <v>1788</v>
      </c>
      <c r="C150" s="24" t="s">
        <v>1789</v>
      </c>
      <c r="D150" s="24" t="s">
        <v>1790</v>
      </c>
      <c r="E150" s="24" t="s">
        <v>29</v>
      </c>
      <c r="F150" s="24" t="s">
        <v>47</v>
      </c>
      <c r="G150" s="24" t="s">
        <v>31</v>
      </c>
      <c r="H150" s="24" t="s">
        <v>455</v>
      </c>
      <c r="I150" s="24" t="s">
        <v>1791</v>
      </c>
      <c r="J150" s="24" t="s">
        <v>1792</v>
      </c>
      <c r="K150" s="24" t="s">
        <v>1793</v>
      </c>
      <c r="L150" s="24" t="s">
        <v>52</v>
      </c>
      <c r="M150" s="15"/>
      <c r="N150" s="15"/>
      <c r="O150" s="15"/>
      <c r="P150" s="15" t="s">
        <v>1794</v>
      </c>
      <c r="Q150" s="15"/>
      <c r="R150" s="15" t="s">
        <v>1795</v>
      </c>
      <c r="S150" s="24" t="s">
        <v>39</v>
      </c>
      <c r="T150" s="24" t="s">
        <v>39</v>
      </c>
      <c r="U150" s="24" t="s">
        <v>39</v>
      </c>
      <c r="V150" s="24" t="s">
        <v>39</v>
      </c>
      <c r="W150" s="24"/>
      <c r="X150" s="24"/>
      <c r="Y150" s="15"/>
      <c r="Z150" s="15"/>
      <c r="AA150" s="24"/>
      <c r="AB150" s="24"/>
      <c r="AC150" s="24"/>
      <c r="AD150" s="24"/>
      <c r="AE150" s="24"/>
      <c r="AF150" s="24"/>
      <c r="AG150" s="24"/>
      <c r="AH150" s="24"/>
    </row>
    <row r="151" spans="1:34" ht="105" x14ac:dyDescent="0.25">
      <c r="A151" s="24" t="str">
        <f>HYPERLINK("https://www.cpso.on.ca/DoctorDetails/Anita-Vohra/0152238-72675","Vohra, Anita")</f>
        <v>Vohra, Anita</v>
      </c>
      <c r="B151" s="25" t="s">
        <v>1796</v>
      </c>
      <c r="C151" s="24" t="s">
        <v>1797</v>
      </c>
      <c r="D151" s="24" t="s">
        <v>1798</v>
      </c>
      <c r="E151" s="24" t="s">
        <v>29</v>
      </c>
      <c r="F151" s="24" t="s">
        <v>47</v>
      </c>
      <c r="G151" s="24" t="s">
        <v>31</v>
      </c>
      <c r="H151" s="24" t="s">
        <v>1799</v>
      </c>
      <c r="I151" s="24" t="s">
        <v>1800</v>
      </c>
      <c r="J151" s="24" t="s">
        <v>1801</v>
      </c>
      <c r="K151" s="24" t="s">
        <v>1802</v>
      </c>
      <c r="L151" s="24" t="s">
        <v>52</v>
      </c>
      <c r="M151" s="15"/>
      <c r="N151" s="15" t="s">
        <v>194</v>
      </c>
      <c r="O151" s="15"/>
      <c r="P151" s="15" t="s">
        <v>1803</v>
      </c>
      <c r="Q151" s="15" t="s">
        <v>1804</v>
      </c>
      <c r="R151" s="15" t="s">
        <v>1805</v>
      </c>
      <c r="S151" s="24" t="s">
        <v>39</v>
      </c>
      <c r="T151" s="24" t="s">
        <v>39</v>
      </c>
      <c r="U151" s="24" t="s">
        <v>39</v>
      </c>
      <c r="V151" s="24" t="s">
        <v>39</v>
      </c>
      <c r="W151" s="24" t="s">
        <v>1806</v>
      </c>
      <c r="X151" s="24" t="s">
        <v>1807</v>
      </c>
      <c r="Y151" s="15" t="s">
        <v>1808</v>
      </c>
      <c r="Z151" s="15" t="s">
        <v>1809</v>
      </c>
      <c r="AA151" s="24"/>
      <c r="AB151" s="24"/>
      <c r="AC151" s="24"/>
      <c r="AD151" s="24"/>
      <c r="AE151" s="24"/>
      <c r="AF151" s="24"/>
      <c r="AG151" s="24"/>
      <c r="AH151" s="24"/>
    </row>
    <row r="152" spans="1:34" ht="120" x14ac:dyDescent="0.25">
      <c r="A152" s="24" t="str">
        <f>HYPERLINK("https://www.cpso.on.ca/DoctorDetails/Anjali-Sharma/0249752-89748","Sharma, Anjali")</f>
        <v>Sharma, Anjali</v>
      </c>
      <c r="B152" s="25" t="s">
        <v>1810</v>
      </c>
      <c r="C152" s="24" t="s">
        <v>1811</v>
      </c>
      <c r="D152" s="24" t="s">
        <v>443</v>
      </c>
      <c r="E152" s="24" t="s">
        <v>29</v>
      </c>
      <c r="F152" s="24" t="s">
        <v>47</v>
      </c>
      <c r="G152" s="24" t="s">
        <v>61</v>
      </c>
      <c r="H152" s="24" t="s">
        <v>1812</v>
      </c>
      <c r="I152" s="24" t="s">
        <v>1813</v>
      </c>
      <c r="J152" s="24" t="s">
        <v>1814</v>
      </c>
      <c r="K152" s="24"/>
      <c r="L152" s="24" t="s">
        <v>152</v>
      </c>
      <c r="M152" s="15"/>
      <c r="N152" s="15"/>
      <c r="O152" s="15" t="s">
        <v>1815</v>
      </c>
      <c r="P152" s="15" t="s">
        <v>449</v>
      </c>
      <c r="Q152" s="15" t="s">
        <v>1816</v>
      </c>
      <c r="R152" s="15" t="s">
        <v>1817</v>
      </c>
      <c r="S152" s="24" t="s">
        <v>39</v>
      </c>
      <c r="T152" s="24" t="s">
        <v>39</v>
      </c>
      <c r="U152" s="24" t="s">
        <v>39</v>
      </c>
      <c r="V152" s="24" t="s">
        <v>39</v>
      </c>
      <c r="W152" s="24" t="s">
        <v>1818</v>
      </c>
      <c r="X152" s="24" t="s">
        <v>1819</v>
      </c>
      <c r="Y152" s="15" t="s">
        <v>1820</v>
      </c>
      <c r="Z152" s="15" t="s">
        <v>1821</v>
      </c>
      <c r="AA152" s="24"/>
      <c r="AB152" s="24"/>
      <c r="AC152" s="24"/>
      <c r="AD152" s="24"/>
      <c r="AE152" s="24"/>
      <c r="AF152" s="24"/>
      <c r="AG152" s="24"/>
      <c r="AH152" s="24"/>
    </row>
    <row r="153" spans="1:34" ht="75" x14ac:dyDescent="0.25">
      <c r="A153" s="24" t="str">
        <f>HYPERLINK("https://www.cpso.on.ca/DoctorDetails/Anjana-Chawla/0234383-84905","Chawla, Anjana")</f>
        <v>Chawla, Anjana</v>
      </c>
      <c r="B153" s="25" t="s">
        <v>1822</v>
      </c>
      <c r="C153" s="24" t="s">
        <v>1823</v>
      </c>
      <c r="D153" s="24" t="s">
        <v>1824</v>
      </c>
      <c r="E153" s="24" t="s">
        <v>29</v>
      </c>
      <c r="F153" s="24" t="s">
        <v>47</v>
      </c>
      <c r="G153" s="24" t="s">
        <v>61</v>
      </c>
      <c r="H153" s="24" t="s">
        <v>1825</v>
      </c>
      <c r="I153" s="24" t="s">
        <v>1826</v>
      </c>
      <c r="J153" s="24" t="s">
        <v>1827</v>
      </c>
      <c r="K153" s="24"/>
      <c r="L153" s="24" t="s">
        <v>36</v>
      </c>
      <c r="M153" s="15" t="s">
        <v>1828</v>
      </c>
      <c r="N153" s="15"/>
      <c r="O153" s="15"/>
      <c r="P153" s="15" t="s">
        <v>1829</v>
      </c>
      <c r="Q153" s="15" t="s">
        <v>1830</v>
      </c>
      <c r="R153" s="15" t="s">
        <v>1831</v>
      </c>
      <c r="S153" s="24" t="s">
        <v>39</v>
      </c>
      <c r="T153" s="24" t="s">
        <v>39</v>
      </c>
      <c r="U153" s="24" t="s">
        <v>39</v>
      </c>
      <c r="V153" s="24" t="s">
        <v>39</v>
      </c>
      <c r="W153" s="24" t="s">
        <v>1832</v>
      </c>
      <c r="X153" s="24" t="s">
        <v>1833</v>
      </c>
      <c r="Y153" s="15" t="s">
        <v>1834</v>
      </c>
      <c r="Z153" s="15" t="s">
        <v>1835</v>
      </c>
      <c r="AA153" s="24"/>
      <c r="AB153" s="24"/>
      <c r="AC153" s="24"/>
      <c r="AD153" s="24"/>
      <c r="AE153" s="24"/>
      <c r="AF153" s="24"/>
      <c r="AG153" s="24"/>
      <c r="AH153" s="24"/>
    </row>
    <row r="154" spans="1:34" ht="75" x14ac:dyDescent="0.25">
      <c r="A154" s="24" t="str">
        <f>HYPERLINK("https://www.cpso.on.ca/DoctorDetails/Ann-Deborah-Jones/0044183-58161","Jones, Ann Deborah")</f>
        <v>Jones, Ann Deborah</v>
      </c>
      <c r="B154" s="25" t="s">
        <v>1836</v>
      </c>
      <c r="C154" s="24" t="s">
        <v>1609</v>
      </c>
      <c r="D154" s="24" t="s">
        <v>1837</v>
      </c>
      <c r="E154" s="24" t="s">
        <v>1838</v>
      </c>
      <c r="F154" s="24" t="s">
        <v>47</v>
      </c>
      <c r="G154" s="24" t="s">
        <v>31</v>
      </c>
      <c r="H154" s="24" t="s">
        <v>1839</v>
      </c>
      <c r="I154" s="24" t="s">
        <v>1840</v>
      </c>
      <c r="J154" s="24" t="s">
        <v>1841</v>
      </c>
      <c r="K154" s="24"/>
      <c r="L154" s="24" t="s">
        <v>36</v>
      </c>
      <c r="M154" s="15"/>
      <c r="N154" s="15"/>
      <c r="O154" s="15" t="s">
        <v>1760</v>
      </c>
      <c r="P154" s="15" t="s">
        <v>1842</v>
      </c>
      <c r="Q154" s="15" t="s">
        <v>1843</v>
      </c>
      <c r="R154" s="15" t="s">
        <v>1844</v>
      </c>
      <c r="S154" s="24" t="s">
        <v>39</v>
      </c>
      <c r="T154" s="24" t="s">
        <v>39</v>
      </c>
      <c r="U154" s="24" t="s">
        <v>39</v>
      </c>
      <c r="V154" s="24" t="s">
        <v>39</v>
      </c>
      <c r="W154" s="24" t="s">
        <v>1845</v>
      </c>
      <c r="X154" s="24" t="s">
        <v>1846</v>
      </c>
      <c r="Y154" s="15" t="s">
        <v>1847</v>
      </c>
      <c r="Z154" s="15" t="s">
        <v>1848</v>
      </c>
      <c r="AA154" s="24"/>
      <c r="AB154" s="24"/>
      <c r="AC154" s="24"/>
      <c r="AD154" s="24"/>
      <c r="AE154" s="24"/>
      <c r="AF154" s="24"/>
      <c r="AG154" s="24"/>
      <c r="AH154" s="24"/>
    </row>
    <row r="155" spans="1:34" ht="60" x14ac:dyDescent="0.25">
      <c r="A155" s="24" t="str">
        <f>HYPERLINK("https://www.cpso.on.ca/DoctorDetails/Anna-Ewa-Rogers/0050978-64957","Rogers, Anna Ewa")</f>
        <v>Rogers, Anna Ewa</v>
      </c>
      <c r="B155" s="25" t="s">
        <v>1849</v>
      </c>
      <c r="C155" s="24" t="s">
        <v>296</v>
      </c>
      <c r="D155" s="24" t="s">
        <v>297</v>
      </c>
      <c r="E155" s="24" t="s">
        <v>1850</v>
      </c>
      <c r="F155" s="24" t="s">
        <v>47</v>
      </c>
      <c r="G155" s="24" t="s">
        <v>31</v>
      </c>
      <c r="H155" s="24" t="s">
        <v>1851</v>
      </c>
      <c r="I155" s="24" t="s">
        <v>1852</v>
      </c>
      <c r="J155" s="24" t="s">
        <v>1853</v>
      </c>
      <c r="K155" s="24" t="s">
        <v>1854</v>
      </c>
      <c r="L155" s="24" t="s">
        <v>328</v>
      </c>
      <c r="M155" s="15"/>
      <c r="N155" s="15"/>
      <c r="O155" s="15" t="s">
        <v>1855</v>
      </c>
      <c r="P155" s="15" t="s">
        <v>1239</v>
      </c>
      <c r="Q155" s="15" t="s">
        <v>1856</v>
      </c>
      <c r="R155" s="15" t="s">
        <v>305</v>
      </c>
      <c r="S155" s="24" t="s">
        <v>39</v>
      </c>
      <c r="T155" s="24" t="s">
        <v>39</v>
      </c>
      <c r="U155" s="24" t="s">
        <v>39</v>
      </c>
      <c r="V155" s="24" t="s">
        <v>39</v>
      </c>
      <c r="W155" s="24" t="s">
        <v>1857</v>
      </c>
      <c r="X155" s="24" t="s">
        <v>1858</v>
      </c>
      <c r="Y155" s="15" t="s">
        <v>1859</v>
      </c>
      <c r="Z155" s="15" t="s">
        <v>1860</v>
      </c>
      <c r="AA155" s="24"/>
      <c r="AB155" s="24"/>
      <c r="AC155" s="24"/>
      <c r="AD155" s="24"/>
      <c r="AE155" s="24"/>
      <c r="AF155" s="24"/>
      <c r="AG155" s="24"/>
      <c r="AH155" s="24"/>
    </row>
    <row r="156" spans="1:34" ht="90" x14ac:dyDescent="0.25">
      <c r="A156" s="24" t="str">
        <f>HYPERLINK("https://www.cpso.on.ca/DoctorDetails/Anna-Krystina-Skorzewska/0139939-71405","Skorzewska, Anna Krystina")</f>
        <v>Skorzewska, Anna Krystina</v>
      </c>
      <c r="B156" s="25" t="s">
        <v>1861</v>
      </c>
      <c r="C156" s="24" t="s">
        <v>1862</v>
      </c>
      <c r="D156" s="24" t="s">
        <v>1863</v>
      </c>
      <c r="E156" s="24" t="s">
        <v>29</v>
      </c>
      <c r="F156" s="24" t="s">
        <v>47</v>
      </c>
      <c r="G156" s="24" t="s">
        <v>813</v>
      </c>
      <c r="H156" s="24" t="s">
        <v>1864</v>
      </c>
      <c r="I156" s="24" t="s">
        <v>1865</v>
      </c>
      <c r="J156" s="24" t="s">
        <v>1866</v>
      </c>
      <c r="K156" s="24" t="s">
        <v>486</v>
      </c>
      <c r="L156" s="24" t="s">
        <v>52</v>
      </c>
      <c r="M156" s="15"/>
      <c r="N156" s="15"/>
      <c r="O156" s="15" t="s">
        <v>1867</v>
      </c>
      <c r="P156" s="15" t="s">
        <v>1868</v>
      </c>
      <c r="Q156" s="15" t="s">
        <v>1869</v>
      </c>
      <c r="R156" s="15" t="s">
        <v>1870</v>
      </c>
      <c r="S156" s="24" t="s">
        <v>39</v>
      </c>
      <c r="T156" s="24" t="s">
        <v>39</v>
      </c>
      <c r="U156" s="24" t="s">
        <v>39</v>
      </c>
      <c r="V156" s="24" t="s">
        <v>39</v>
      </c>
      <c r="W156" s="24"/>
      <c r="X156" s="24"/>
      <c r="Y156" s="15"/>
      <c r="Z156" s="15"/>
      <c r="AA156" s="24"/>
      <c r="AB156" s="24"/>
      <c r="AC156" s="24"/>
      <c r="AD156" s="24"/>
      <c r="AE156" s="24"/>
      <c r="AF156" s="24"/>
      <c r="AG156" s="24"/>
      <c r="AH156" s="24"/>
    </row>
    <row r="157" spans="1:34" ht="45" x14ac:dyDescent="0.25">
      <c r="A157" s="24" t="str">
        <f>HYPERLINK("https://www.cpso.on.ca/DoctorDetails/Anna-Lisa-Reisman/0037512-51488","Reisman, Anna Lisa")</f>
        <v>Reisman, Anna Lisa</v>
      </c>
      <c r="B157" s="25" t="s">
        <v>1871</v>
      </c>
      <c r="C157" s="24" t="s">
        <v>1872</v>
      </c>
      <c r="D157" s="24" t="s">
        <v>1873</v>
      </c>
      <c r="E157" s="24" t="s">
        <v>29</v>
      </c>
      <c r="F157" s="24" t="s">
        <v>47</v>
      </c>
      <c r="G157" s="24" t="s">
        <v>31</v>
      </c>
      <c r="H157" s="24" t="s">
        <v>1874</v>
      </c>
      <c r="I157" s="24" t="s">
        <v>1875</v>
      </c>
      <c r="J157" s="24" t="s">
        <v>1876</v>
      </c>
      <c r="K157" s="24"/>
      <c r="L157" s="24" t="s">
        <v>52</v>
      </c>
      <c r="M157" s="15"/>
      <c r="N157" s="15"/>
      <c r="O157" s="15"/>
      <c r="P157" s="15" t="s">
        <v>1877</v>
      </c>
      <c r="Q157" s="15"/>
      <c r="R157" s="15" t="s">
        <v>1878</v>
      </c>
      <c r="S157" s="24" t="s">
        <v>39</v>
      </c>
      <c r="T157" s="24" t="s">
        <v>39</v>
      </c>
      <c r="U157" s="24" t="s">
        <v>39</v>
      </c>
      <c r="V157" s="24" t="s">
        <v>39</v>
      </c>
      <c r="W157" s="24" t="s">
        <v>1879</v>
      </c>
      <c r="X157" s="24" t="s">
        <v>1880</v>
      </c>
      <c r="Y157" s="15" t="s">
        <v>1881</v>
      </c>
      <c r="Z157" s="15" t="s">
        <v>1882</v>
      </c>
      <c r="AA157" s="24"/>
      <c r="AB157" s="24"/>
      <c r="AC157" s="24"/>
      <c r="AD157" s="24"/>
      <c r="AE157" s="24"/>
      <c r="AF157" s="24"/>
      <c r="AG157" s="24"/>
      <c r="AH157" s="24"/>
    </row>
    <row r="158" spans="1:34" ht="45" x14ac:dyDescent="0.25">
      <c r="A158" s="24" t="str">
        <f>HYPERLINK("https://www.cpso.on.ca/DoctorDetails/Anna-Louise-Butler/0044577-58555","Butler, Anna Louise")</f>
        <v>Butler, Anna Louise</v>
      </c>
      <c r="B158" s="25" t="s">
        <v>1883</v>
      </c>
      <c r="C158" s="24" t="s">
        <v>1884</v>
      </c>
      <c r="D158" s="24" t="s">
        <v>1885</v>
      </c>
      <c r="E158" s="24" t="s">
        <v>29</v>
      </c>
      <c r="F158" s="24" t="s">
        <v>47</v>
      </c>
      <c r="G158" s="24" t="s">
        <v>31</v>
      </c>
      <c r="H158" s="24" t="s">
        <v>1839</v>
      </c>
      <c r="I158" s="24" t="s">
        <v>1886</v>
      </c>
      <c r="J158" s="24" t="s">
        <v>1887</v>
      </c>
      <c r="K158" s="24"/>
      <c r="L158" s="24" t="s">
        <v>184</v>
      </c>
      <c r="M158" s="15"/>
      <c r="N158" s="15"/>
      <c r="O158" s="15"/>
      <c r="P158" s="15" t="s">
        <v>1888</v>
      </c>
      <c r="Q158" s="15"/>
      <c r="R158" s="15" t="s">
        <v>1889</v>
      </c>
      <c r="S158" s="24" t="s">
        <v>39</v>
      </c>
      <c r="T158" s="24" t="s">
        <v>39</v>
      </c>
      <c r="U158" s="24" t="s">
        <v>39</v>
      </c>
      <c r="V158" s="24" t="s">
        <v>39</v>
      </c>
      <c r="W158" s="24"/>
      <c r="X158" s="24"/>
      <c r="Y158" s="15"/>
      <c r="Z158" s="15"/>
      <c r="AA158" s="24"/>
      <c r="AB158" s="24"/>
      <c r="AC158" s="24"/>
      <c r="AD158" s="24"/>
      <c r="AE158" s="24"/>
      <c r="AF158" s="24"/>
      <c r="AG158" s="24"/>
      <c r="AH158" s="24"/>
    </row>
    <row r="159" spans="1:34" ht="75" x14ac:dyDescent="0.25">
      <c r="A159" s="24" t="str">
        <f>HYPERLINK("https://www.cpso.on.ca/DoctorDetails/Anna-Maria-A-Abadir/0288384-101594","Abadir, Anna Maria A")</f>
        <v>Abadir, Anna Maria A</v>
      </c>
      <c r="B159" s="25" t="s">
        <v>1890</v>
      </c>
      <c r="C159" s="24" t="s">
        <v>1891</v>
      </c>
      <c r="D159" s="24" t="s">
        <v>1892</v>
      </c>
      <c r="E159" s="24" t="s">
        <v>29</v>
      </c>
      <c r="F159" s="24" t="s">
        <v>47</v>
      </c>
      <c r="G159" s="24" t="s">
        <v>31</v>
      </c>
      <c r="H159" s="24" t="s">
        <v>1893</v>
      </c>
      <c r="I159" s="24" t="s">
        <v>1894</v>
      </c>
      <c r="J159" s="24"/>
      <c r="K159" s="24"/>
      <c r="L159" s="24" t="s">
        <v>52</v>
      </c>
      <c r="M159" s="15"/>
      <c r="N159" s="15"/>
      <c r="O159" s="15"/>
      <c r="P159" s="15" t="s">
        <v>205</v>
      </c>
      <c r="Q159" s="15" t="s">
        <v>1895</v>
      </c>
      <c r="R159" s="15" t="s">
        <v>1896</v>
      </c>
      <c r="S159" s="24" t="s">
        <v>39</v>
      </c>
      <c r="T159" s="24" t="s">
        <v>39</v>
      </c>
      <c r="U159" s="24" t="s">
        <v>39</v>
      </c>
      <c r="V159" s="24" t="s">
        <v>39</v>
      </c>
      <c r="W159" s="24"/>
      <c r="X159" s="24"/>
      <c r="Y159" s="15"/>
      <c r="Z159" s="15"/>
      <c r="AA159" s="24"/>
      <c r="AB159" s="24"/>
      <c r="AC159" s="24"/>
      <c r="AD159" s="24"/>
      <c r="AE159" s="24"/>
      <c r="AF159" s="24"/>
      <c r="AG159" s="24"/>
      <c r="AH159" s="24"/>
    </row>
    <row r="160" spans="1:34" ht="105" x14ac:dyDescent="0.25">
      <c r="A160" s="24" t="str">
        <f>HYPERLINK("https://www.cpso.on.ca/DoctorDetails/Anna-Pan-Chen/0258327-90734","Chen, Anna Pan")</f>
        <v>Chen, Anna Pan</v>
      </c>
      <c r="B160" s="25" t="s">
        <v>1897</v>
      </c>
      <c r="C160" s="24" t="s">
        <v>1898</v>
      </c>
      <c r="D160" s="24" t="s">
        <v>1899</v>
      </c>
      <c r="E160" s="24" t="s">
        <v>29</v>
      </c>
      <c r="F160" s="24" t="s">
        <v>47</v>
      </c>
      <c r="G160" s="24" t="s">
        <v>31</v>
      </c>
      <c r="H160" s="24" t="s">
        <v>1900</v>
      </c>
      <c r="I160" s="24" t="s">
        <v>1901</v>
      </c>
      <c r="J160" s="24" t="s">
        <v>1902</v>
      </c>
      <c r="K160" s="24"/>
      <c r="L160" s="24" t="s">
        <v>52</v>
      </c>
      <c r="M160" s="15" t="s">
        <v>1903</v>
      </c>
      <c r="N160" s="15"/>
      <c r="O160" s="15" t="s">
        <v>121</v>
      </c>
      <c r="P160" s="15" t="s">
        <v>1904</v>
      </c>
      <c r="Q160" s="15" t="s">
        <v>1905</v>
      </c>
      <c r="R160" s="15" t="s">
        <v>1906</v>
      </c>
      <c r="S160" s="24" t="s">
        <v>39</v>
      </c>
      <c r="T160" s="24" t="s">
        <v>39</v>
      </c>
      <c r="U160" s="24" t="s">
        <v>39</v>
      </c>
      <c r="V160" s="24" t="s">
        <v>39</v>
      </c>
      <c r="W160" s="24"/>
      <c r="X160" s="24"/>
      <c r="Y160" s="15"/>
      <c r="Z160" s="15"/>
      <c r="AA160" s="24"/>
      <c r="AB160" s="24"/>
      <c r="AC160" s="24"/>
      <c r="AD160" s="24"/>
      <c r="AE160" s="24"/>
      <c r="AF160" s="24"/>
      <c r="AG160" s="24"/>
      <c r="AH160" s="24"/>
    </row>
    <row r="161" spans="1:34" ht="30" x14ac:dyDescent="0.25">
      <c r="A161" s="24" t="str">
        <f>HYPERLINK("https://www.cpso.on.ca/DoctorDetails/Anne-Cecilia-Duffy/0051159-65138","Duffy, Anne Cecilia")</f>
        <v>Duffy, Anne Cecilia</v>
      </c>
      <c r="B161" s="25" t="s">
        <v>1907</v>
      </c>
      <c r="C161" s="24" t="s">
        <v>1908</v>
      </c>
      <c r="D161" s="24" t="s">
        <v>1909</v>
      </c>
      <c r="E161" s="24" t="s">
        <v>29</v>
      </c>
      <c r="F161" s="24" t="s">
        <v>47</v>
      </c>
      <c r="G161" s="24" t="s">
        <v>31</v>
      </c>
      <c r="H161" s="24" t="s">
        <v>1910</v>
      </c>
      <c r="I161" s="24" t="s">
        <v>1911</v>
      </c>
      <c r="J161" s="24" t="s">
        <v>1912</v>
      </c>
      <c r="K161" s="24"/>
      <c r="L161" s="24" t="s">
        <v>340</v>
      </c>
      <c r="M161" s="15" t="s">
        <v>1913</v>
      </c>
      <c r="N161" s="15"/>
      <c r="O161" s="15" t="s">
        <v>1914</v>
      </c>
      <c r="P161" s="15" t="s">
        <v>512</v>
      </c>
      <c r="Q161" s="15" t="s">
        <v>1915</v>
      </c>
      <c r="R161" s="15" t="s">
        <v>1916</v>
      </c>
      <c r="S161" s="24" t="s">
        <v>39</v>
      </c>
      <c r="T161" s="24" t="s">
        <v>39</v>
      </c>
      <c r="U161" s="24" t="s">
        <v>39</v>
      </c>
      <c r="V161" s="24" t="s">
        <v>39</v>
      </c>
      <c r="W161" s="24"/>
      <c r="X161" s="24"/>
      <c r="Y161" s="15"/>
      <c r="Z161" s="15"/>
      <c r="AA161" s="24"/>
      <c r="AB161" s="24"/>
      <c r="AC161" s="24"/>
      <c r="AD161" s="24"/>
      <c r="AE161" s="24"/>
      <c r="AF161" s="24"/>
      <c r="AG161" s="24"/>
      <c r="AH161" s="24"/>
    </row>
    <row r="162" spans="1:34" ht="30" x14ac:dyDescent="0.25">
      <c r="A162" s="24" t="str">
        <f>HYPERLINK("https://www.cpso.on.ca/DoctorDetails/Anne-Dominica-Mary-Hennessy/0036731-50707","Hennessy, Anne Dominica Mary")</f>
        <v>Hennessy, Anne Dominica Mary</v>
      </c>
      <c r="B162" s="25" t="s">
        <v>1917</v>
      </c>
      <c r="C162" s="24" t="s">
        <v>1918</v>
      </c>
      <c r="D162" s="24" t="s">
        <v>1919</v>
      </c>
      <c r="E162" s="24" t="s">
        <v>29</v>
      </c>
      <c r="F162" s="24" t="s">
        <v>47</v>
      </c>
      <c r="G162" s="24" t="s">
        <v>31</v>
      </c>
      <c r="H162" s="24" t="s">
        <v>1920</v>
      </c>
      <c r="I162" s="24" t="s">
        <v>1921</v>
      </c>
      <c r="J162" s="24" t="s">
        <v>1511</v>
      </c>
      <c r="K162" s="24" t="s">
        <v>1613</v>
      </c>
      <c r="L162" s="24" t="s">
        <v>84</v>
      </c>
      <c r="M162" s="15" t="s">
        <v>1922</v>
      </c>
      <c r="N162" s="15"/>
      <c r="O162" s="15" t="s">
        <v>1923</v>
      </c>
      <c r="P162" s="15" t="s">
        <v>1924</v>
      </c>
      <c r="Q162" s="15"/>
      <c r="R162" s="15" t="s">
        <v>1925</v>
      </c>
      <c r="S162" s="24" t="s">
        <v>39</v>
      </c>
      <c r="T162" s="24" t="s">
        <v>39</v>
      </c>
      <c r="U162" s="24" t="s">
        <v>39</v>
      </c>
      <c r="V162" s="24" t="s">
        <v>39</v>
      </c>
      <c r="W162" s="24" t="s">
        <v>1926</v>
      </c>
      <c r="X162" s="24" t="s">
        <v>1927</v>
      </c>
      <c r="Y162" s="15" t="s">
        <v>1928</v>
      </c>
      <c r="Z162" s="15" t="s">
        <v>1929</v>
      </c>
      <c r="AA162" s="24"/>
      <c r="AB162" s="24"/>
      <c r="AC162" s="24"/>
      <c r="AD162" s="24"/>
      <c r="AE162" s="24"/>
      <c r="AF162" s="24"/>
      <c r="AG162" s="24"/>
      <c r="AH162" s="24"/>
    </row>
    <row r="163" spans="1:34" ht="75" x14ac:dyDescent="0.25">
      <c r="A163" s="24" t="str">
        <f>HYPERLINK("https://www.cpso.on.ca/DoctorDetails/Anne-Elizabeth-Berlin-Rose/0053036-67000","Rose, Anne Elizabeth Berlin")</f>
        <v>Rose, Anne Elizabeth Berlin</v>
      </c>
      <c r="B163" s="25" t="s">
        <v>1930</v>
      </c>
      <c r="C163" s="24" t="s">
        <v>1931</v>
      </c>
      <c r="D163" s="24" t="s">
        <v>1932</v>
      </c>
      <c r="E163" s="24" t="s">
        <v>29</v>
      </c>
      <c r="F163" s="24" t="s">
        <v>47</v>
      </c>
      <c r="G163" s="24" t="s">
        <v>813</v>
      </c>
      <c r="H163" s="24" t="s">
        <v>1933</v>
      </c>
      <c r="I163" s="24" t="s">
        <v>1934</v>
      </c>
      <c r="J163" s="24" t="s">
        <v>1935</v>
      </c>
      <c r="K163" s="24" t="s">
        <v>1936</v>
      </c>
      <c r="L163" s="24" t="s">
        <v>36</v>
      </c>
      <c r="M163" s="15"/>
      <c r="N163" s="15"/>
      <c r="O163" s="15" t="s">
        <v>1760</v>
      </c>
      <c r="P163" s="15" t="s">
        <v>303</v>
      </c>
      <c r="Q163" s="15" t="s">
        <v>1937</v>
      </c>
      <c r="R163" s="15" t="s">
        <v>1938</v>
      </c>
      <c r="S163" s="24" t="s">
        <v>39</v>
      </c>
      <c r="T163" s="24" t="s">
        <v>39</v>
      </c>
      <c r="U163" s="24" t="s">
        <v>39</v>
      </c>
      <c r="V163" s="24" t="s">
        <v>39</v>
      </c>
      <c r="W163" s="24"/>
      <c r="X163" s="24"/>
      <c r="Y163" s="15"/>
      <c r="Z163" s="15"/>
      <c r="AA163" s="24"/>
      <c r="AB163" s="24"/>
      <c r="AC163" s="24"/>
      <c r="AD163" s="24"/>
      <c r="AE163" s="24"/>
      <c r="AF163" s="24"/>
      <c r="AG163" s="24"/>
      <c r="AH163" s="24"/>
    </row>
    <row r="164" spans="1:34" ht="30" x14ac:dyDescent="0.25">
      <c r="A164" s="24" t="str">
        <f>HYPERLINK("https://www.cpso.on.ca/DoctorDetails/Anne-Labonte/0046231-60209","Labonte, Anne")</f>
        <v>Labonte, Anne</v>
      </c>
      <c r="B164" s="25" t="s">
        <v>1939</v>
      </c>
      <c r="C164" s="24" t="s">
        <v>1940</v>
      </c>
      <c r="D164" s="24" t="s">
        <v>1941</v>
      </c>
      <c r="E164" s="24" t="s">
        <v>29</v>
      </c>
      <c r="F164" s="24" t="s">
        <v>47</v>
      </c>
      <c r="G164" s="24" t="s">
        <v>813</v>
      </c>
      <c r="H164" s="24" t="s">
        <v>1942</v>
      </c>
      <c r="I164" s="24" t="s">
        <v>1943</v>
      </c>
      <c r="J164" s="24" t="s">
        <v>1944</v>
      </c>
      <c r="K164" s="24" t="s">
        <v>1945</v>
      </c>
      <c r="L164" s="24" t="s">
        <v>36</v>
      </c>
      <c r="M164" s="15" t="s">
        <v>1946</v>
      </c>
      <c r="N164" s="15" t="s">
        <v>710</v>
      </c>
      <c r="O164" s="15"/>
      <c r="P164" s="15" t="s">
        <v>1947</v>
      </c>
      <c r="Q164" s="15"/>
      <c r="R164" s="15" t="s">
        <v>1948</v>
      </c>
      <c r="S164" s="24" t="s">
        <v>39</v>
      </c>
      <c r="T164" s="24" t="s">
        <v>39</v>
      </c>
      <c r="U164" s="24" t="s">
        <v>39</v>
      </c>
      <c r="V164" s="24" t="s">
        <v>39</v>
      </c>
      <c r="W164" s="24" t="s">
        <v>1949</v>
      </c>
      <c r="X164" s="24" t="s">
        <v>1950</v>
      </c>
      <c r="Y164" s="15" t="s">
        <v>1951</v>
      </c>
      <c r="Z164" s="15" t="s">
        <v>1952</v>
      </c>
      <c r="AA164" s="24"/>
      <c r="AB164" s="24"/>
      <c r="AC164" s="24"/>
      <c r="AD164" s="24"/>
      <c r="AE164" s="24"/>
      <c r="AF164" s="24"/>
      <c r="AG164" s="24"/>
      <c r="AH164" s="24"/>
    </row>
    <row r="165" spans="1:34" ht="30" x14ac:dyDescent="0.25">
      <c r="A165" s="24" t="str">
        <f>HYPERLINK("https://www.cpso.on.ca/DoctorDetails/Anne-Louise-Ferguson/0048426-62404","Ferguson, Anne Louise")</f>
        <v>Ferguson, Anne Louise</v>
      </c>
      <c r="B165" s="25" t="s">
        <v>1953</v>
      </c>
      <c r="C165" s="24" t="s">
        <v>1954</v>
      </c>
      <c r="D165" s="24" t="s">
        <v>1955</v>
      </c>
      <c r="E165" s="24" t="s">
        <v>29</v>
      </c>
      <c r="F165" s="24" t="s">
        <v>47</v>
      </c>
      <c r="G165" s="24" t="s">
        <v>31</v>
      </c>
      <c r="H165" s="24" t="s">
        <v>1956</v>
      </c>
      <c r="I165" s="24" t="s">
        <v>1957</v>
      </c>
      <c r="J165" s="24" t="s">
        <v>1958</v>
      </c>
      <c r="K165" s="24" t="s">
        <v>1959</v>
      </c>
      <c r="L165" s="24" t="s">
        <v>52</v>
      </c>
      <c r="M165" s="15" t="s">
        <v>1960</v>
      </c>
      <c r="N165" s="15"/>
      <c r="O165" s="15" t="s">
        <v>232</v>
      </c>
      <c r="P165" s="15" t="s">
        <v>1961</v>
      </c>
      <c r="Q165" s="15" t="s">
        <v>1962</v>
      </c>
      <c r="R165" s="15" t="s">
        <v>1963</v>
      </c>
      <c r="S165" s="24" t="s">
        <v>39</v>
      </c>
      <c r="T165" s="24" t="s">
        <v>39</v>
      </c>
      <c r="U165" s="24" t="s">
        <v>39</v>
      </c>
      <c r="V165" s="24" t="s">
        <v>39</v>
      </c>
      <c r="W165" s="24" t="s">
        <v>1964</v>
      </c>
      <c r="X165" s="24" t="s">
        <v>1965</v>
      </c>
      <c r="Y165" s="15" t="s">
        <v>1966</v>
      </c>
      <c r="Z165" s="15" t="s">
        <v>1967</v>
      </c>
      <c r="AA165" s="24"/>
      <c r="AB165" s="24"/>
      <c r="AC165" s="24"/>
      <c r="AD165" s="24"/>
      <c r="AE165" s="24"/>
      <c r="AF165" s="24"/>
      <c r="AG165" s="24"/>
      <c r="AH165" s="24"/>
    </row>
    <row r="166" spans="1:34" x14ac:dyDescent="0.25">
      <c r="A166" s="24" t="str">
        <f>HYPERLINK("https://www.cpso.on.ca/DoctorDetails/Anne-Louise-Shepherd/0026601-31424","Shepherd, Anne Louise")</f>
        <v>Shepherd, Anne Louise</v>
      </c>
      <c r="B166" s="25" t="s">
        <v>1968</v>
      </c>
      <c r="C166" s="24" t="s">
        <v>1969</v>
      </c>
      <c r="D166" s="24" t="s">
        <v>1970</v>
      </c>
      <c r="E166" s="24" t="s">
        <v>29</v>
      </c>
      <c r="F166" s="24" t="s">
        <v>47</v>
      </c>
      <c r="G166" s="24" t="s">
        <v>31</v>
      </c>
      <c r="H166" s="24" t="s">
        <v>1216</v>
      </c>
      <c r="I166" s="24" t="s">
        <v>1971</v>
      </c>
      <c r="J166" s="24" t="s">
        <v>1972</v>
      </c>
      <c r="K166" s="24" t="s">
        <v>1973</v>
      </c>
      <c r="L166" s="24" t="s">
        <v>52</v>
      </c>
      <c r="M166" s="15"/>
      <c r="N166" s="15"/>
      <c r="O166" s="15"/>
      <c r="P166" s="15" t="s">
        <v>316</v>
      </c>
      <c r="Q166" s="15"/>
      <c r="R166" s="15" t="s">
        <v>1974</v>
      </c>
      <c r="S166" s="24" t="s">
        <v>39</v>
      </c>
      <c r="T166" s="24" t="s">
        <v>39</v>
      </c>
      <c r="U166" s="24" t="s">
        <v>39</v>
      </c>
      <c r="V166" s="24" t="s">
        <v>39</v>
      </c>
      <c r="W166" s="24" t="s">
        <v>1975</v>
      </c>
      <c r="X166" s="24" t="s">
        <v>822</v>
      </c>
      <c r="Y166" s="15" t="s">
        <v>1976</v>
      </c>
      <c r="Z166" s="15" t="s">
        <v>1977</v>
      </c>
      <c r="AA166" s="24"/>
      <c r="AB166" s="24"/>
      <c r="AC166" s="24"/>
      <c r="AD166" s="24"/>
      <c r="AE166" s="24"/>
      <c r="AF166" s="24"/>
      <c r="AG166" s="24"/>
      <c r="AH166" s="24"/>
    </row>
    <row r="167" spans="1:34" ht="90" x14ac:dyDescent="0.25">
      <c r="A167" s="24" t="str">
        <f>HYPERLINK("https://www.cpso.on.ca/DoctorDetails/Anne-Marie-Elizabeth-Hildebrand/0044640-58618","Hildebrand, Anne Marie Elizabeth")</f>
        <v>Hildebrand, Anne Marie Elizabeth</v>
      </c>
      <c r="B167" s="25" t="s">
        <v>1978</v>
      </c>
      <c r="C167" s="24" t="s">
        <v>1979</v>
      </c>
      <c r="D167" s="24" t="s">
        <v>1980</v>
      </c>
      <c r="E167" s="24" t="s">
        <v>29</v>
      </c>
      <c r="F167" s="24" t="s">
        <v>47</v>
      </c>
      <c r="G167" s="24" t="s">
        <v>31</v>
      </c>
      <c r="H167" s="24" t="s">
        <v>1981</v>
      </c>
      <c r="I167" s="24" t="s">
        <v>1982</v>
      </c>
      <c r="J167" s="24" t="s">
        <v>1983</v>
      </c>
      <c r="K167" s="24" t="s">
        <v>1983</v>
      </c>
      <c r="L167" s="24" t="s">
        <v>52</v>
      </c>
      <c r="M167" s="15"/>
      <c r="N167" s="15"/>
      <c r="O167" s="15" t="s">
        <v>1201</v>
      </c>
      <c r="P167" s="15" t="s">
        <v>1984</v>
      </c>
      <c r="Q167" s="15" t="s">
        <v>1985</v>
      </c>
      <c r="R167" s="15" t="s">
        <v>1986</v>
      </c>
      <c r="S167" s="24" t="s">
        <v>39</v>
      </c>
      <c r="T167" s="24" t="s">
        <v>39</v>
      </c>
      <c r="U167" s="24" t="s">
        <v>39</v>
      </c>
      <c r="V167" s="24" t="s">
        <v>39</v>
      </c>
      <c r="W167" s="24"/>
      <c r="X167" s="24"/>
      <c r="Y167" s="15"/>
      <c r="Z167" s="15"/>
      <c r="AA167" s="24"/>
      <c r="AB167" s="24"/>
      <c r="AC167" s="24"/>
      <c r="AD167" s="24"/>
      <c r="AE167" s="24"/>
      <c r="AF167" s="24"/>
      <c r="AG167" s="24"/>
      <c r="AH167" s="24"/>
    </row>
    <row r="168" spans="1:34" ht="30" x14ac:dyDescent="0.25">
      <c r="A168" s="24" t="str">
        <f>HYPERLINK("https://www.cpso.on.ca/DoctorDetails/Anne-Marie-Michele-DIorio/0022798-27589","D'Iorio, Anne Marie Michele")</f>
        <v>D'Iorio, Anne Marie Michele</v>
      </c>
      <c r="B168" s="25" t="s">
        <v>1987</v>
      </c>
      <c r="C168" s="24" t="s">
        <v>1988</v>
      </c>
      <c r="D168" s="24" t="s">
        <v>1989</v>
      </c>
      <c r="E168" s="24" t="s">
        <v>29</v>
      </c>
      <c r="F168" s="24" t="s">
        <v>47</v>
      </c>
      <c r="G168" s="24" t="s">
        <v>813</v>
      </c>
      <c r="H168" s="24" t="s">
        <v>1990</v>
      </c>
      <c r="I168" s="24" t="s">
        <v>1991</v>
      </c>
      <c r="J168" s="24" t="s">
        <v>1992</v>
      </c>
      <c r="K168" s="24"/>
      <c r="L168" s="24" t="s">
        <v>36</v>
      </c>
      <c r="M168" s="15"/>
      <c r="N168" s="15"/>
      <c r="O168" s="15"/>
      <c r="P168" s="15" t="s">
        <v>1993</v>
      </c>
      <c r="Q168" s="15"/>
      <c r="R168" s="15" t="s">
        <v>1994</v>
      </c>
      <c r="S168" s="24" t="s">
        <v>39</v>
      </c>
      <c r="T168" s="24" t="s">
        <v>39</v>
      </c>
      <c r="U168" s="24" t="s">
        <v>39</v>
      </c>
      <c r="V168" s="24" t="s">
        <v>39</v>
      </c>
      <c r="W168" s="24" t="s">
        <v>1995</v>
      </c>
      <c r="X168" s="24" t="s">
        <v>1996</v>
      </c>
      <c r="Y168" s="15" t="s">
        <v>1997</v>
      </c>
      <c r="Z168" s="15" t="s">
        <v>1998</v>
      </c>
      <c r="AA168" s="24"/>
      <c r="AB168" s="24"/>
      <c r="AC168" s="24"/>
      <c r="AD168" s="24"/>
      <c r="AE168" s="24"/>
      <c r="AF168" s="24"/>
      <c r="AG168" s="24"/>
      <c r="AH168" s="24"/>
    </row>
    <row r="169" spans="1:34" ht="30" x14ac:dyDescent="0.25">
      <c r="A169" s="24" t="str">
        <f>HYPERLINK("https://www.cpso.on.ca/DoctorDetails/Anne-Neringa-Nida-Egle-Josiukas/0038757-52733","Josiukas, Anne Neringa Nida Egle")</f>
        <v>Josiukas, Anne Neringa Nida Egle</v>
      </c>
      <c r="B169" s="25" t="s">
        <v>1999</v>
      </c>
      <c r="C169" s="24" t="s">
        <v>2000</v>
      </c>
      <c r="D169" s="24" t="s">
        <v>2001</v>
      </c>
      <c r="E169" s="24" t="s">
        <v>29</v>
      </c>
      <c r="F169" s="24" t="s">
        <v>47</v>
      </c>
      <c r="G169" s="24" t="s">
        <v>2002</v>
      </c>
      <c r="H169" s="24" t="s">
        <v>2003</v>
      </c>
      <c r="I169" s="24" t="s">
        <v>2004</v>
      </c>
      <c r="J169" s="24" t="s">
        <v>2005</v>
      </c>
      <c r="K169" s="24" t="s">
        <v>2006</v>
      </c>
      <c r="L169" s="24" t="s">
        <v>36</v>
      </c>
      <c r="M169" s="15"/>
      <c r="N169" s="15" t="s">
        <v>2007</v>
      </c>
      <c r="O169" s="15" t="s">
        <v>2008</v>
      </c>
      <c r="P169" s="15" t="s">
        <v>868</v>
      </c>
      <c r="Q169" s="15"/>
      <c r="R169" s="15" t="s">
        <v>2009</v>
      </c>
      <c r="S169" s="24" t="s">
        <v>39</v>
      </c>
      <c r="T169" s="24" t="s">
        <v>39</v>
      </c>
      <c r="U169" s="24" t="s">
        <v>39</v>
      </c>
      <c r="V169" s="24" t="s">
        <v>39</v>
      </c>
      <c r="W169" s="24"/>
      <c r="X169" s="24"/>
      <c r="Y169" s="15"/>
      <c r="Z169" s="15"/>
      <c r="AA169" s="24"/>
      <c r="AB169" s="24"/>
      <c r="AC169" s="24"/>
      <c r="AD169" s="24"/>
      <c r="AE169" s="24"/>
      <c r="AF169" s="24"/>
      <c r="AG169" s="24"/>
      <c r="AH169" s="24"/>
    </row>
    <row r="170" spans="1:34" ht="45" x14ac:dyDescent="0.25">
      <c r="A170" s="24" t="str">
        <f>HYPERLINK("https://www.cpso.on.ca/DoctorDetails/Anne-Rosemary-Laforte/0037136-51112","Laforte, Anne Rosemary")</f>
        <v>Laforte, Anne Rosemary</v>
      </c>
      <c r="B170" s="25" t="s">
        <v>2010</v>
      </c>
      <c r="C170" s="24" t="s">
        <v>2011</v>
      </c>
      <c r="D170" s="24" t="s">
        <v>2012</v>
      </c>
      <c r="E170" s="24" t="s">
        <v>2013</v>
      </c>
      <c r="F170" s="24" t="s">
        <v>47</v>
      </c>
      <c r="G170" s="24" t="s">
        <v>31</v>
      </c>
      <c r="H170" s="24" t="s">
        <v>2014</v>
      </c>
      <c r="I170" s="24" t="s">
        <v>2015</v>
      </c>
      <c r="J170" s="24" t="s">
        <v>2016</v>
      </c>
      <c r="K170" s="24" t="s">
        <v>2017</v>
      </c>
      <c r="L170" s="24" t="s">
        <v>65</v>
      </c>
      <c r="M170" s="15"/>
      <c r="N170" s="15" t="s">
        <v>2018</v>
      </c>
      <c r="O170" s="15"/>
      <c r="P170" s="15" t="s">
        <v>527</v>
      </c>
      <c r="Q170" s="15"/>
      <c r="R170" s="15" t="s">
        <v>2019</v>
      </c>
      <c r="S170" s="24" t="s">
        <v>39</v>
      </c>
      <c r="T170" s="24" t="s">
        <v>39</v>
      </c>
      <c r="U170" s="24" t="s">
        <v>39</v>
      </c>
      <c r="V170" s="24" t="s">
        <v>39</v>
      </c>
      <c r="W170" s="24" t="s">
        <v>2020</v>
      </c>
      <c r="X170" s="24" t="s">
        <v>2021</v>
      </c>
      <c r="Y170" s="15" t="s">
        <v>2022</v>
      </c>
      <c r="Z170" s="15" t="s">
        <v>2023</v>
      </c>
      <c r="AA170" s="24"/>
      <c r="AB170" s="24"/>
      <c r="AC170" s="24"/>
      <c r="AD170" s="24"/>
      <c r="AE170" s="24"/>
      <c r="AF170" s="24"/>
      <c r="AG170" s="24"/>
      <c r="AH170" s="24"/>
    </row>
    <row r="171" spans="1:34" ht="45" x14ac:dyDescent="0.25">
      <c r="A171" s="24" t="str">
        <f>HYPERLINK("https://www.cpso.on.ca/DoctorDetails/Anne-Susan-Bassett/0036144-50120","Bassett, Anne Susan")</f>
        <v>Bassett, Anne Susan</v>
      </c>
      <c r="B171" s="25" t="s">
        <v>2024</v>
      </c>
      <c r="C171" s="24" t="s">
        <v>2025</v>
      </c>
      <c r="D171" s="24" t="s">
        <v>2026</v>
      </c>
      <c r="E171" s="24" t="s">
        <v>29</v>
      </c>
      <c r="F171" s="24" t="s">
        <v>47</v>
      </c>
      <c r="G171" s="24" t="s">
        <v>31</v>
      </c>
      <c r="H171" s="24" t="s">
        <v>2027</v>
      </c>
      <c r="I171" s="24" t="s">
        <v>2028</v>
      </c>
      <c r="J171" s="24" t="s">
        <v>2029</v>
      </c>
      <c r="K171" s="24" t="s">
        <v>2030</v>
      </c>
      <c r="L171" s="24" t="s">
        <v>52</v>
      </c>
      <c r="M171" s="15" t="s">
        <v>2031</v>
      </c>
      <c r="N171" s="15" t="s">
        <v>2032</v>
      </c>
      <c r="O171" s="15" t="s">
        <v>2033</v>
      </c>
      <c r="P171" s="15" t="s">
        <v>1420</v>
      </c>
      <c r="Q171" s="15"/>
      <c r="R171" s="15" t="s">
        <v>2034</v>
      </c>
      <c r="S171" s="24" t="s">
        <v>39</v>
      </c>
      <c r="T171" s="24" t="s">
        <v>39</v>
      </c>
      <c r="U171" s="24" t="s">
        <v>39</v>
      </c>
      <c r="V171" s="24" t="s">
        <v>39</v>
      </c>
      <c r="W171" s="24"/>
      <c r="X171" s="24"/>
      <c r="Y171" s="15"/>
      <c r="Z171" s="15"/>
      <c r="AA171" s="24"/>
      <c r="AB171" s="24"/>
      <c r="AC171" s="24"/>
      <c r="AD171" s="24"/>
      <c r="AE171" s="24"/>
      <c r="AF171" s="24"/>
      <c r="AG171" s="24"/>
      <c r="AH171" s="24"/>
    </row>
    <row r="172" spans="1:34" x14ac:dyDescent="0.25">
      <c r="A172" s="24" t="str">
        <f>HYPERLINK("https://www.cpso.on.ca/DoctorDetails/Anne-Viola-Galipeau/0053422-67388","Galipeau, Anne Viola")</f>
        <v>Galipeau, Anne Viola</v>
      </c>
      <c r="B172" s="25" t="s">
        <v>2035</v>
      </c>
      <c r="C172" s="24" t="s">
        <v>2036</v>
      </c>
      <c r="D172" s="24" t="s">
        <v>2037</v>
      </c>
      <c r="E172" s="24" t="s">
        <v>29</v>
      </c>
      <c r="F172" s="24" t="s">
        <v>47</v>
      </c>
      <c r="G172" s="24" t="s">
        <v>813</v>
      </c>
      <c r="H172" s="24" t="s">
        <v>2038</v>
      </c>
      <c r="I172" s="24" t="s">
        <v>2039</v>
      </c>
      <c r="J172" s="24" t="s">
        <v>2040</v>
      </c>
      <c r="K172" s="24" t="s">
        <v>2041</v>
      </c>
      <c r="L172" s="24" t="s">
        <v>84</v>
      </c>
      <c r="M172" s="15"/>
      <c r="N172" s="15"/>
      <c r="O172" s="15"/>
      <c r="P172" s="15" t="s">
        <v>2042</v>
      </c>
      <c r="Q172" s="15"/>
      <c r="R172" s="15" t="s">
        <v>2043</v>
      </c>
      <c r="S172" s="24" t="s">
        <v>39</v>
      </c>
      <c r="T172" s="24" t="s">
        <v>39</v>
      </c>
      <c r="U172" s="24" t="s">
        <v>39</v>
      </c>
      <c r="V172" s="24" t="s">
        <v>39</v>
      </c>
      <c r="W172" s="24"/>
      <c r="X172" s="24"/>
      <c r="Y172" s="15"/>
      <c r="Z172" s="15"/>
      <c r="AA172" s="24"/>
      <c r="AB172" s="24"/>
      <c r="AC172" s="24"/>
      <c r="AD172" s="24"/>
      <c r="AE172" s="24"/>
      <c r="AF172" s="24"/>
      <c r="AG172" s="24"/>
      <c r="AH172" s="24"/>
    </row>
    <row r="173" spans="1:34" ht="30" x14ac:dyDescent="0.25">
      <c r="A173" s="24" t="str">
        <f>HYPERLINK("https://www.cpso.on.ca/DoctorDetails/Annie-Trepanier/0312129-110485","Trepanier, Annie")</f>
        <v>Trepanier, Annie</v>
      </c>
      <c r="B173" s="25" t="s">
        <v>2044</v>
      </c>
      <c r="C173" s="24" t="s">
        <v>2045</v>
      </c>
      <c r="D173" s="24" t="s">
        <v>2046</v>
      </c>
      <c r="E173" s="24" t="s">
        <v>29</v>
      </c>
      <c r="F173" s="24" t="s">
        <v>47</v>
      </c>
      <c r="G173" s="24" t="s">
        <v>2047</v>
      </c>
      <c r="H173" s="24" t="s">
        <v>2048</v>
      </c>
      <c r="I173" s="24" t="s">
        <v>107</v>
      </c>
      <c r="J173" s="24"/>
      <c r="K173" s="24"/>
      <c r="L173" s="24"/>
      <c r="M173" s="15"/>
      <c r="N173" s="15" t="s">
        <v>710</v>
      </c>
      <c r="O173" s="15"/>
      <c r="P173" s="15" t="s">
        <v>973</v>
      </c>
      <c r="Q173" s="15" t="s">
        <v>2049</v>
      </c>
      <c r="R173" s="15" t="s">
        <v>2050</v>
      </c>
      <c r="S173" s="24" t="s">
        <v>39</v>
      </c>
      <c r="T173" s="24" t="s">
        <v>39</v>
      </c>
      <c r="U173" s="24" t="s">
        <v>39</v>
      </c>
      <c r="V173" s="24" t="s">
        <v>39</v>
      </c>
      <c r="W173" s="24"/>
      <c r="X173" s="24"/>
      <c r="Y173" s="15"/>
      <c r="Z173" s="15"/>
      <c r="AA173" s="24"/>
      <c r="AB173" s="24"/>
      <c r="AC173" s="24"/>
      <c r="AD173" s="24"/>
      <c r="AE173" s="24"/>
      <c r="AF173" s="24"/>
      <c r="AG173" s="24"/>
      <c r="AH173" s="24"/>
    </row>
    <row r="174" spans="1:34" ht="75" x14ac:dyDescent="0.25">
      <c r="A174" s="24" t="str">
        <f>HYPERLINK("https://www.cpso.on.ca/DoctorDetails/Anoushirvan-Adel/0241784-87702","Adel, Anoushirvan")</f>
        <v>Adel, Anoushirvan</v>
      </c>
      <c r="B174" s="25" t="s">
        <v>2051</v>
      </c>
      <c r="C174" s="24" t="s">
        <v>2052</v>
      </c>
      <c r="D174" s="24" t="s">
        <v>2053</v>
      </c>
      <c r="E174" s="24" t="s">
        <v>29</v>
      </c>
      <c r="F174" s="24" t="s">
        <v>30</v>
      </c>
      <c r="G174" s="24" t="s">
        <v>31</v>
      </c>
      <c r="H174" s="24" t="s">
        <v>2054</v>
      </c>
      <c r="I174" s="24" t="s">
        <v>2055</v>
      </c>
      <c r="J174" s="24" t="s">
        <v>2056</v>
      </c>
      <c r="K174" s="24" t="s">
        <v>2057</v>
      </c>
      <c r="L174" s="24" t="s">
        <v>340</v>
      </c>
      <c r="M174" s="15"/>
      <c r="N174" s="15" t="s">
        <v>2058</v>
      </c>
      <c r="O174" s="15" t="s">
        <v>2059</v>
      </c>
      <c r="P174" s="15" t="s">
        <v>2060</v>
      </c>
      <c r="Q174" s="15"/>
      <c r="R174" s="15" t="s">
        <v>2061</v>
      </c>
      <c r="S174" s="24" t="s">
        <v>39</v>
      </c>
      <c r="T174" s="24" t="s">
        <v>39</v>
      </c>
      <c r="U174" s="24" t="s">
        <v>39</v>
      </c>
      <c r="V174" s="24" t="s">
        <v>39</v>
      </c>
      <c r="W174" s="24" t="s">
        <v>2062</v>
      </c>
      <c r="X174" s="24" t="s">
        <v>2063</v>
      </c>
      <c r="Y174" s="15" t="s">
        <v>2064</v>
      </c>
      <c r="Z174" s="15" t="s">
        <v>2065</v>
      </c>
      <c r="AA174" s="24"/>
      <c r="AB174" s="24"/>
      <c r="AC174" s="24"/>
      <c r="AD174" s="24"/>
      <c r="AE174" s="24"/>
      <c r="AF174" s="24"/>
      <c r="AG174" s="24"/>
      <c r="AH174" s="24"/>
    </row>
    <row r="175" spans="1:34" ht="45" x14ac:dyDescent="0.25">
      <c r="A175" s="24" t="str">
        <f>HYPERLINK("https://www.cpso.on.ca/DoctorDetails/Anseruddin-Mohammed/0316822-113533","Mohammed, Anseruddin")</f>
        <v>Mohammed, Anseruddin</v>
      </c>
      <c r="B175" s="25" t="s">
        <v>2066</v>
      </c>
      <c r="C175" s="24" t="s">
        <v>2067</v>
      </c>
      <c r="D175" s="24" t="s">
        <v>2068</v>
      </c>
      <c r="E175" s="24" t="s">
        <v>29</v>
      </c>
      <c r="F175" s="24" t="s">
        <v>30</v>
      </c>
      <c r="G175" s="24" t="s">
        <v>31</v>
      </c>
      <c r="H175" s="24" t="s">
        <v>2069</v>
      </c>
      <c r="I175" s="24" t="s">
        <v>2070</v>
      </c>
      <c r="J175" s="24" t="s">
        <v>378</v>
      </c>
      <c r="K175" s="24"/>
      <c r="L175" s="24" t="s">
        <v>65</v>
      </c>
      <c r="M175" s="15" t="s">
        <v>2071</v>
      </c>
      <c r="N175" s="15" t="s">
        <v>66</v>
      </c>
      <c r="O175" s="15" t="s">
        <v>2072</v>
      </c>
      <c r="P175" s="15" t="s">
        <v>2073</v>
      </c>
      <c r="Q175" s="15"/>
      <c r="R175" s="15" t="s">
        <v>2074</v>
      </c>
      <c r="S175" s="24" t="s">
        <v>71</v>
      </c>
      <c r="T175" s="24" t="s">
        <v>39</v>
      </c>
      <c r="U175" s="24" t="s">
        <v>39</v>
      </c>
      <c r="V175" s="24" t="s">
        <v>39</v>
      </c>
      <c r="W175" s="24" t="s">
        <v>2075</v>
      </c>
      <c r="X175" s="24" t="s">
        <v>2076</v>
      </c>
      <c r="Y175" s="15" t="s">
        <v>2077</v>
      </c>
      <c r="Z175" s="15" t="s">
        <v>2078</v>
      </c>
      <c r="AA175" s="24"/>
      <c r="AB175" s="24"/>
      <c r="AC175" s="24"/>
      <c r="AD175" s="24"/>
      <c r="AE175" s="24"/>
      <c r="AF175" s="24"/>
      <c r="AG175" s="24"/>
      <c r="AH175" s="24"/>
    </row>
    <row r="176" spans="1:34" ht="45" x14ac:dyDescent="0.25">
      <c r="A176" s="24" t="str">
        <f>HYPERLINK("https://www.cpso.on.ca/DoctorDetails/Anson-Liu/0324225-117034","Liu, Anson")</f>
        <v>Liu, Anson</v>
      </c>
      <c r="B176" s="25" t="s">
        <v>2079</v>
      </c>
      <c r="C176" s="24" t="s">
        <v>2080</v>
      </c>
      <c r="D176" s="24" t="s">
        <v>2081</v>
      </c>
      <c r="E176" s="24" t="s">
        <v>29</v>
      </c>
      <c r="F176" s="24" t="s">
        <v>30</v>
      </c>
      <c r="G176" s="24" t="s">
        <v>31</v>
      </c>
      <c r="H176" s="24" t="s">
        <v>2082</v>
      </c>
      <c r="I176" s="24" t="s">
        <v>2083</v>
      </c>
      <c r="J176" s="24"/>
      <c r="K176" s="24"/>
      <c r="L176" s="24" t="s">
        <v>152</v>
      </c>
      <c r="M176" s="15" t="s">
        <v>2084</v>
      </c>
      <c r="N176" s="15"/>
      <c r="O176" s="15"/>
      <c r="P176" s="15" t="s">
        <v>2085</v>
      </c>
      <c r="Q176" s="15"/>
      <c r="R176" s="15" t="s">
        <v>2086</v>
      </c>
      <c r="S176" s="24" t="s">
        <v>71</v>
      </c>
      <c r="T176" s="24" t="s">
        <v>39</v>
      </c>
      <c r="U176" s="24" t="s">
        <v>39</v>
      </c>
      <c r="V176" s="24" t="s">
        <v>39</v>
      </c>
      <c r="W176" s="24"/>
      <c r="X176" s="24"/>
      <c r="Y176" s="15"/>
      <c r="Z176" s="15"/>
      <c r="AA176" s="24"/>
      <c r="AB176" s="24"/>
      <c r="AC176" s="24"/>
      <c r="AD176" s="24"/>
      <c r="AE176" s="24"/>
      <c r="AF176" s="24"/>
      <c r="AG176" s="24"/>
      <c r="AH176" s="24"/>
    </row>
    <row r="177" spans="1:34" ht="30" x14ac:dyDescent="0.25">
      <c r="A177" s="24" t="str">
        <f>HYPERLINK("https://www.cpso.on.ca/DoctorDetails/Anthony-Christopher-Carr/0043782-57760","Carr, Anthony Christopher")</f>
        <v>Carr, Anthony Christopher</v>
      </c>
      <c r="B177" s="25" t="s">
        <v>2087</v>
      </c>
      <c r="C177" s="24" t="s">
        <v>2088</v>
      </c>
      <c r="D177" s="24" t="s">
        <v>2089</v>
      </c>
      <c r="E177" s="24" t="s">
        <v>29</v>
      </c>
      <c r="F177" s="24" t="s">
        <v>30</v>
      </c>
      <c r="G177" s="24" t="s">
        <v>813</v>
      </c>
      <c r="H177" s="24" t="s">
        <v>2090</v>
      </c>
      <c r="I177" s="24" t="s">
        <v>2091</v>
      </c>
      <c r="J177" s="24" t="s">
        <v>2092</v>
      </c>
      <c r="K177" s="24"/>
      <c r="L177" s="24" t="s">
        <v>184</v>
      </c>
      <c r="M177" s="15"/>
      <c r="N177" s="15"/>
      <c r="O177" s="15"/>
      <c r="P177" s="15" t="s">
        <v>808</v>
      </c>
      <c r="Q177" s="15"/>
      <c r="R177" s="15" t="s">
        <v>2093</v>
      </c>
      <c r="S177" s="24" t="s">
        <v>39</v>
      </c>
      <c r="T177" s="24" t="s">
        <v>39</v>
      </c>
      <c r="U177" s="24" t="s">
        <v>39</v>
      </c>
      <c r="V177" s="24" t="s">
        <v>39</v>
      </c>
      <c r="W177" s="24"/>
      <c r="X177" s="24"/>
      <c r="Y177" s="15"/>
      <c r="Z177" s="15"/>
      <c r="AA177" s="24"/>
      <c r="AB177" s="24"/>
      <c r="AC177" s="24"/>
      <c r="AD177" s="24"/>
      <c r="AE177" s="24"/>
      <c r="AF177" s="24"/>
      <c r="AG177" s="24"/>
      <c r="AH177" s="24"/>
    </row>
    <row r="178" spans="1:34" ht="75" x14ac:dyDescent="0.25">
      <c r="A178" s="24" t="str">
        <f>HYPERLINK("https://www.cpso.on.ca/DoctorDetails/Anthony-Elochukwu-Anago/0297725-105452","Anago, Anthony Elochukwu")</f>
        <v>Anago, Anthony Elochukwu</v>
      </c>
      <c r="B178" s="25" t="s">
        <v>2094</v>
      </c>
      <c r="C178" s="24" t="s">
        <v>2095</v>
      </c>
      <c r="D178" s="24" t="s">
        <v>2096</v>
      </c>
      <c r="E178" s="24" t="s">
        <v>29</v>
      </c>
      <c r="F178" s="24" t="s">
        <v>30</v>
      </c>
      <c r="G178" s="24" t="s">
        <v>2097</v>
      </c>
      <c r="H178" s="24" t="s">
        <v>2098</v>
      </c>
      <c r="I178" s="24" t="s">
        <v>2099</v>
      </c>
      <c r="J178" s="24" t="s">
        <v>2100</v>
      </c>
      <c r="K178" s="24" t="s">
        <v>2101</v>
      </c>
      <c r="L178" s="24" t="s">
        <v>65</v>
      </c>
      <c r="M178" s="15" t="s">
        <v>2102</v>
      </c>
      <c r="N178" s="15" t="s">
        <v>2103</v>
      </c>
      <c r="O178" s="15" t="s">
        <v>2104</v>
      </c>
      <c r="P178" s="15" t="s">
        <v>2105</v>
      </c>
      <c r="Q178" s="15"/>
      <c r="R178" s="15" t="s">
        <v>2106</v>
      </c>
      <c r="S178" s="24" t="s">
        <v>39</v>
      </c>
      <c r="T178" s="24" t="s">
        <v>39</v>
      </c>
      <c r="U178" s="24" t="s">
        <v>39</v>
      </c>
      <c r="V178" s="24" t="s">
        <v>39</v>
      </c>
      <c r="W178" s="24" t="s">
        <v>2107</v>
      </c>
      <c r="X178" s="24" t="s">
        <v>2108</v>
      </c>
      <c r="Y178" s="15" t="s">
        <v>2109</v>
      </c>
      <c r="Z178" s="15" t="s">
        <v>2110</v>
      </c>
      <c r="AA178" s="24"/>
      <c r="AB178" s="24"/>
      <c r="AC178" s="24"/>
      <c r="AD178" s="24"/>
      <c r="AE178" s="24"/>
      <c r="AF178" s="24"/>
      <c r="AG178" s="24"/>
      <c r="AH178" s="24"/>
    </row>
    <row r="179" spans="1:34" ht="75" x14ac:dyDescent="0.25">
      <c r="A179" s="24" t="str">
        <f>HYPERLINK("https://www.cpso.on.ca/DoctorDetails/Anthony-Emeka-Adiele/0318835-112968","Adiele, Anthony Emeka")</f>
        <v>Adiele, Anthony Emeka</v>
      </c>
      <c r="B179" s="25" t="s">
        <v>2111</v>
      </c>
      <c r="C179" s="24" t="s">
        <v>2112</v>
      </c>
      <c r="D179" s="24" t="s">
        <v>2113</v>
      </c>
      <c r="E179" s="24" t="s">
        <v>29</v>
      </c>
      <c r="F179" s="24" t="s">
        <v>30</v>
      </c>
      <c r="G179" s="24" t="s">
        <v>31</v>
      </c>
      <c r="H179" s="24" t="s">
        <v>2114</v>
      </c>
      <c r="I179" s="24" t="s">
        <v>2115</v>
      </c>
      <c r="J179" s="24" t="s">
        <v>1040</v>
      </c>
      <c r="K179" s="24"/>
      <c r="L179" s="24" t="s">
        <v>340</v>
      </c>
      <c r="M179" s="15" t="s">
        <v>2116</v>
      </c>
      <c r="N179" s="15"/>
      <c r="O179" s="15"/>
      <c r="P179" s="15" t="s">
        <v>2117</v>
      </c>
      <c r="Q179" s="15"/>
      <c r="R179" s="15" t="s">
        <v>2118</v>
      </c>
      <c r="S179" s="24" t="s">
        <v>71</v>
      </c>
      <c r="T179" s="24" t="s">
        <v>39</v>
      </c>
      <c r="U179" s="24" t="s">
        <v>39</v>
      </c>
      <c r="V179" s="24" t="s">
        <v>39</v>
      </c>
      <c r="W179" s="24"/>
      <c r="X179" s="24"/>
      <c r="Y179" s="15"/>
      <c r="Z179" s="15"/>
      <c r="AA179" s="24"/>
      <c r="AB179" s="24"/>
      <c r="AC179" s="24"/>
      <c r="AD179" s="24"/>
      <c r="AE179" s="24"/>
      <c r="AF179" s="24"/>
      <c r="AG179" s="24"/>
      <c r="AH179" s="24"/>
    </row>
    <row r="180" spans="1:34" ht="45" x14ac:dyDescent="0.25">
      <c r="A180" s="24" t="str">
        <f>HYPERLINK("https://www.cpso.on.ca/DoctorDetails/Anthony-Feinstein/0053015-66979","Feinstein, Anthony")</f>
        <v>Feinstein, Anthony</v>
      </c>
      <c r="B180" s="25" t="s">
        <v>2119</v>
      </c>
      <c r="C180" s="24" t="s">
        <v>836</v>
      </c>
      <c r="D180" s="24" t="s">
        <v>2120</v>
      </c>
      <c r="E180" s="24" t="s">
        <v>29</v>
      </c>
      <c r="F180" s="24" t="s">
        <v>30</v>
      </c>
      <c r="G180" s="24" t="s">
        <v>31</v>
      </c>
      <c r="H180" s="24" t="s">
        <v>2121</v>
      </c>
      <c r="I180" s="24" t="s">
        <v>2122</v>
      </c>
      <c r="J180" s="24" t="s">
        <v>2123</v>
      </c>
      <c r="K180" s="24" t="s">
        <v>2124</v>
      </c>
      <c r="L180" s="24" t="s">
        <v>52</v>
      </c>
      <c r="M180" s="15"/>
      <c r="N180" s="15"/>
      <c r="O180" s="15" t="s">
        <v>1397</v>
      </c>
      <c r="P180" s="15" t="s">
        <v>2125</v>
      </c>
      <c r="Q180" s="15"/>
      <c r="R180" s="15" t="s">
        <v>2126</v>
      </c>
      <c r="S180" s="24" t="s">
        <v>39</v>
      </c>
      <c r="T180" s="24" t="s">
        <v>39</v>
      </c>
      <c r="U180" s="24" t="s">
        <v>39</v>
      </c>
      <c r="V180" s="24" t="s">
        <v>39</v>
      </c>
      <c r="W180" s="24" t="s">
        <v>2127</v>
      </c>
      <c r="X180" s="24" t="s">
        <v>2128</v>
      </c>
      <c r="Y180" s="15" t="s">
        <v>2129</v>
      </c>
      <c r="Z180" s="15" t="s">
        <v>2130</v>
      </c>
      <c r="AA180" s="24"/>
      <c r="AB180" s="24"/>
      <c r="AC180" s="24"/>
      <c r="AD180" s="24"/>
      <c r="AE180" s="24"/>
      <c r="AF180" s="24"/>
      <c r="AG180" s="24"/>
      <c r="AH180" s="24"/>
    </row>
    <row r="181" spans="1:34" ht="45" x14ac:dyDescent="0.25">
      <c r="A181" s="24" t="str">
        <f>HYPERLINK("https://www.cpso.on.ca/DoctorDetails/Anthony-Joseph-Levitt/0042010-55988","Levitt, Anthony Joseph")</f>
        <v>Levitt, Anthony Joseph</v>
      </c>
      <c r="B181" s="25" t="s">
        <v>2131</v>
      </c>
      <c r="C181" s="24" t="s">
        <v>2132</v>
      </c>
      <c r="D181" s="24" t="s">
        <v>2089</v>
      </c>
      <c r="E181" s="24" t="s">
        <v>29</v>
      </c>
      <c r="F181" s="24" t="s">
        <v>30</v>
      </c>
      <c r="G181" s="24" t="s">
        <v>31</v>
      </c>
      <c r="H181" s="24" t="s">
        <v>2133</v>
      </c>
      <c r="I181" s="24" t="s">
        <v>2134</v>
      </c>
      <c r="J181" s="24" t="s">
        <v>2135</v>
      </c>
      <c r="K181" s="24" t="s">
        <v>2136</v>
      </c>
      <c r="L181" s="24" t="s">
        <v>52</v>
      </c>
      <c r="M181" s="15"/>
      <c r="N181" s="15"/>
      <c r="O181" s="15" t="s">
        <v>1397</v>
      </c>
      <c r="P181" s="15" t="s">
        <v>2137</v>
      </c>
      <c r="Q181" s="15"/>
      <c r="R181" s="15" t="s">
        <v>2138</v>
      </c>
      <c r="S181" s="24" t="s">
        <v>39</v>
      </c>
      <c r="T181" s="24" t="s">
        <v>39</v>
      </c>
      <c r="U181" s="24" t="s">
        <v>39</v>
      </c>
      <c r="V181" s="24" t="s">
        <v>39</v>
      </c>
      <c r="W181" s="24" t="s">
        <v>2139</v>
      </c>
      <c r="X181" s="24" t="s">
        <v>2140</v>
      </c>
      <c r="Y181" s="15" t="s">
        <v>2141</v>
      </c>
      <c r="Z181" s="15" t="s">
        <v>2142</v>
      </c>
      <c r="AA181" s="24"/>
      <c r="AB181" s="24"/>
      <c r="AC181" s="24"/>
      <c r="AD181" s="24"/>
      <c r="AE181" s="24"/>
      <c r="AF181" s="24"/>
      <c r="AG181" s="24"/>
      <c r="AH181" s="24"/>
    </row>
    <row r="182" spans="1:34" ht="105" x14ac:dyDescent="0.25">
      <c r="A182" s="24" t="str">
        <f>HYPERLINK("https://www.cpso.on.ca/DoctorDetails/Anthony-Julius-Levinson/0140079-71511","Levinson, Anthony Julius")</f>
        <v>Levinson, Anthony Julius</v>
      </c>
      <c r="B182" s="25" t="s">
        <v>2143</v>
      </c>
      <c r="C182" s="24" t="s">
        <v>1390</v>
      </c>
      <c r="D182" s="24" t="s">
        <v>1391</v>
      </c>
      <c r="E182" s="24" t="s">
        <v>29</v>
      </c>
      <c r="F182" s="24" t="s">
        <v>30</v>
      </c>
      <c r="G182" s="24" t="s">
        <v>31</v>
      </c>
      <c r="H182" s="24" t="s">
        <v>1393</v>
      </c>
      <c r="I182" s="24" t="s">
        <v>2144</v>
      </c>
      <c r="J182" s="24" t="s">
        <v>2145</v>
      </c>
      <c r="K182" s="24" t="s">
        <v>2146</v>
      </c>
      <c r="L182" s="24" t="s">
        <v>184</v>
      </c>
      <c r="M182" s="15"/>
      <c r="N182" s="15"/>
      <c r="O182" s="15" t="s">
        <v>2147</v>
      </c>
      <c r="P182" s="15" t="s">
        <v>1398</v>
      </c>
      <c r="Q182" s="15" t="s">
        <v>2148</v>
      </c>
      <c r="R182" s="15" t="s">
        <v>1400</v>
      </c>
      <c r="S182" s="24" t="s">
        <v>39</v>
      </c>
      <c r="T182" s="24" t="s">
        <v>39</v>
      </c>
      <c r="U182" s="24" t="s">
        <v>39</v>
      </c>
      <c r="V182" s="24" t="s">
        <v>39</v>
      </c>
      <c r="W182" s="24"/>
      <c r="X182" s="24"/>
      <c r="Y182" s="15"/>
      <c r="Z182" s="15"/>
      <c r="AA182" s="24"/>
      <c r="AB182" s="24"/>
      <c r="AC182" s="24"/>
      <c r="AD182" s="24"/>
      <c r="AE182" s="24"/>
      <c r="AF182" s="24"/>
      <c r="AG182" s="24"/>
      <c r="AH182" s="24"/>
    </row>
    <row r="183" spans="1:34" ht="30" x14ac:dyDescent="0.25">
      <c r="A183" s="24" t="str">
        <f>HYPERLINK("https://www.cpso.on.ca/DoctorDetails/Anton-Daryl-Baksh/0220842-82107","Baksh, Anton Daryl")</f>
        <v>Baksh, Anton Daryl</v>
      </c>
      <c r="B183" s="25" t="s">
        <v>2149</v>
      </c>
      <c r="C183" s="24" t="s">
        <v>2150</v>
      </c>
      <c r="D183" s="24" t="s">
        <v>2151</v>
      </c>
      <c r="E183" s="24" t="s">
        <v>29</v>
      </c>
      <c r="F183" s="24" t="s">
        <v>30</v>
      </c>
      <c r="G183" s="24" t="s">
        <v>31</v>
      </c>
      <c r="H183" s="24" t="s">
        <v>2152</v>
      </c>
      <c r="I183" s="24" t="s">
        <v>2153</v>
      </c>
      <c r="J183" s="24" t="s">
        <v>2154</v>
      </c>
      <c r="K183" s="24" t="s">
        <v>2155</v>
      </c>
      <c r="L183" s="24" t="s">
        <v>84</v>
      </c>
      <c r="M183" s="15"/>
      <c r="N183" s="15"/>
      <c r="O183" s="15" t="s">
        <v>2156</v>
      </c>
      <c r="P183" s="15" t="s">
        <v>2157</v>
      </c>
      <c r="Q183" s="15"/>
      <c r="R183" s="15" t="s">
        <v>2158</v>
      </c>
      <c r="S183" s="24" t="s">
        <v>39</v>
      </c>
      <c r="T183" s="24" t="s">
        <v>39</v>
      </c>
      <c r="U183" s="24" t="s">
        <v>39</v>
      </c>
      <c r="V183" s="24" t="s">
        <v>39</v>
      </c>
      <c r="W183" s="24" t="s">
        <v>2159</v>
      </c>
      <c r="X183" s="24" t="s">
        <v>2160</v>
      </c>
      <c r="Y183" s="15" t="s">
        <v>2161</v>
      </c>
      <c r="Z183" s="15" t="s">
        <v>2162</v>
      </c>
      <c r="AA183" s="24"/>
      <c r="AB183" s="24"/>
      <c r="AC183" s="24"/>
      <c r="AD183" s="24"/>
      <c r="AE183" s="24"/>
      <c r="AF183" s="24"/>
      <c r="AG183" s="24"/>
      <c r="AH183" s="24"/>
    </row>
    <row r="184" spans="1:34" ht="75" x14ac:dyDescent="0.25">
      <c r="A184" s="24" t="str">
        <f>HYPERLINK("https://www.cpso.on.ca/DoctorDetails/Antonia-Seli-Uzelac/0149961-72531","Seli Uzelac, Antonia")</f>
        <v>Seli Uzelac, Antonia</v>
      </c>
      <c r="B184" s="25" t="s">
        <v>2163</v>
      </c>
      <c r="C184" s="24" t="s">
        <v>954</v>
      </c>
      <c r="D184" s="24" t="s">
        <v>1323</v>
      </c>
      <c r="E184" s="24" t="s">
        <v>2164</v>
      </c>
      <c r="F184" s="24" t="s">
        <v>47</v>
      </c>
      <c r="G184" s="24" t="s">
        <v>31</v>
      </c>
      <c r="H184" s="24" t="s">
        <v>2165</v>
      </c>
      <c r="I184" s="24" t="s">
        <v>2166</v>
      </c>
      <c r="J184" s="24" t="s">
        <v>2167</v>
      </c>
      <c r="K184" s="24" t="s">
        <v>2168</v>
      </c>
      <c r="L184" s="24" t="s">
        <v>184</v>
      </c>
      <c r="M184" s="15"/>
      <c r="N184" s="15"/>
      <c r="O184" s="15" t="s">
        <v>2169</v>
      </c>
      <c r="P184" s="15" t="s">
        <v>1330</v>
      </c>
      <c r="Q184" s="15" t="s">
        <v>2170</v>
      </c>
      <c r="R184" s="15" t="s">
        <v>2171</v>
      </c>
      <c r="S184" s="24" t="s">
        <v>39</v>
      </c>
      <c r="T184" s="24" t="s">
        <v>39</v>
      </c>
      <c r="U184" s="24" t="s">
        <v>39</v>
      </c>
      <c r="V184" s="24" t="s">
        <v>39</v>
      </c>
      <c r="W184" s="24" t="s">
        <v>2172</v>
      </c>
      <c r="X184" s="24" t="s">
        <v>2173</v>
      </c>
      <c r="Y184" s="15" t="s">
        <v>2174</v>
      </c>
      <c r="Z184" s="15" t="s">
        <v>2175</v>
      </c>
      <c r="AA184" s="24"/>
      <c r="AB184" s="24"/>
      <c r="AC184" s="24"/>
      <c r="AD184" s="24"/>
      <c r="AE184" s="24"/>
      <c r="AF184" s="24"/>
      <c r="AG184" s="24"/>
      <c r="AH184" s="24"/>
    </row>
    <row r="185" spans="1:34" ht="90" x14ac:dyDescent="0.25">
      <c r="A185" s="24" t="str">
        <f>HYPERLINK("https://www.cpso.on.ca/DoctorDetails/Antonina-Stakheiko/0258717-91300","Stakheiko, Antonina")</f>
        <v>Stakheiko, Antonina</v>
      </c>
      <c r="B185" s="25" t="s">
        <v>2176</v>
      </c>
      <c r="C185" s="24" t="s">
        <v>442</v>
      </c>
      <c r="D185" s="24" t="s">
        <v>443</v>
      </c>
      <c r="E185" s="24" t="s">
        <v>29</v>
      </c>
      <c r="F185" s="24" t="s">
        <v>47</v>
      </c>
      <c r="G185" s="24" t="s">
        <v>873</v>
      </c>
      <c r="H185" s="24" t="s">
        <v>2177</v>
      </c>
      <c r="I185" s="24" t="s">
        <v>2178</v>
      </c>
      <c r="J185" s="24" t="s">
        <v>1072</v>
      </c>
      <c r="K185" s="24" t="s">
        <v>2179</v>
      </c>
      <c r="L185" s="24" t="s">
        <v>340</v>
      </c>
      <c r="M185" s="15"/>
      <c r="N185" s="15"/>
      <c r="O185" s="15" t="s">
        <v>1073</v>
      </c>
      <c r="P185" s="15" t="s">
        <v>449</v>
      </c>
      <c r="Q185" s="15" t="s">
        <v>2180</v>
      </c>
      <c r="R185" s="15" t="s">
        <v>2181</v>
      </c>
      <c r="S185" s="24" t="s">
        <v>39</v>
      </c>
      <c r="T185" s="24" t="s">
        <v>39</v>
      </c>
      <c r="U185" s="24" t="s">
        <v>39</v>
      </c>
      <c r="V185" s="24" t="s">
        <v>39</v>
      </c>
      <c r="W185" s="24" t="s">
        <v>2182</v>
      </c>
      <c r="X185" s="24" t="s">
        <v>2183</v>
      </c>
      <c r="Y185" s="15" t="s">
        <v>2184</v>
      </c>
      <c r="Z185" s="15" t="s">
        <v>2185</v>
      </c>
      <c r="AA185" s="24"/>
      <c r="AB185" s="24"/>
      <c r="AC185" s="24"/>
      <c r="AD185" s="24"/>
      <c r="AE185" s="24"/>
      <c r="AF185" s="24"/>
      <c r="AG185" s="24"/>
      <c r="AH185" s="24"/>
    </row>
    <row r="186" spans="1:34" ht="90" x14ac:dyDescent="0.25">
      <c r="A186" s="24" t="str">
        <f>HYPERLINK("https://www.cpso.on.ca/DoctorDetails/Antonio-Pignatiello/0044123-58101","Pignatiello, Antonio")</f>
        <v>Pignatiello, Antonio</v>
      </c>
      <c r="B186" s="25" t="s">
        <v>2186</v>
      </c>
      <c r="C186" s="24" t="s">
        <v>1609</v>
      </c>
      <c r="D186" s="24" t="s">
        <v>2187</v>
      </c>
      <c r="E186" s="24" t="s">
        <v>29</v>
      </c>
      <c r="F186" s="24" t="s">
        <v>30</v>
      </c>
      <c r="G186" s="24" t="s">
        <v>2188</v>
      </c>
      <c r="H186" s="24" t="s">
        <v>2189</v>
      </c>
      <c r="I186" s="24" t="s">
        <v>2190</v>
      </c>
      <c r="J186" s="24" t="s">
        <v>2191</v>
      </c>
      <c r="K186" s="24" t="s">
        <v>2192</v>
      </c>
      <c r="L186" s="24" t="s">
        <v>52</v>
      </c>
      <c r="M186" s="15"/>
      <c r="N186" s="15"/>
      <c r="O186" s="15" t="s">
        <v>121</v>
      </c>
      <c r="P186" s="15" t="s">
        <v>1842</v>
      </c>
      <c r="Q186" s="15" t="s">
        <v>2193</v>
      </c>
      <c r="R186" s="15" t="s">
        <v>2194</v>
      </c>
      <c r="S186" s="24" t="s">
        <v>39</v>
      </c>
      <c r="T186" s="24" t="s">
        <v>39</v>
      </c>
      <c r="U186" s="24" t="s">
        <v>39</v>
      </c>
      <c r="V186" s="24" t="s">
        <v>39</v>
      </c>
      <c r="W186" s="24" t="s">
        <v>2195</v>
      </c>
      <c r="X186" s="24" t="s">
        <v>2196</v>
      </c>
      <c r="Y186" s="15" t="s">
        <v>2197</v>
      </c>
      <c r="Z186" s="15" t="s">
        <v>2198</v>
      </c>
      <c r="AA186" s="24"/>
      <c r="AB186" s="24"/>
      <c r="AC186" s="24"/>
      <c r="AD186" s="24"/>
      <c r="AE186" s="24"/>
      <c r="AF186" s="24"/>
      <c r="AG186" s="24"/>
      <c r="AH186" s="24"/>
    </row>
    <row r="187" spans="1:34" ht="90" x14ac:dyDescent="0.25">
      <c r="A187" s="24" t="str">
        <f>HYPERLINK("https://www.cpso.on.ca/DoctorDetails/Antony-Sebastian-Jesudoss-Amaladoss/0228641-85894","Amaladoss, Antony Sebastian Jesudoss")</f>
        <v>Amaladoss, Antony Sebastian Jesudoss</v>
      </c>
      <c r="B187" s="25" t="s">
        <v>2199</v>
      </c>
      <c r="C187" s="24" t="s">
        <v>2200</v>
      </c>
      <c r="D187" s="24" t="s">
        <v>2201</v>
      </c>
      <c r="E187" s="24" t="s">
        <v>29</v>
      </c>
      <c r="F187" s="24" t="s">
        <v>30</v>
      </c>
      <c r="G187" s="24" t="s">
        <v>2202</v>
      </c>
      <c r="H187" s="24" t="s">
        <v>2203</v>
      </c>
      <c r="I187" s="24" t="s">
        <v>2204</v>
      </c>
      <c r="J187" s="24" t="s">
        <v>2205</v>
      </c>
      <c r="K187" s="24" t="s">
        <v>2206</v>
      </c>
      <c r="L187" s="24" t="s">
        <v>184</v>
      </c>
      <c r="M187" s="15"/>
      <c r="N187" s="15"/>
      <c r="O187" s="15"/>
      <c r="P187" s="15" t="s">
        <v>2207</v>
      </c>
      <c r="Q187" s="15"/>
      <c r="R187" s="15" t="s">
        <v>2208</v>
      </c>
      <c r="S187" s="24" t="s">
        <v>71</v>
      </c>
      <c r="T187" s="24" t="s">
        <v>39</v>
      </c>
      <c r="U187" s="24" t="s">
        <v>39</v>
      </c>
      <c r="V187" s="24" t="s">
        <v>39</v>
      </c>
      <c r="W187" s="24" t="s">
        <v>2209</v>
      </c>
      <c r="X187" s="24" t="s">
        <v>2210</v>
      </c>
      <c r="Y187" s="15" t="s">
        <v>2211</v>
      </c>
      <c r="Z187" s="15" t="s">
        <v>2212</v>
      </c>
      <c r="AA187" s="24"/>
      <c r="AB187" s="24"/>
      <c r="AC187" s="24"/>
      <c r="AD187" s="24"/>
      <c r="AE187" s="24"/>
      <c r="AF187" s="24"/>
      <c r="AG187" s="24"/>
      <c r="AH187" s="24"/>
    </row>
    <row r="188" spans="1:34" ht="105" x14ac:dyDescent="0.25">
      <c r="A188" s="24" t="str">
        <f>HYPERLINK("https://www.cpso.on.ca/DoctorDetails/Anupam-Thakur/0291617-104523","Thakur, Anupam")</f>
        <v>Thakur, Anupam</v>
      </c>
      <c r="B188" s="25" t="s">
        <v>2213</v>
      </c>
      <c r="C188" s="24" t="s">
        <v>2214</v>
      </c>
      <c r="D188" s="24" t="s">
        <v>2215</v>
      </c>
      <c r="E188" s="24" t="s">
        <v>29</v>
      </c>
      <c r="F188" s="24" t="s">
        <v>30</v>
      </c>
      <c r="G188" s="24" t="s">
        <v>2216</v>
      </c>
      <c r="H188" s="24" t="s">
        <v>2217</v>
      </c>
      <c r="I188" s="24" t="s">
        <v>2218</v>
      </c>
      <c r="J188" s="24" t="s">
        <v>2219</v>
      </c>
      <c r="K188" s="24"/>
      <c r="L188" s="24" t="s">
        <v>52</v>
      </c>
      <c r="M188" s="15" t="s">
        <v>2220</v>
      </c>
      <c r="N188" s="15" t="s">
        <v>2221</v>
      </c>
      <c r="O188" s="15" t="s">
        <v>981</v>
      </c>
      <c r="P188" s="15" t="s">
        <v>2222</v>
      </c>
      <c r="Q188" s="15"/>
      <c r="R188" s="15" t="s">
        <v>2223</v>
      </c>
      <c r="S188" s="24" t="s">
        <v>71</v>
      </c>
      <c r="T188" s="24" t="s">
        <v>39</v>
      </c>
      <c r="U188" s="24" t="s">
        <v>39</v>
      </c>
      <c r="V188" s="24" t="s">
        <v>39</v>
      </c>
      <c r="W188" s="24" t="s">
        <v>2224</v>
      </c>
      <c r="X188" s="24" t="s">
        <v>2225</v>
      </c>
      <c r="Y188" s="15" t="s">
        <v>2226</v>
      </c>
      <c r="Z188" s="15" t="s">
        <v>2227</v>
      </c>
      <c r="AA188" s="24"/>
      <c r="AB188" s="24"/>
      <c r="AC188" s="24"/>
      <c r="AD188" s="24"/>
      <c r="AE188" s="24"/>
      <c r="AF188" s="24"/>
      <c r="AG188" s="24"/>
      <c r="AH188" s="24"/>
    </row>
    <row r="189" spans="1:34" ht="30" x14ac:dyDescent="0.25">
      <c r="A189" s="24" t="str">
        <f>HYPERLINK("https://www.cpso.on.ca/DoctorDetails/Anurita-Singh/0322486-114171","Singh, Anurita")</f>
        <v>Singh, Anurita</v>
      </c>
      <c r="B189" s="25" t="s">
        <v>2228</v>
      </c>
      <c r="C189" s="24" t="s">
        <v>2229</v>
      </c>
      <c r="D189" s="24" t="s">
        <v>2230</v>
      </c>
      <c r="E189" s="24" t="s">
        <v>29</v>
      </c>
      <c r="F189" s="24" t="s">
        <v>47</v>
      </c>
      <c r="G189" s="24" t="s">
        <v>31</v>
      </c>
      <c r="H189" s="24" t="s">
        <v>190</v>
      </c>
      <c r="I189" s="24" t="s">
        <v>2231</v>
      </c>
      <c r="J189" s="24" t="s">
        <v>2232</v>
      </c>
      <c r="K189" s="24"/>
      <c r="L189" s="24" t="s">
        <v>36</v>
      </c>
      <c r="M189" s="15"/>
      <c r="N189" s="15" t="s">
        <v>194</v>
      </c>
      <c r="O189" s="15"/>
      <c r="P189" s="15" t="s">
        <v>2233</v>
      </c>
      <c r="Q189" s="15"/>
      <c r="R189" s="15" t="s">
        <v>2234</v>
      </c>
      <c r="S189" s="24" t="s">
        <v>39</v>
      </c>
      <c r="T189" s="24" t="s">
        <v>39</v>
      </c>
      <c r="U189" s="24" t="s">
        <v>39</v>
      </c>
      <c r="V189" s="24" t="s">
        <v>39</v>
      </c>
      <c r="W189" s="24"/>
      <c r="X189" s="24"/>
      <c r="Y189" s="15"/>
      <c r="Z189" s="15"/>
      <c r="AA189" s="24"/>
      <c r="AB189" s="24"/>
      <c r="AC189" s="24"/>
      <c r="AD189" s="24"/>
      <c r="AE189" s="24"/>
      <c r="AF189" s="24"/>
      <c r="AG189" s="24"/>
      <c r="AH189" s="24"/>
    </row>
    <row r="190" spans="1:34" ht="120" x14ac:dyDescent="0.25">
      <c r="A190" s="24" t="str">
        <f>HYPERLINK("https://www.cpso.on.ca/DoctorDetails/Anvesh-Roy/0239455-87159","Roy, Anvesh")</f>
        <v>Roy, Anvesh</v>
      </c>
      <c r="B190" s="25" t="s">
        <v>2235</v>
      </c>
      <c r="C190" s="24" t="s">
        <v>1115</v>
      </c>
      <c r="D190" s="24" t="s">
        <v>571</v>
      </c>
      <c r="E190" s="24" t="s">
        <v>29</v>
      </c>
      <c r="F190" s="24" t="s">
        <v>30</v>
      </c>
      <c r="G190" s="24" t="s">
        <v>31</v>
      </c>
      <c r="H190" s="24" t="s">
        <v>2236</v>
      </c>
      <c r="I190" s="24" t="s">
        <v>2237</v>
      </c>
      <c r="J190" s="24" t="s">
        <v>2238</v>
      </c>
      <c r="K190" s="24" t="s">
        <v>2239</v>
      </c>
      <c r="L190" s="24" t="s">
        <v>52</v>
      </c>
      <c r="M190" s="15"/>
      <c r="N190" s="15"/>
      <c r="O190" s="15" t="s">
        <v>842</v>
      </c>
      <c r="P190" s="15" t="s">
        <v>629</v>
      </c>
      <c r="Q190" s="15" t="s">
        <v>2240</v>
      </c>
      <c r="R190" s="15" t="s">
        <v>2241</v>
      </c>
      <c r="S190" s="24" t="s">
        <v>39</v>
      </c>
      <c r="T190" s="24" t="s">
        <v>39</v>
      </c>
      <c r="U190" s="24" t="s">
        <v>39</v>
      </c>
      <c r="V190" s="24" t="s">
        <v>39</v>
      </c>
      <c r="W190" s="24" t="s">
        <v>2242</v>
      </c>
      <c r="X190" s="24" t="s">
        <v>2243</v>
      </c>
      <c r="Y190" s="15" t="s">
        <v>2244</v>
      </c>
      <c r="Z190" s="15" t="s">
        <v>2245</v>
      </c>
      <c r="AA190" s="24"/>
      <c r="AB190" s="24"/>
      <c r="AC190" s="24"/>
      <c r="AD190" s="24"/>
      <c r="AE190" s="24"/>
      <c r="AF190" s="24"/>
      <c r="AG190" s="24"/>
      <c r="AH190" s="24"/>
    </row>
    <row r="191" spans="1:34" ht="30" x14ac:dyDescent="0.25">
      <c r="A191" s="24" t="str">
        <f>HYPERLINK("https://www.cpso.on.ca/DoctorDetails/Anvita-Shashikant-Joglekar/0040510-54486","Joglekar, Anvita Shashikant")</f>
        <v>Joglekar, Anvita Shashikant</v>
      </c>
      <c r="B191" s="25" t="s">
        <v>2246</v>
      </c>
      <c r="C191" s="24" t="s">
        <v>704</v>
      </c>
      <c r="D191" s="24" t="s">
        <v>2247</v>
      </c>
      <c r="E191" s="24" t="s">
        <v>29</v>
      </c>
      <c r="F191" s="24" t="s">
        <v>47</v>
      </c>
      <c r="G191" s="24" t="s">
        <v>2248</v>
      </c>
      <c r="H191" s="24" t="s">
        <v>2249</v>
      </c>
      <c r="I191" s="24" t="s">
        <v>107</v>
      </c>
      <c r="J191" s="24"/>
      <c r="K191" s="24"/>
      <c r="L191" s="24"/>
      <c r="M191" s="15"/>
      <c r="N191" s="15"/>
      <c r="O191" s="15"/>
      <c r="P191" s="15" t="s">
        <v>2250</v>
      </c>
      <c r="Q191" s="15"/>
      <c r="R191" s="15" t="s">
        <v>2251</v>
      </c>
      <c r="S191" s="24" t="s">
        <v>39</v>
      </c>
      <c r="T191" s="24" t="s">
        <v>39</v>
      </c>
      <c r="U191" s="24" t="s">
        <v>39</v>
      </c>
      <c r="V191" s="24" t="s">
        <v>39</v>
      </c>
      <c r="W191" s="24"/>
      <c r="X191" s="24"/>
      <c r="Y191" s="15"/>
      <c r="Z191" s="15"/>
      <c r="AA191" s="24"/>
      <c r="AB191" s="24"/>
      <c r="AC191" s="24"/>
      <c r="AD191" s="24"/>
      <c r="AE191" s="24"/>
      <c r="AF191" s="24"/>
      <c r="AG191" s="24"/>
      <c r="AH191" s="24"/>
    </row>
    <row r="192" spans="1:34" ht="90" x14ac:dyDescent="0.25">
      <c r="A192" s="24" t="str">
        <f>HYPERLINK("https://www.cpso.on.ca/DoctorDetails/Arany-Shanmugalingam/0258707-91313","Shanmugalingam, Arany")</f>
        <v>Shanmugalingam, Arany</v>
      </c>
      <c r="B192" s="25" t="s">
        <v>2252</v>
      </c>
      <c r="C192" s="24" t="s">
        <v>2253</v>
      </c>
      <c r="D192" s="24" t="s">
        <v>2254</v>
      </c>
      <c r="E192" s="24" t="s">
        <v>29</v>
      </c>
      <c r="F192" s="24" t="s">
        <v>47</v>
      </c>
      <c r="G192" s="24" t="s">
        <v>2255</v>
      </c>
      <c r="H192" s="24" t="s">
        <v>2256</v>
      </c>
      <c r="I192" s="24" t="s">
        <v>2257</v>
      </c>
      <c r="J192" s="24" t="s">
        <v>2258</v>
      </c>
      <c r="K192" s="24"/>
      <c r="L192" s="24" t="s">
        <v>36</v>
      </c>
      <c r="M192" s="15"/>
      <c r="N192" s="15"/>
      <c r="O192" s="15"/>
      <c r="P192" s="15" t="s">
        <v>2259</v>
      </c>
      <c r="Q192" s="15" t="s">
        <v>2260</v>
      </c>
      <c r="R192" s="15" t="s">
        <v>2261</v>
      </c>
      <c r="S192" s="24" t="s">
        <v>39</v>
      </c>
      <c r="T192" s="24" t="s">
        <v>39</v>
      </c>
      <c r="U192" s="24" t="s">
        <v>39</v>
      </c>
      <c r="V192" s="24" t="s">
        <v>39</v>
      </c>
      <c r="W192" s="24" t="s">
        <v>2262</v>
      </c>
      <c r="X192" s="24" t="s">
        <v>2263</v>
      </c>
      <c r="Y192" s="15" t="s">
        <v>2264</v>
      </c>
      <c r="Z192" s="15" t="s">
        <v>2265</v>
      </c>
      <c r="AA192" s="24"/>
      <c r="AB192" s="24"/>
      <c r="AC192" s="24"/>
      <c r="AD192" s="24"/>
      <c r="AE192" s="24"/>
      <c r="AF192" s="24"/>
      <c r="AG192" s="24"/>
      <c r="AH192" s="24"/>
    </row>
    <row r="193" spans="1:34" ht="30" x14ac:dyDescent="0.25">
      <c r="A193" s="24" t="str">
        <f>HYPERLINK("https://www.cpso.on.ca/DoctorDetails/Arash-Nakhost/0285958-99724","Nakhost, Arash")</f>
        <v>Nakhost, Arash</v>
      </c>
      <c r="B193" s="25" t="s">
        <v>2266</v>
      </c>
      <c r="C193" s="24" t="s">
        <v>2267</v>
      </c>
      <c r="D193" s="24" t="s">
        <v>2268</v>
      </c>
      <c r="E193" s="24" t="s">
        <v>29</v>
      </c>
      <c r="F193" s="24" t="s">
        <v>30</v>
      </c>
      <c r="G193" s="24" t="s">
        <v>31</v>
      </c>
      <c r="H193" s="24" t="s">
        <v>2269</v>
      </c>
      <c r="I193" s="24" t="s">
        <v>2270</v>
      </c>
      <c r="J193" s="24" t="s">
        <v>2271</v>
      </c>
      <c r="K193" s="24" t="s">
        <v>218</v>
      </c>
      <c r="L193" s="24" t="s">
        <v>52</v>
      </c>
      <c r="M193" s="15"/>
      <c r="N193" s="15" t="s">
        <v>710</v>
      </c>
      <c r="O193" s="15" t="s">
        <v>2272</v>
      </c>
      <c r="P193" s="15" t="s">
        <v>1074</v>
      </c>
      <c r="Q193" s="15"/>
      <c r="R193" s="15" t="s">
        <v>2273</v>
      </c>
      <c r="S193" s="24" t="s">
        <v>39</v>
      </c>
      <c r="T193" s="24" t="s">
        <v>39</v>
      </c>
      <c r="U193" s="24" t="s">
        <v>39</v>
      </c>
      <c r="V193" s="24" t="s">
        <v>39</v>
      </c>
      <c r="W193" s="24"/>
      <c r="X193" s="24"/>
      <c r="Y193" s="15"/>
      <c r="Z193" s="15"/>
      <c r="AA193" s="24"/>
      <c r="AB193" s="24"/>
      <c r="AC193" s="24"/>
      <c r="AD193" s="24"/>
      <c r="AE193" s="24"/>
      <c r="AF193" s="24"/>
      <c r="AG193" s="24"/>
      <c r="AH193" s="24"/>
    </row>
    <row r="194" spans="1:34" ht="90" x14ac:dyDescent="0.25">
      <c r="A194" s="24" t="str">
        <f>HYPERLINK("https://www.cpso.on.ca/DoctorDetails/Archana-Dharmesh-Patel/0272999-95658","Patel, Archana Dharmesh")</f>
        <v>Patel, Archana Dharmesh</v>
      </c>
      <c r="B194" s="25" t="s">
        <v>2274</v>
      </c>
      <c r="C194" s="24" t="s">
        <v>1266</v>
      </c>
      <c r="D194" s="24" t="s">
        <v>967</v>
      </c>
      <c r="E194" s="24" t="s">
        <v>29</v>
      </c>
      <c r="F194" s="24" t="s">
        <v>47</v>
      </c>
      <c r="G194" s="24" t="s">
        <v>2275</v>
      </c>
      <c r="H194" s="24" t="s">
        <v>2276</v>
      </c>
      <c r="I194" s="24" t="s">
        <v>2277</v>
      </c>
      <c r="J194" s="24" t="s">
        <v>2278</v>
      </c>
      <c r="K194" s="24"/>
      <c r="L194" s="24" t="s">
        <v>340</v>
      </c>
      <c r="M194" s="15"/>
      <c r="N194" s="15"/>
      <c r="O194" s="15" t="s">
        <v>1914</v>
      </c>
      <c r="P194" s="15" t="s">
        <v>973</v>
      </c>
      <c r="Q194" s="15" t="s">
        <v>2279</v>
      </c>
      <c r="R194" s="15" t="s">
        <v>2280</v>
      </c>
      <c r="S194" s="24" t="s">
        <v>39</v>
      </c>
      <c r="T194" s="24" t="s">
        <v>39</v>
      </c>
      <c r="U194" s="24" t="s">
        <v>39</v>
      </c>
      <c r="V194" s="24" t="s">
        <v>39</v>
      </c>
      <c r="W194" s="24" t="s">
        <v>2281</v>
      </c>
      <c r="X194" s="24" t="s">
        <v>2282</v>
      </c>
      <c r="Y194" s="15" t="s">
        <v>2283</v>
      </c>
      <c r="Z194" s="15" t="s">
        <v>2284</v>
      </c>
      <c r="AA194" s="24"/>
      <c r="AB194" s="24"/>
      <c r="AC194" s="24"/>
      <c r="AD194" s="24"/>
      <c r="AE194" s="24"/>
      <c r="AF194" s="24"/>
      <c r="AG194" s="24"/>
      <c r="AH194" s="24"/>
    </row>
    <row r="195" spans="1:34" ht="90" x14ac:dyDescent="0.25">
      <c r="A195" s="24" t="str">
        <f>HYPERLINK("https://www.cpso.on.ca/DoctorDetails/Ari-Eliezer-Zaretsky/0045633-59611","Zaretsky, Ari Eliezer")</f>
        <v>Zaretsky, Ari Eliezer</v>
      </c>
      <c r="B195" s="25" t="s">
        <v>2285</v>
      </c>
      <c r="C195" s="24" t="s">
        <v>2286</v>
      </c>
      <c r="D195" s="24" t="s">
        <v>2287</v>
      </c>
      <c r="E195" s="24" t="s">
        <v>29</v>
      </c>
      <c r="F195" s="24" t="s">
        <v>30</v>
      </c>
      <c r="G195" s="24" t="s">
        <v>31</v>
      </c>
      <c r="H195" s="24" t="s">
        <v>2288</v>
      </c>
      <c r="I195" s="24" t="s">
        <v>2289</v>
      </c>
      <c r="J195" s="24" t="s">
        <v>2290</v>
      </c>
      <c r="K195" s="24" t="s">
        <v>2291</v>
      </c>
      <c r="L195" s="24" t="s">
        <v>52</v>
      </c>
      <c r="M195" s="15"/>
      <c r="N195" s="15"/>
      <c r="O195" s="15" t="s">
        <v>2292</v>
      </c>
      <c r="P195" s="15" t="s">
        <v>2293</v>
      </c>
      <c r="Q195" s="15" t="s">
        <v>2294</v>
      </c>
      <c r="R195" s="15" t="s">
        <v>2295</v>
      </c>
      <c r="S195" s="24" t="s">
        <v>39</v>
      </c>
      <c r="T195" s="24" t="s">
        <v>39</v>
      </c>
      <c r="U195" s="24" t="s">
        <v>39</v>
      </c>
      <c r="V195" s="24" t="s">
        <v>39</v>
      </c>
      <c r="W195" s="24" t="s">
        <v>2296</v>
      </c>
      <c r="X195" s="24" t="s">
        <v>2297</v>
      </c>
      <c r="Y195" s="15" t="s">
        <v>2298</v>
      </c>
      <c r="Z195" s="15" t="s">
        <v>2299</v>
      </c>
      <c r="AA195" s="24"/>
      <c r="AB195" s="24"/>
      <c r="AC195" s="24"/>
      <c r="AD195" s="24"/>
      <c r="AE195" s="24"/>
      <c r="AF195" s="24"/>
      <c r="AG195" s="24"/>
      <c r="AH195" s="24"/>
    </row>
    <row r="196" spans="1:34" ht="75" x14ac:dyDescent="0.25">
      <c r="A196" s="24" t="str">
        <f>HYPERLINK("https://www.cpso.on.ca/DoctorDetails/Arian-Behzadi/0314137-111266","Behzadi, Arian")</f>
        <v>Behzadi, Arian</v>
      </c>
      <c r="B196" s="25" t="s">
        <v>2300</v>
      </c>
      <c r="C196" s="24" t="s">
        <v>1548</v>
      </c>
      <c r="D196" s="24" t="s">
        <v>200</v>
      </c>
      <c r="E196" s="24" t="s">
        <v>29</v>
      </c>
      <c r="F196" s="24" t="s">
        <v>30</v>
      </c>
      <c r="G196" s="24" t="s">
        <v>522</v>
      </c>
      <c r="H196" s="24" t="s">
        <v>2301</v>
      </c>
      <c r="I196" s="24" t="s">
        <v>2302</v>
      </c>
      <c r="J196" s="24" t="s">
        <v>2303</v>
      </c>
      <c r="K196" s="24"/>
      <c r="L196" s="24" t="s">
        <v>52</v>
      </c>
      <c r="M196" s="15"/>
      <c r="N196" s="15"/>
      <c r="O196" s="15" t="s">
        <v>2304</v>
      </c>
      <c r="P196" s="15" t="s">
        <v>205</v>
      </c>
      <c r="Q196" s="15" t="s">
        <v>2305</v>
      </c>
      <c r="R196" s="15" t="s">
        <v>2306</v>
      </c>
      <c r="S196" s="24" t="s">
        <v>39</v>
      </c>
      <c r="T196" s="24" t="s">
        <v>39</v>
      </c>
      <c r="U196" s="24" t="s">
        <v>39</v>
      </c>
      <c r="V196" s="24" t="s">
        <v>39</v>
      </c>
      <c r="W196" s="24" t="s">
        <v>2307</v>
      </c>
      <c r="X196" s="24" t="s">
        <v>2308</v>
      </c>
      <c r="Y196" s="15" t="s">
        <v>2309</v>
      </c>
      <c r="Z196" s="15" t="s">
        <v>2310</v>
      </c>
      <c r="AA196" s="24"/>
      <c r="AB196" s="24"/>
      <c r="AC196" s="24"/>
      <c r="AD196" s="24"/>
      <c r="AE196" s="24"/>
      <c r="AF196" s="24"/>
      <c r="AG196" s="24"/>
      <c r="AH196" s="24"/>
    </row>
    <row r="197" spans="1:34" ht="105" x14ac:dyDescent="0.25">
      <c r="A197" s="24" t="str">
        <f>HYPERLINK("https://www.cpso.on.ca/DoctorDetails/Arianne-Loraine-St-Jacques/0273519-95553","St. Jacques, Arianne Loraine")</f>
        <v>St. Jacques, Arianne Loraine</v>
      </c>
      <c r="B197" s="25" t="s">
        <v>2311</v>
      </c>
      <c r="C197" s="24" t="s">
        <v>1266</v>
      </c>
      <c r="D197" s="24" t="s">
        <v>545</v>
      </c>
      <c r="E197" s="24" t="s">
        <v>29</v>
      </c>
      <c r="F197" s="24" t="s">
        <v>47</v>
      </c>
      <c r="G197" s="24" t="s">
        <v>31</v>
      </c>
      <c r="H197" s="24" t="s">
        <v>2312</v>
      </c>
      <c r="I197" s="24" t="s">
        <v>353</v>
      </c>
      <c r="J197" s="24" t="s">
        <v>2313</v>
      </c>
      <c r="K197" s="24"/>
      <c r="L197" s="24" t="s">
        <v>52</v>
      </c>
      <c r="M197" s="15" t="s">
        <v>2314</v>
      </c>
      <c r="N197" s="15"/>
      <c r="O197" s="15" t="s">
        <v>2315</v>
      </c>
      <c r="P197" s="15" t="s">
        <v>550</v>
      </c>
      <c r="Q197" s="15" t="s">
        <v>2316</v>
      </c>
      <c r="R197" s="15" t="s">
        <v>1272</v>
      </c>
      <c r="S197" s="24" t="s">
        <v>39</v>
      </c>
      <c r="T197" s="24" t="s">
        <v>39</v>
      </c>
      <c r="U197" s="24" t="s">
        <v>39</v>
      </c>
      <c r="V197" s="24" t="s">
        <v>39</v>
      </c>
      <c r="W197" s="24" t="s">
        <v>2317</v>
      </c>
      <c r="X197" s="24" t="s">
        <v>2318</v>
      </c>
      <c r="Y197" s="15" t="s">
        <v>2319</v>
      </c>
      <c r="Z197" s="15" t="s">
        <v>2320</v>
      </c>
      <c r="AA197" s="24"/>
      <c r="AB197" s="24"/>
      <c r="AC197" s="24"/>
      <c r="AD197" s="24"/>
      <c r="AE197" s="24"/>
      <c r="AF197" s="24"/>
      <c r="AG197" s="24"/>
      <c r="AH197" s="24"/>
    </row>
    <row r="198" spans="1:34" ht="90" x14ac:dyDescent="0.25">
      <c r="A198" s="24" t="str">
        <f>HYPERLINK("https://www.cpso.on.ca/DoctorDetails/Ariel-Graff-Guerrero/0252307-90401","Graff Guerrero, Ariel")</f>
        <v>Graff Guerrero, Ariel</v>
      </c>
      <c r="B198" s="25" t="s">
        <v>2321</v>
      </c>
      <c r="C198" s="24" t="s">
        <v>2322</v>
      </c>
      <c r="D198" s="24" t="s">
        <v>2323</v>
      </c>
      <c r="E198" s="24" t="s">
        <v>29</v>
      </c>
      <c r="F198" s="24" t="s">
        <v>30</v>
      </c>
      <c r="G198" s="24" t="s">
        <v>115</v>
      </c>
      <c r="H198" s="24" t="s">
        <v>2324</v>
      </c>
      <c r="I198" s="24" t="s">
        <v>2325</v>
      </c>
      <c r="J198" s="24" t="s">
        <v>2326</v>
      </c>
      <c r="K198" s="24"/>
      <c r="L198" s="24" t="s">
        <v>52</v>
      </c>
      <c r="M198" s="15"/>
      <c r="N198" s="15"/>
      <c r="O198" s="15"/>
      <c r="P198" s="15" t="s">
        <v>2327</v>
      </c>
      <c r="Q198" s="15" t="s">
        <v>2328</v>
      </c>
      <c r="R198" s="15" t="s">
        <v>2329</v>
      </c>
      <c r="S198" s="24" t="s">
        <v>71</v>
      </c>
      <c r="T198" s="24" t="s">
        <v>39</v>
      </c>
      <c r="U198" s="24" t="s">
        <v>39</v>
      </c>
      <c r="V198" s="24" t="s">
        <v>39</v>
      </c>
      <c r="W198" s="24" t="s">
        <v>2330</v>
      </c>
      <c r="X198" s="24" t="s">
        <v>2331</v>
      </c>
      <c r="Y198" s="15" t="s">
        <v>2332</v>
      </c>
      <c r="Z198" s="15" t="s">
        <v>2333</v>
      </c>
      <c r="AA198" s="24"/>
      <c r="AB198" s="24"/>
      <c r="AC198" s="24"/>
      <c r="AD198" s="24"/>
      <c r="AE198" s="24"/>
      <c r="AF198" s="24"/>
      <c r="AG198" s="24"/>
      <c r="AH198" s="24"/>
    </row>
    <row r="199" spans="1:34" ht="90" x14ac:dyDescent="0.25">
      <c r="A199" s="24" t="str">
        <f>HYPERLINK("https://www.cpso.on.ca/DoctorDetails/Ariel-Katherine-Dalfen/0149891-72279","Dalfen, Ariel Katherine")</f>
        <v>Dalfen, Ariel Katherine</v>
      </c>
      <c r="B199" s="25" t="s">
        <v>2334</v>
      </c>
      <c r="C199" s="24" t="s">
        <v>2335</v>
      </c>
      <c r="D199" s="24" t="s">
        <v>2336</v>
      </c>
      <c r="E199" s="24" t="s">
        <v>29</v>
      </c>
      <c r="F199" s="24" t="s">
        <v>47</v>
      </c>
      <c r="G199" s="24" t="s">
        <v>31</v>
      </c>
      <c r="H199" s="24" t="s">
        <v>2165</v>
      </c>
      <c r="I199" s="24" t="s">
        <v>1198</v>
      </c>
      <c r="J199" s="24" t="s">
        <v>2337</v>
      </c>
      <c r="K199" s="24"/>
      <c r="L199" s="24" t="s">
        <v>52</v>
      </c>
      <c r="M199" s="15"/>
      <c r="N199" s="15"/>
      <c r="O199" s="15" t="s">
        <v>1201</v>
      </c>
      <c r="P199" s="15" t="s">
        <v>2338</v>
      </c>
      <c r="Q199" s="15" t="s">
        <v>2339</v>
      </c>
      <c r="R199" s="15" t="s">
        <v>2340</v>
      </c>
      <c r="S199" s="24" t="s">
        <v>39</v>
      </c>
      <c r="T199" s="24" t="s">
        <v>39</v>
      </c>
      <c r="U199" s="24" t="s">
        <v>39</v>
      </c>
      <c r="V199" s="24" t="s">
        <v>39</v>
      </c>
      <c r="W199" s="24"/>
      <c r="X199" s="24"/>
      <c r="Y199" s="15"/>
      <c r="Z199" s="15"/>
      <c r="AA199" s="24"/>
      <c r="AB199" s="24"/>
      <c r="AC199" s="24"/>
      <c r="AD199" s="24"/>
      <c r="AE199" s="24"/>
      <c r="AF199" s="24"/>
      <c r="AG199" s="24"/>
      <c r="AH199" s="24"/>
    </row>
    <row r="200" spans="1:34" ht="75" x14ac:dyDescent="0.25">
      <c r="A200" s="24" t="str">
        <f>HYPERLINK("https://www.cpso.on.ca/DoctorDetails/Ariel-Shafro/0220012-83099","Shafro, Ariel")</f>
        <v>Shafro, Ariel</v>
      </c>
      <c r="B200" s="25" t="s">
        <v>2341</v>
      </c>
      <c r="C200" s="24" t="s">
        <v>2342</v>
      </c>
      <c r="D200" s="24" t="s">
        <v>2343</v>
      </c>
      <c r="E200" s="24" t="s">
        <v>29</v>
      </c>
      <c r="F200" s="24" t="s">
        <v>30</v>
      </c>
      <c r="G200" s="24" t="s">
        <v>31</v>
      </c>
      <c r="H200" s="24" t="s">
        <v>2344</v>
      </c>
      <c r="I200" s="24" t="s">
        <v>2345</v>
      </c>
      <c r="J200" s="24" t="s">
        <v>2346</v>
      </c>
      <c r="K200" s="24" t="s">
        <v>2347</v>
      </c>
      <c r="L200" s="24" t="s">
        <v>36</v>
      </c>
      <c r="M200" s="15"/>
      <c r="N200" s="15"/>
      <c r="O200" s="15" t="s">
        <v>653</v>
      </c>
      <c r="P200" s="15" t="s">
        <v>2348</v>
      </c>
      <c r="Q200" s="15" t="s">
        <v>2349</v>
      </c>
      <c r="R200" s="15" t="s">
        <v>2350</v>
      </c>
      <c r="S200" s="24" t="s">
        <v>39</v>
      </c>
      <c r="T200" s="24" t="s">
        <v>39</v>
      </c>
      <c r="U200" s="24" t="s">
        <v>39</v>
      </c>
      <c r="V200" s="24" t="s">
        <v>39</v>
      </c>
      <c r="W200" s="24" t="s">
        <v>2351</v>
      </c>
      <c r="X200" s="24" t="s">
        <v>2352</v>
      </c>
      <c r="Y200" s="15" t="s">
        <v>2353</v>
      </c>
      <c r="Z200" s="15" t="s">
        <v>2354</v>
      </c>
      <c r="AA200" s="24"/>
      <c r="AB200" s="24"/>
      <c r="AC200" s="24"/>
      <c r="AD200" s="24"/>
      <c r="AE200" s="24"/>
      <c r="AF200" s="24"/>
      <c r="AG200" s="24"/>
      <c r="AH200" s="24"/>
    </row>
    <row r="201" spans="1:34" ht="75" x14ac:dyDescent="0.25">
      <c r="A201" s="24" t="str">
        <f>HYPERLINK("https://www.cpso.on.ca/DoctorDetails/Arielle-Salama/0250017-89152","Salama, Arielle")</f>
        <v>Salama, Arielle</v>
      </c>
      <c r="B201" s="25" t="s">
        <v>2355</v>
      </c>
      <c r="C201" s="24" t="s">
        <v>846</v>
      </c>
      <c r="D201" s="24" t="s">
        <v>600</v>
      </c>
      <c r="E201" s="24" t="s">
        <v>29</v>
      </c>
      <c r="F201" s="24" t="s">
        <v>47</v>
      </c>
      <c r="G201" s="24" t="s">
        <v>813</v>
      </c>
      <c r="H201" s="24" t="s">
        <v>2356</v>
      </c>
      <c r="I201" s="24" t="s">
        <v>2357</v>
      </c>
      <c r="J201" s="24" t="s">
        <v>2358</v>
      </c>
      <c r="K201" s="24" t="s">
        <v>218</v>
      </c>
      <c r="L201" s="24" t="s">
        <v>52</v>
      </c>
      <c r="M201" s="15"/>
      <c r="N201" s="15"/>
      <c r="O201" s="15" t="s">
        <v>2359</v>
      </c>
      <c r="P201" s="15" t="s">
        <v>272</v>
      </c>
      <c r="Q201" s="15" t="s">
        <v>273</v>
      </c>
      <c r="R201" s="15" t="s">
        <v>853</v>
      </c>
      <c r="S201" s="24" t="s">
        <v>39</v>
      </c>
      <c r="T201" s="24" t="s">
        <v>39</v>
      </c>
      <c r="U201" s="24" t="s">
        <v>39</v>
      </c>
      <c r="V201" s="24" t="s">
        <v>39</v>
      </c>
      <c r="W201" s="24" t="s">
        <v>2360</v>
      </c>
      <c r="X201" s="24" t="s">
        <v>2361</v>
      </c>
      <c r="Y201" s="15" t="s">
        <v>2362</v>
      </c>
      <c r="Z201" s="15" t="s">
        <v>2363</v>
      </c>
      <c r="AA201" s="24"/>
      <c r="AB201" s="24"/>
      <c r="AC201" s="24"/>
      <c r="AD201" s="24"/>
      <c r="AE201" s="24"/>
      <c r="AF201" s="24"/>
      <c r="AG201" s="24"/>
      <c r="AH201" s="24"/>
    </row>
    <row r="202" spans="1:34" ht="135" x14ac:dyDescent="0.25">
      <c r="A202" s="24" t="str">
        <f>HYPERLINK("https://www.cpso.on.ca/DoctorDetails/Arif-Mustafa-Syed/0143026-71520","Syed, Arif Mustafa")</f>
        <v>Syed, Arif Mustafa</v>
      </c>
      <c r="B202" s="25" t="s">
        <v>2364</v>
      </c>
      <c r="C202" s="24" t="s">
        <v>1390</v>
      </c>
      <c r="D202" s="24" t="s">
        <v>2365</v>
      </c>
      <c r="E202" s="24" t="s">
        <v>29</v>
      </c>
      <c r="F202" s="24" t="s">
        <v>30</v>
      </c>
      <c r="G202" s="24" t="s">
        <v>1445</v>
      </c>
      <c r="H202" s="24" t="s">
        <v>2366</v>
      </c>
      <c r="I202" s="24" t="s">
        <v>2367</v>
      </c>
      <c r="J202" s="24" t="s">
        <v>2368</v>
      </c>
      <c r="K202" s="24" t="s">
        <v>2369</v>
      </c>
      <c r="L202" s="24" t="s">
        <v>36</v>
      </c>
      <c r="M202" s="15"/>
      <c r="N202" s="15" t="s">
        <v>258</v>
      </c>
      <c r="O202" s="15"/>
      <c r="P202" s="15" t="s">
        <v>2370</v>
      </c>
      <c r="Q202" s="15" t="s">
        <v>2371</v>
      </c>
      <c r="R202" s="15" t="s">
        <v>2372</v>
      </c>
      <c r="S202" s="24" t="s">
        <v>39</v>
      </c>
      <c r="T202" s="24" t="s">
        <v>39</v>
      </c>
      <c r="U202" s="24" t="s">
        <v>39</v>
      </c>
      <c r="V202" s="24" t="s">
        <v>39</v>
      </c>
      <c r="W202" s="24" t="s">
        <v>2373</v>
      </c>
      <c r="X202" s="24" t="s">
        <v>2374</v>
      </c>
      <c r="Y202" s="15" t="s">
        <v>2375</v>
      </c>
      <c r="Z202" s="15" t="s">
        <v>2376</v>
      </c>
      <c r="AA202" s="24"/>
      <c r="AB202" s="24"/>
      <c r="AC202" s="24"/>
      <c r="AD202" s="24"/>
      <c r="AE202" s="24"/>
      <c r="AF202" s="24"/>
      <c r="AG202" s="24"/>
      <c r="AH202" s="24"/>
    </row>
    <row r="203" spans="1:34" ht="120" x14ac:dyDescent="0.25">
      <c r="A203" s="24" t="str">
        <f>HYPERLINK("https://www.cpso.on.ca/DoctorDetails/Aristotle-Nicholas-Voineskos/0201437-79541","Voineskos, Aristotle Nicholas")</f>
        <v>Voineskos, Aristotle Nicholas</v>
      </c>
      <c r="B203" s="25" t="s">
        <v>2377</v>
      </c>
      <c r="C203" s="24" t="s">
        <v>871</v>
      </c>
      <c r="D203" s="24" t="s">
        <v>872</v>
      </c>
      <c r="E203" s="24" t="s">
        <v>29</v>
      </c>
      <c r="F203" s="24" t="s">
        <v>30</v>
      </c>
      <c r="G203" s="24" t="s">
        <v>31</v>
      </c>
      <c r="H203" s="24" t="s">
        <v>1475</v>
      </c>
      <c r="I203" s="24" t="s">
        <v>2378</v>
      </c>
      <c r="J203" s="24" t="s">
        <v>2379</v>
      </c>
      <c r="K203" s="24"/>
      <c r="L203" s="24" t="s">
        <v>52</v>
      </c>
      <c r="M203" s="15"/>
      <c r="N203" s="15"/>
      <c r="O203" s="15" t="s">
        <v>2380</v>
      </c>
      <c r="P203" s="15" t="s">
        <v>880</v>
      </c>
      <c r="Q203" s="15" t="s">
        <v>2381</v>
      </c>
      <c r="R203" s="15" t="s">
        <v>882</v>
      </c>
      <c r="S203" s="24" t="s">
        <v>39</v>
      </c>
      <c r="T203" s="24" t="s">
        <v>39</v>
      </c>
      <c r="U203" s="24" t="s">
        <v>39</v>
      </c>
      <c r="V203" s="24" t="s">
        <v>39</v>
      </c>
      <c r="W203" s="24"/>
      <c r="X203" s="24"/>
      <c r="Y203" s="15"/>
      <c r="Z203" s="15"/>
      <c r="AA203" s="24"/>
      <c r="AB203" s="24"/>
      <c r="AC203" s="24"/>
      <c r="AD203" s="24"/>
      <c r="AE203" s="24"/>
      <c r="AF203" s="24"/>
      <c r="AG203" s="24"/>
      <c r="AH203" s="24"/>
    </row>
    <row r="204" spans="1:34" ht="105" x14ac:dyDescent="0.25">
      <c r="A204" s="24" t="str">
        <f>HYPERLINK("https://www.cpso.on.ca/DoctorDetails/Arlene-Greer-MacDougall/0223926-83218","MacDougall, Arlene Greer")</f>
        <v>MacDougall, Arlene Greer</v>
      </c>
      <c r="B204" s="25" t="s">
        <v>2382</v>
      </c>
      <c r="C204" s="24" t="s">
        <v>2383</v>
      </c>
      <c r="D204" s="24" t="s">
        <v>2384</v>
      </c>
      <c r="E204" s="24" t="s">
        <v>29</v>
      </c>
      <c r="F204" s="24" t="s">
        <v>47</v>
      </c>
      <c r="G204" s="24" t="s">
        <v>31</v>
      </c>
      <c r="H204" s="24" t="s">
        <v>2385</v>
      </c>
      <c r="I204" s="24" t="s">
        <v>2386</v>
      </c>
      <c r="J204" s="24" t="s">
        <v>2387</v>
      </c>
      <c r="K204" s="24" t="s">
        <v>2388</v>
      </c>
      <c r="L204" s="24" t="s">
        <v>135</v>
      </c>
      <c r="M204" s="15"/>
      <c r="N204" s="15"/>
      <c r="O204" s="15" t="s">
        <v>2389</v>
      </c>
      <c r="P204" s="15" t="s">
        <v>2390</v>
      </c>
      <c r="Q204" s="15" t="s">
        <v>2391</v>
      </c>
      <c r="R204" s="15" t="s">
        <v>2392</v>
      </c>
      <c r="S204" s="24" t="s">
        <v>39</v>
      </c>
      <c r="T204" s="24" t="s">
        <v>39</v>
      </c>
      <c r="U204" s="24" t="s">
        <v>39</v>
      </c>
      <c r="V204" s="24" t="s">
        <v>39</v>
      </c>
      <c r="W204" s="24"/>
      <c r="X204" s="24"/>
      <c r="Y204" s="15"/>
      <c r="Z204" s="15"/>
      <c r="AA204" s="24"/>
      <c r="AB204" s="24"/>
      <c r="AC204" s="24"/>
      <c r="AD204" s="24"/>
      <c r="AE204" s="24"/>
      <c r="AF204" s="24"/>
      <c r="AG204" s="24"/>
      <c r="AH204" s="24"/>
    </row>
    <row r="205" spans="1:34" ht="30" x14ac:dyDescent="0.25">
      <c r="A205" s="24" t="str">
        <f>HYPERLINK("https://www.cpso.on.ca/DoctorDetails/Arlette-Marie-Laure-Lefebvre/0022235-27025","Lefebvre, Arlette Marie Laure")</f>
        <v>Lefebvre, Arlette Marie Laure</v>
      </c>
      <c r="B205" s="25" t="s">
        <v>2393</v>
      </c>
      <c r="C205" s="24" t="s">
        <v>2394</v>
      </c>
      <c r="D205" s="24" t="s">
        <v>2395</v>
      </c>
      <c r="E205" s="24" t="s">
        <v>29</v>
      </c>
      <c r="F205" s="24" t="s">
        <v>47</v>
      </c>
      <c r="G205" s="24" t="s">
        <v>813</v>
      </c>
      <c r="H205" s="24" t="s">
        <v>2396</v>
      </c>
      <c r="I205" s="24" t="s">
        <v>2397</v>
      </c>
      <c r="J205" s="24" t="s">
        <v>2398</v>
      </c>
      <c r="K205" s="24" t="s">
        <v>119</v>
      </c>
      <c r="L205" s="24" t="s">
        <v>52</v>
      </c>
      <c r="M205" s="15"/>
      <c r="N205" s="15"/>
      <c r="O205" s="15" t="s">
        <v>2399</v>
      </c>
      <c r="P205" s="15" t="s">
        <v>2400</v>
      </c>
      <c r="Q205" s="15"/>
      <c r="R205" s="15" t="s">
        <v>2401</v>
      </c>
      <c r="S205" s="24" t="s">
        <v>39</v>
      </c>
      <c r="T205" s="24" t="s">
        <v>39</v>
      </c>
      <c r="U205" s="24" t="s">
        <v>39</v>
      </c>
      <c r="V205" s="24" t="s">
        <v>39</v>
      </c>
      <c r="W205" s="24"/>
      <c r="X205" s="24"/>
      <c r="Y205" s="15"/>
      <c r="Z205" s="15"/>
      <c r="AA205" s="24"/>
      <c r="AB205" s="24"/>
      <c r="AC205" s="24"/>
      <c r="AD205" s="24"/>
      <c r="AE205" s="24"/>
      <c r="AF205" s="24"/>
      <c r="AG205" s="24"/>
      <c r="AH205" s="24"/>
    </row>
    <row r="206" spans="1:34" x14ac:dyDescent="0.25">
      <c r="A206" s="24" t="str">
        <f>HYPERLINK("https://www.cpso.on.ca/DoctorDetails/Armand-Guy-Boisjoli/0043988-57966","Boisjoli, Armand Guy")</f>
        <v>Boisjoli, Armand Guy</v>
      </c>
      <c r="B206" s="25" t="s">
        <v>2402</v>
      </c>
      <c r="C206" s="24" t="s">
        <v>2403</v>
      </c>
      <c r="D206" s="24" t="s">
        <v>2404</v>
      </c>
      <c r="E206" s="24" t="s">
        <v>29</v>
      </c>
      <c r="F206" s="24" t="s">
        <v>30</v>
      </c>
      <c r="G206" s="24" t="s">
        <v>813</v>
      </c>
      <c r="H206" s="24" t="s">
        <v>2405</v>
      </c>
      <c r="I206" s="24" t="s">
        <v>107</v>
      </c>
      <c r="J206" s="24"/>
      <c r="K206" s="24"/>
      <c r="L206" s="24"/>
      <c r="M206" s="15"/>
      <c r="N206" s="15"/>
      <c r="O206" s="15"/>
      <c r="P206" s="15" t="s">
        <v>2406</v>
      </c>
      <c r="Q206" s="15"/>
      <c r="R206" s="15" t="s">
        <v>2407</v>
      </c>
      <c r="S206" s="24" t="s">
        <v>39</v>
      </c>
      <c r="T206" s="24" t="s">
        <v>39</v>
      </c>
      <c r="U206" s="24" t="s">
        <v>39</v>
      </c>
      <c r="V206" s="24" t="s">
        <v>39</v>
      </c>
      <c r="W206" s="24"/>
      <c r="X206" s="24"/>
      <c r="Y206" s="15"/>
      <c r="Z206" s="15"/>
      <c r="AA206" s="24"/>
      <c r="AB206" s="24"/>
      <c r="AC206" s="24"/>
      <c r="AD206" s="24"/>
      <c r="AE206" s="24"/>
      <c r="AF206" s="24"/>
      <c r="AG206" s="24"/>
      <c r="AH206" s="24"/>
    </row>
    <row r="207" spans="1:34" ht="30" x14ac:dyDescent="0.25">
      <c r="A207" s="24" t="str">
        <f>HYPERLINK("https://www.cpso.on.ca/DoctorDetails/Aron-Lubczanski/0042384-56362","Lubczanski, Aron")</f>
        <v>Lubczanski, Aron</v>
      </c>
      <c r="B207" s="25" t="s">
        <v>2408</v>
      </c>
      <c r="C207" s="24" t="s">
        <v>2409</v>
      </c>
      <c r="D207" s="24" t="s">
        <v>2410</v>
      </c>
      <c r="E207" s="24" t="s">
        <v>29</v>
      </c>
      <c r="F207" s="24" t="s">
        <v>30</v>
      </c>
      <c r="G207" s="24" t="s">
        <v>31</v>
      </c>
      <c r="H207" s="24" t="s">
        <v>2411</v>
      </c>
      <c r="I207" s="24" t="s">
        <v>2412</v>
      </c>
      <c r="J207" s="24" t="s">
        <v>2413</v>
      </c>
      <c r="K207" s="24" t="s">
        <v>2414</v>
      </c>
      <c r="L207" s="24" t="s">
        <v>65</v>
      </c>
      <c r="M207" s="15"/>
      <c r="N207" s="15"/>
      <c r="O207" s="15" t="s">
        <v>2415</v>
      </c>
      <c r="P207" s="15" t="s">
        <v>2416</v>
      </c>
      <c r="Q207" s="15"/>
      <c r="R207" s="15" t="s">
        <v>2417</v>
      </c>
      <c r="S207" s="24" t="s">
        <v>39</v>
      </c>
      <c r="T207" s="24" t="s">
        <v>39</v>
      </c>
      <c r="U207" s="24" t="s">
        <v>39</v>
      </c>
      <c r="V207" s="24" t="s">
        <v>39</v>
      </c>
      <c r="W207" s="24" t="s">
        <v>2418</v>
      </c>
      <c r="X207" s="24" t="s">
        <v>2419</v>
      </c>
      <c r="Y207" s="15" t="s">
        <v>2420</v>
      </c>
      <c r="Z207" s="15" t="s">
        <v>2421</v>
      </c>
      <c r="AA207" s="24"/>
      <c r="AB207" s="24"/>
      <c r="AC207" s="24"/>
      <c r="AD207" s="24"/>
      <c r="AE207" s="24"/>
      <c r="AF207" s="24"/>
      <c r="AG207" s="24"/>
      <c r="AH207" s="24"/>
    </row>
    <row r="208" spans="1:34" ht="30" x14ac:dyDescent="0.25">
      <c r="A208" s="24" t="str">
        <f>HYPERLINK("https://www.cpso.on.ca/DoctorDetails/Arshad-Majeed/0019153-23940","Majeed, Arshad")</f>
        <v>Majeed, Arshad</v>
      </c>
      <c r="B208" s="25" t="s">
        <v>2422</v>
      </c>
      <c r="C208" s="24" t="s">
        <v>2423</v>
      </c>
      <c r="D208" s="24" t="s">
        <v>2424</v>
      </c>
      <c r="E208" s="24" t="s">
        <v>29</v>
      </c>
      <c r="F208" s="24" t="s">
        <v>30</v>
      </c>
      <c r="G208" s="24" t="s">
        <v>2425</v>
      </c>
      <c r="H208" s="24" t="s">
        <v>2426</v>
      </c>
      <c r="I208" s="24" t="s">
        <v>107</v>
      </c>
      <c r="J208" s="24"/>
      <c r="K208" s="24"/>
      <c r="L208" s="24"/>
      <c r="M208" s="15"/>
      <c r="N208" s="15"/>
      <c r="O208" s="15" t="s">
        <v>1691</v>
      </c>
      <c r="P208" s="15" t="s">
        <v>2427</v>
      </c>
      <c r="Q208" s="15"/>
      <c r="R208" s="15" t="s">
        <v>2428</v>
      </c>
      <c r="S208" s="24" t="s">
        <v>39</v>
      </c>
      <c r="T208" s="24" t="s">
        <v>39</v>
      </c>
      <c r="U208" s="24" t="s">
        <v>39</v>
      </c>
      <c r="V208" s="24" t="s">
        <v>39</v>
      </c>
      <c r="W208" s="24"/>
      <c r="X208" s="24"/>
      <c r="Y208" s="15"/>
      <c r="Z208" s="15"/>
      <c r="AA208" s="24"/>
      <c r="AB208" s="24"/>
      <c r="AC208" s="24"/>
      <c r="AD208" s="24"/>
      <c r="AE208" s="24"/>
      <c r="AF208" s="24"/>
      <c r="AG208" s="24"/>
      <c r="AH208" s="24"/>
    </row>
    <row r="209" spans="1:34" ht="30" x14ac:dyDescent="0.25">
      <c r="A209" s="24" t="str">
        <f>HYPERLINK("https://www.cpso.on.ca/DoctorDetails/Arthur-David-Kantor/0036907-50883","Kantor, Arthur David")</f>
        <v>Kantor, Arthur David</v>
      </c>
      <c r="B209" s="25" t="s">
        <v>2429</v>
      </c>
      <c r="C209" s="24" t="s">
        <v>2430</v>
      </c>
      <c r="D209" s="24" t="s">
        <v>2431</v>
      </c>
      <c r="E209" s="24" t="s">
        <v>29</v>
      </c>
      <c r="F209" s="24" t="s">
        <v>30</v>
      </c>
      <c r="G209" s="24" t="s">
        <v>252</v>
      </c>
      <c r="H209" s="24" t="s">
        <v>2432</v>
      </c>
      <c r="I209" s="24" t="s">
        <v>2433</v>
      </c>
      <c r="J209" s="24" t="s">
        <v>2434</v>
      </c>
      <c r="K209" s="24" t="s">
        <v>2435</v>
      </c>
      <c r="L209" s="24" t="s">
        <v>36</v>
      </c>
      <c r="M209" s="15" t="s">
        <v>2436</v>
      </c>
      <c r="N209" s="15"/>
      <c r="O209" s="15" t="s">
        <v>2437</v>
      </c>
      <c r="P209" s="15" t="s">
        <v>316</v>
      </c>
      <c r="Q209" s="15"/>
      <c r="R209" s="15" t="s">
        <v>2438</v>
      </c>
      <c r="S209" s="24" t="s">
        <v>39</v>
      </c>
      <c r="T209" s="24" t="s">
        <v>39</v>
      </c>
      <c r="U209" s="24" t="s">
        <v>39</v>
      </c>
      <c r="V209" s="24" t="s">
        <v>39</v>
      </c>
      <c r="W209" s="24" t="s">
        <v>2439</v>
      </c>
      <c r="X209" s="24" t="s">
        <v>2440</v>
      </c>
      <c r="Y209" s="15" t="s">
        <v>2441</v>
      </c>
      <c r="Z209" s="15" t="s">
        <v>2442</v>
      </c>
      <c r="AA209" s="24"/>
      <c r="AB209" s="24"/>
      <c r="AC209" s="24"/>
      <c r="AD209" s="24"/>
      <c r="AE209" s="24"/>
      <c r="AF209" s="24"/>
      <c r="AG209" s="24"/>
      <c r="AH209" s="24"/>
    </row>
    <row r="210" spans="1:34" ht="30" x14ac:dyDescent="0.25">
      <c r="A210" s="24" t="str">
        <f>HYPERLINK("https://www.cpso.on.ca/DoctorDetails/Arthur-Kenneth-Sullivan/0218335-82006","Sullivan, Arthur Kenneth")</f>
        <v>Sullivan, Arthur Kenneth</v>
      </c>
      <c r="B210" s="25" t="s">
        <v>2443</v>
      </c>
      <c r="C210" s="24" t="s">
        <v>2444</v>
      </c>
      <c r="D210" s="24" t="s">
        <v>2445</v>
      </c>
      <c r="E210" s="24" t="s">
        <v>29</v>
      </c>
      <c r="F210" s="24" t="s">
        <v>30</v>
      </c>
      <c r="G210" s="24" t="s">
        <v>31</v>
      </c>
      <c r="H210" s="24" t="s">
        <v>2446</v>
      </c>
      <c r="I210" s="24" t="s">
        <v>2447</v>
      </c>
      <c r="J210" s="24" t="s">
        <v>2448</v>
      </c>
      <c r="K210" s="24"/>
      <c r="L210" s="24" t="s">
        <v>84</v>
      </c>
      <c r="M210" s="15"/>
      <c r="N210" s="15"/>
      <c r="O210" s="15"/>
      <c r="P210" s="15" t="s">
        <v>2449</v>
      </c>
      <c r="Q210" s="15" t="s">
        <v>2450</v>
      </c>
      <c r="R210" s="15" t="s">
        <v>2451</v>
      </c>
      <c r="S210" s="24" t="s">
        <v>39</v>
      </c>
      <c r="T210" s="24" t="s">
        <v>39</v>
      </c>
      <c r="U210" s="24" t="s">
        <v>39</v>
      </c>
      <c r="V210" s="24" t="s">
        <v>39</v>
      </c>
      <c r="W210" s="24"/>
      <c r="X210" s="24"/>
      <c r="Y210" s="15"/>
      <c r="Z210" s="15"/>
      <c r="AA210" s="24"/>
      <c r="AB210" s="24"/>
      <c r="AC210" s="24"/>
      <c r="AD210" s="24"/>
      <c r="AE210" s="24"/>
      <c r="AF210" s="24"/>
      <c r="AG210" s="24"/>
      <c r="AH210" s="24"/>
    </row>
    <row r="211" spans="1:34" x14ac:dyDescent="0.25">
      <c r="A211" s="24" t="str">
        <f>HYPERLINK("https://www.cpso.on.ca/DoctorDetails/Arthur-Propst/0026666-31489","Propst, Arthur")</f>
        <v>Propst, Arthur</v>
      </c>
      <c r="B211" s="25" t="s">
        <v>2452</v>
      </c>
      <c r="C211" s="24" t="s">
        <v>2453</v>
      </c>
      <c r="D211" s="24" t="s">
        <v>2454</v>
      </c>
      <c r="E211" s="24" t="s">
        <v>29</v>
      </c>
      <c r="F211" s="24" t="s">
        <v>30</v>
      </c>
      <c r="G211" s="24" t="s">
        <v>813</v>
      </c>
      <c r="H211" s="24" t="s">
        <v>2455</v>
      </c>
      <c r="I211" s="24" t="s">
        <v>2456</v>
      </c>
      <c r="J211" s="24" t="s">
        <v>2457</v>
      </c>
      <c r="K211" s="24" t="s">
        <v>2458</v>
      </c>
      <c r="L211" s="24"/>
      <c r="M211" s="15"/>
      <c r="N211" s="15" t="s">
        <v>710</v>
      </c>
      <c r="O211" s="15"/>
      <c r="P211" s="15" t="s">
        <v>2459</v>
      </c>
      <c r="Q211" s="15"/>
      <c r="R211" s="15" t="s">
        <v>2460</v>
      </c>
      <c r="S211" s="24" t="s">
        <v>39</v>
      </c>
      <c r="T211" s="24" t="s">
        <v>39</v>
      </c>
      <c r="U211" s="24" t="s">
        <v>39</v>
      </c>
      <c r="V211" s="24" t="s">
        <v>39</v>
      </c>
      <c r="W211" s="24"/>
      <c r="X211" s="24"/>
      <c r="Y211" s="15"/>
      <c r="Z211" s="15"/>
      <c r="AA211" s="24"/>
      <c r="AB211" s="24"/>
      <c r="AC211" s="24"/>
      <c r="AD211" s="24"/>
      <c r="AE211" s="24"/>
      <c r="AF211" s="24"/>
      <c r="AG211" s="24"/>
      <c r="AH211" s="24"/>
    </row>
    <row r="212" spans="1:34" ht="30" x14ac:dyDescent="0.25">
      <c r="A212" s="24" t="str">
        <f>HYPERLINK("https://www.cpso.on.ca/DoctorDetails/Arulanantham-Thangaroopan/0051948-65927","Thangaroopan, Arulanantham")</f>
        <v>Thangaroopan, Arulanantham</v>
      </c>
      <c r="B212" s="25" t="s">
        <v>2461</v>
      </c>
      <c r="C212" s="24" t="s">
        <v>2462</v>
      </c>
      <c r="D212" s="24" t="s">
        <v>2463</v>
      </c>
      <c r="E212" s="24" t="s">
        <v>29</v>
      </c>
      <c r="F212" s="24" t="s">
        <v>30</v>
      </c>
      <c r="G212" s="24" t="s">
        <v>2255</v>
      </c>
      <c r="H212" s="24" t="s">
        <v>2464</v>
      </c>
      <c r="I212" s="24" t="s">
        <v>2465</v>
      </c>
      <c r="J212" s="24" t="s">
        <v>2466</v>
      </c>
      <c r="K212" s="24" t="s">
        <v>2467</v>
      </c>
      <c r="L212" s="24" t="s">
        <v>36</v>
      </c>
      <c r="M212" s="15" t="s">
        <v>2468</v>
      </c>
      <c r="N212" s="15"/>
      <c r="O212" s="15" t="s">
        <v>2469</v>
      </c>
      <c r="P212" s="15" t="s">
        <v>2470</v>
      </c>
      <c r="Q212" s="15"/>
      <c r="R212" s="15" t="s">
        <v>2471</v>
      </c>
      <c r="S212" s="24" t="s">
        <v>39</v>
      </c>
      <c r="T212" s="24" t="s">
        <v>39</v>
      </c>
      <c r="U212" s="24" t="s">
        <v>39</v>
      </c>
      <c r="V212" s="24" t="s">
        <v>71</v>
      </c>
      <c r="W212" s="24" t="s">
        <v>2472</v>
      </c>
      <c r="X212" s="24" t="s">
        <v>415</v>
      </c>
      <c r="Y212" s="15" t="s">
        <v>2473</v>
      </c>
      <c r="Z212" s="15" t="s">
        <v>2474</v>
      </c>
      <c r="AA212" s="24"/>
      <c r="AB212" s="24"/>
      <c r="AC212" s="24"/>
      <c r="AD212" s="24"/>
      <c r="AE212" s="24"/>
      <c r="AF212" s="24"/>
      <c r="AG212" s="24"/>
      <c r="AH212" s="24"/>
    </row>
    <row r="213" spans="1:34" ht="45" x14ac:dyDescent="0.25">
      <c r="A213" s="24" t="str">
        <f>HYPERLINK("https://www.cpso.on.ca/DoctorDetails/Arumugavadivelu-Ravindran/0043983-57961","Ravindran, Arumugavadivelu")</f>
        <v>Ravindran, Arumugavadivelu</v>
      </c>
      <c r="B213" s="25" t="s">
        <v>2475</v>
      </c>
      <c r="C213" s="24" t="s">
        <v>2476</v>
      </c>
      <c r="D213" s="24" t="s">
        <v>2477</v>
      </c>
      <c r="E213" s="24" t="s">
        <v>29</v>
      </c>
      <c r="F213" s="24" t="s">
        <v>30</v>
      </c>
      <c r="G213" s="24" t="s">
        <v>2255</v>
      </c>
      <c r="H213" s="24" t="s">
        <v>2478</v>
      </c>
      <c r="I213" s="24" t="s">
        <v>2479</v>
      </c>
      <c r="J213" s="24" t="s">
        <v>2480</v>
      </c>
      <c r="K213" s="24" t="s">
        <v>2481</v>
      </c>
      <c r="L213" s="24" t="s">
        <v>52</v>
      </c>
      <c r="M213" s="15" t="s">
        <v>2482</v>
      </c>
      <c r="N213" s="15"/>
      <c r="O213" s="15" t="s">
        <v>2483</v>
      </c>
      <c r="P213" s="15" t="s">
        <v>2484</v>
      </c>
      <c r="Q213" s="15"/>
      <c r="R213" s="15" t="s">
        <v>2485</v>
      </c>
      <c r="S213" s="24" t="s">
        <v>39</v>
      </c>
      <c r="T213" s="24" t="s">
        <v>39</v>
      </c>
      <c r="U213" s="24" t="s">
        <v>39</v>
      </c>
      <c r="V213" s="24" t="s">
        <v>39</v>
      </c>
      <c r="W213" s="24" t="s">
        <v>2486</v>
      </c>
      <c r="X213" s="24" t="s">
        <v>2487</v>
      </c>
      <c r="Y213" s="15" t="s">
        <v>2488</v>
      </c>
      <c r="Z213" s="15" t="s">
        <v>2489</v>
      </c>
      <c r="AA213" s="24"/>
      <c r="AB213" s="24"/>
      <c r="AC213" s="24"/>
      <c r="AD213" s="24"/>
      <c r="AE213" s="24"/>
      <c r="AF213" s="24"/>
      <c r="AG213" s="24"/>
      <c r="AH213" s="24"/>
    </row>
    <row r="214" spans="1:34" ht="30" x14ac:dyDescent="0.25">
      <c r="A214" s="24" t="str">
        <f>HYPERLINK("https://www.cpso.on.ca/DoctorDetails/Arun-Kumar-Jagdeo/0313632-110807","Jagdeo, Arun Kumar")</f>
        <v>Jagdeo, Arun Kumar</v>
      </c>
      <c r="B214" s="25" t="s">
        <v>2490</v>
      </c>
      <c r="C214" s="24" t="s">
        <v>2491</v>
      </c>
      <c r="D214" s="24" t="s">
        <v>2492</v>
      </c>
      <c r="E214" s="24" t="s">
        <v>29</v>
      </c>
      <c r="F214" s="24" t="s">
        <v>30</v>
      </c>
      <c r="G214" s="24" t="s">
        <v>691</v>
      </c>
      <c r="H214" s="24" t="s">
        <v>1267</v>
      </c>
      <c r="I214" s="24" t="s">
        <v>2493</v>
      </c>
      <c r="J214" s="24" t="s">
        <v>1782</v>
      </c>
      <c r="K214" s="24" t="s">
        <v>2494</v>
      </c>
      <c r="L214" s="24" t="s">
        <v>52</v>
      </c>
      <c r="M214" s="15"/>
      <c r="N214" s="15" t="s">
        <v>2495</v>
      </c>
      <c r="O214" s="15" t="s">
        <v>1784</v>
      </c>
      <c r="P214" s="15" t="s">
        <v>973</v>
      </c>
      <c r="Q214" s="15"/>
      <c r="R214" s="15" t="s">
        <v>2496</v>
      </c>
      <c r="S214" s="24" t="s">
        <v>39</v>
      </c>
      <c r="T214" s="24" t="s">
        <v>39</v>
      </c>
      <c r="U214" s="24" t="s">
        <v>39</v>
      </c>
      <c r="V214" s="24" t="s">
        <v>39</v>
      </c>
      <c r="W214" s="24" t="s">
        <v>2497</v>
      </c>
      <c r="X214" s="24" t="s">
        <v>2498</v>
      </c>
      <c r="Y214" s="15" t="s">
        <v>2499</v>
      </c>
      <c r="Z214" s="15" t="s">
        <v>2500</v>
      </c>
      <c r="AA214" s="24"/>
      <c r="AB214" s="24"/>
      <c r="AC214" s="24"/>
      <c r="AD214" s="24"/>
      <c r="AE214" s="24"/>
      <c r="AF214" s="24"/>
      <c r="AG214" s="24"/>
      <c r="AH214" s="24"/>
    </row>
    <row r="215" spans="1:34" ht="90" x14ac:dyDescent="0.25">
      <c r="A215" s="24" t="str">
        <f>HYPERLINK("https://www.cpso.on.ca/DoctorDetails/Aryan-Wahab/0293729-104564","Wahab, Aryan")</f>
        <v>Wahab, Aryan</v>
      </c>
      <c r="B215" s="25" t="s">
        <v>2501</v>
      </c>
      <c r="C215" s="24" t="s">
        <v>2502</v>
      </c>
      <c r="D215" s="24" t="s">
        <v>2503</v>
      </c>
      <c r="E215" s="24" t="s">
        <v>29</v>
      </c>
      <c r="F215" s="24" t="s">
        <v>47</v>
      </c>
      <c r="G215" s="24" t="s">
        <v>522</v>
      </c>
      <c r="H215" s="24" t="s">
        <v>2504</v>
      </c>
      <c r="I215" s="24" t="s">
        <v>2505</v>
      </c>
      <c r="J215" s="24" t="s">
        <v>2506</v>
      </c>
      <c r="K215" s="24" t="s">
        <v>2507</v>
      </c>
      <c r="L215" s="24" t="s">
        <v>52</v>
      </c>
      <c r="M215" s="15"/>
      <c r="N215" s="15" t="s">
        <v>2508</v>
      </c>
      <c r="O215" s="15"/>
      <c r="P215" s="15" t="s">
        <v>37</v>
      </c>
      <c r="Q215" s="15"/>
      <c r="R215" s="15" t="s">
        <v>2509</v>
      </c>
      <c r="S215" s="24" t="s">
        <v>71</v>
      </c>
      <c r="T215" s="24" t="s">
        <v>39</v>
      </c>
      <c r="U215" s="24" t="s">
        <v>39</v>
      </c>
      <c r="V215" s="24" t="s">
        <v>39</v>
      </c>
      <c r="W215" s="24" t="s">
        <v>2510</v>
      </c>
      <c r="X215" s="24" t="s">
        <v>2511</v>
      </c>
      <c r="Y215" s="15" t="s">
        <v>2512</v>
      </c>
      <c r="Z215" s="15" t="s">
        <v>2513</v>
      </c>
      <c r="AA215" s="24"/>
      <c r="AB215" s="24"/>
      <c r="AC215" s="24"/>
      <c r="AD215" s="24"/>
      <c r="AE215" s="24"/>
      <c r="AF215" s="24"/>
      <c r="AG215" s="24"/>
      <c r="AH215" s="24"/>
    </row>
    <row r="216" spans="1:34" ht="75" x14ac:dyDescent="0.25">
      <c r="A216" s="24" t="str">
        <f>HYPERLINK("https://www.cpso.on.ca/DoctorDetails/Ashley-David-Bender/0158595-73844","Bender, Ashley David")</f>
        <v>Bender, Ashley David</v>
      </c>
      <c r="B216" s="25" t="s">
        <v>2514</v>
      </c>
      <c r="C216" s="24" t="s">
        <v>280</v>
      </c>
      <c r="D216" s="24" t="s">
        <v>281</v>
      </c>
      <c r="E216" s="24" t="s">
        <v>29</v>
      </c>
      <c r="F216" s="24" t="s">
        <v>30</v>
      </c>
      <c r="G216" s="24" t="s">
        <v>31</v>
      </c>
      <c r="H216" s="24" t="s">
        <v>2515</v>
      </c>
      <c r="I216" s="24" t="s">
        <v>2516</v>
      </c>
      <c r="J216" s="24" t="s">
        <v>2517</v>
      </c>
      <c r="K216" s="24" t="s">
        <v>2518</v>
      </c>
      <c r="L216" s="24" t="s">
        <v>52</v>
      </c>
      <c r="M216" s="15" t="s">
        <v>2519</v>
      </c>
      <c r="N216" s="15"/>
      <c r="O216" s="15"/>
      <c r="P216" s="15" t="s">
        <v>288</v>
      </c>
      <c r="Q216" s="15" t="s">
        <v>289</v>
      </c>
      <c r="R216" s="15" t="s">
        <v>290</v>
      </c>
      <c r="S216" s="24" t="s">
        <v>39</v>
      </c>
      <c r="T216" s="24" t="s">
        <v>39</v>
      </c>
      <c r="U216" s="24" t="s">
        <v>39</v>
      </c>
      <c r="V216" s="24" t="s">
        <v>39</v>
      </c>
      <c r="W216" s="24" t="s">
        <v>2520</v>
      </c>
      <c r="X216" s="24" t="s">
        <v>2521</v>
      </c>
      <c r="Y216" s="15" t="s">
        <v>2522</v>
      </c>
      <c r="Z216" s="15" t="s">
        <v>2523</v>
      </c>
      <c r="AA216" s="24"/>
      <c r="AB216" s="24"/>
      <c r="AC216" s="24"/>
      <c r="AD216" s="24"/>
      <c r="AE216" s="24"/>
      <c r="AF216" s="24"/>
      <c r="AG216" s="24"/>
      <c r="AH216" s="24"/>
    </row>
    <row r="217" spans="1:34" ht="105" x14ac:dyDescent="0.25">
      <c r="A217" s="24" t="str">
        <f>HYPERLINK("https://www.cpso.on.ca/DoctorDetails/Ashok-Bhattacharya/0040974-54950","Bhattacharya, Ashok")</f>
        <v>Bhattacharya, Ashok</v>
      </c>
      <c r="B217" s="25" t="s">
        <v>2524</v>
      </c>
      <c r="C217" s="24" t="s">
        <v>2132</v>
      </c>
      <c r="D217" s="24" t="s">
        <v>2525</v>
      </c>
      <c r="E217" s="24" t="s">
        <v>29</v>
      </c>
      <c r="F217" s="24" t="s">
        <v>30</v>
      </c>
      <c r="G217" s="24" t="s">
        <v>31</v>
      </c>
      <c r="H217" s="24" t="s">
        <v>2526</v>
      </c>
      <c r="I217" s="24" t="s">
        <v>2527</v>
      </c>
      <c r="J217" s="24" t="s">
        <v>2528</v>
      </c>
      <c r="K217" s="24"/>
      <c r="L217" s="24" t="s">
        <v>184</v>
      </c>
      <c r="M217" s="15"/>
      <c r="N217" s="15"/>
      <c r="O217" s="15"/>
      <c r="P217" s="15" t="s">
        <v>2416</v>
      </c>
      <c r="Q217" s="15" t="s">
        <v>2529</v>
      </c>
      <c r="R217" s="15" t="s">
        <v>2530</v>
      </c>
      <c r="S217" s="24" t="s">
        <v>39</v>
      </c>
      <c r="T217" s="24" t="s">
        <v>71</v>
      </c>
      <c r="U217" s="24" t="s">
        <v>39</v>
      </c>
      <c r="V217" s="24" t="s">
        <v>39</v>
      </c>
      <c r="W217" s="24" t="s">
        <v>2531</v>
      </c>
      <c r="X217" s="24" t="s">
        <v>2532</v>
      </c>
      <c r="Y217" s="15" t="s">
        <v>2533</v>
      </c>
      <c r="Z217" s="15" t="s">
        <v>2534</v>
      </c>
      <c r="AA217" s="24"/>
      <c r="AB217" s="24"/>
      <c r="AC217" s="24"/>
      <c r="AD217" s="24"/>
      <c r="AE217" s="24"/>
      <c r="AF217" s="24"/>
      <c r="AG217" s="24"/>
      <c r="AH217" s="24"/>
    </row>
    <row r="218" spans="1:34" ht="60" x14ac:dyDescent="0.25">
      <c r="A218" s="24" t="str">
        <f>HYPERLINK("https://www.cpso.on.ca/DoctorDetails/Ashok-Mishra/0037236-51212","Mishra, Ashok")</f>
        <v>Mishra, Ashok</v>
      </c>
      <c r="B218" s="25" t="s">
        <v>2535</v>
      </c>
      <c r="C218" s="24" t="s">
        <v>1082</v>
      </c>
      <c r="D218" s="24" t="s">
        <v>2536</v>
      </c>
      <c r="E218" s="24" t="s">
        <v>29</v>
      </c>
      <c r="F218" s="24" t="s">
        <v>30</v>
      </c>
      <c r="G218" s="24" t="s">
        <v>131</v>
      </c>
      <c r="H218" s="24" t="s">
        <v>2537</v>
      </c>
      <c r="I218" s="24" t="s">
        <v>2538</v>
      </c>
      <c r="J218" s="24" t="s">
        <v>2539</v>
      </c>
      <c r="K218" s="24" t="s">
        <v>2540</v>
      </c>
      <c r="L218" s="24"/>
      <c r="M218" s="15"/>
      <c r="N218" s="15" t="s">
        <v>806</v>
      </c>
      <c r="O218" s="15"/>
      <c r="P218" s="15" t="s">
        <v>2541</v>
      </c>
      <c r="Q218" s="15"/>
      <c r="R218" s="15" t="s">
        <v>2542</v>
      </c>
      <c r="S218" s="24" t="s">
        <v>39</v>
      </c>
      <c r="T218" s="24" t="s">
        <v>39</v>
      </c>
      <c r="U218" s="24" t="s">
        <v>39</v>
      </c>
      <c r="V218" s="24" t="s">
        <v>39</v>
      </c>
      <c r="W218" s="24"/>
      <c r="X218" s="24"/>
      <c r="Y218" s="15"/>
      <c r="Z218" s="15"/>
      <c r="AA218" s="24"/>
      <c r="AB218" s="24"/>
      <c r="AC218" s="24"/>
      <c r="AD218" s="24"/>
      <c r="AE218" s="24"/>
      <c r="AF218" s="24"/>
      <c r="AG218" s="24"/>
      <c r="AH218" s="24"/>
    </row>
    <row r="219" spans="1:34" ht="30" x14ac:dyDescent="0.25">
      <c r="A219" s="24" t="str">
        <f>HYPERLINK("https://www.cpso.on.ca/DoctorDetails/Asifjehan-Khan/0231611-84118","Khan, Asifjehan")</f>
        <v>Khan, Asifjehan</v>
      </c>
      <c r="B219" s="25" t="s">
        <v>2543</v>
      </c>
      <c r="C219" s="24" t="s">
        <v>2544</v>
      </c>
      <c r="D219" s="24" t="s">
        <v>2545</v>
      </c>
      <c r="E219" s="24" t="s">
        <v>29</v>
      </c>
      <c r="F219" s="24" t="s">
        <v>47</v>
      </c>
      <c r="G219" s="24" t="s">
        <v>31</v>
      </c>
      <c r="H219" s="24" t="s">
        <v>2546</v>
      </c>
      <c r="I219" s="24" t="s">
        <v>742</v>
      </c>
      <c r="J219" s="24" t="s">
        <v>2547</v>
      </c>
      <c r="K219" s="24"/>
      <c r="L219" s="24" t="s">
        <v>84</v>
      </c>
      <c r="M219" s="15"/>
      <c r="N219" s="15"/>
      <c r="O219" s="15" t="s">
        <v>2548</v>
      </c>
      <c r="P219" s="15" t="s">
        <v>2549</v>
      </c>
      <c r="Q219" s="15" t="s">
        <v>2550</v>
      </c>
      <c r="R219" s="15" t="s">
        <v>2551</v>
      </c>
      <c r="S219" s="24" t="s">
        <v>39</v>
      </c>
      <c r="T219" s="24" t="s">
        <v>39</v>
      </c>
      <c r="U219" s="24" t="s">
        <v>39</v>
      </c>
      <c r="V219" s="24" t="s">
        <v>39</v>
      </c>
      <c r="W219" s="24" t="s">
        <v>2552</v>
      </c>
      <c r="X219" s="24" t="s">
        <v>776</v>
      </c>
      <c r="Y219" s="15" t="s">
        <v>2553</v>
      </c>
      <c r="Z219" s="15" t="s">
        <v>2554</v>
      </c>
      <c r="AA219" s="24"/>
      <c r="AB219" s="24"/>
      <c r="AC219" s="24"/>
      <c r="AD219" s="24"/>
      <c r="AE219" s="24"/>
      <c r="AF219" s="24"/>
      <c r="AG219" s="24"/>
      <c r="AH219" s="24"/>
    </row>
    <row r="220" spans="1:34" ht="225" x14ac:dyDescent="0.25">
      <c r="A220" s="24" t="str">
        <f>HYPERLINK("https://www.cpso.on.ca/DoctorDetails/Asmat-Ullah-Khan/0226218-83408","Khan, Asmat Ullah")</f>
        <v>Khan, Asmat Ullah</v>
      </c>
      <c r="B220" s="25" t="s">
        <v>2555</v>
      </c>
      <c r="C220" s="24" t="s">
        <v>2556</v>
      </c>
      <c r="D220" s="24" t="s">
        <v>2557</v>
      </c>
      <c r="E220" s="24" t="s">
        <v>29</v>
      </c>
      <c r="F220" s="24" t="s">
        <v>30</v>
      </c>
      <c r="G220" s="24" t="s">
        <v>2558</v>
      </c>
      <c r="H220" s="24" t="s">
        <v>2559</v>
      </c>
      <c r="I220" s="24" t="s">
        <v>2560</v>
      </c>
      <c r="J220" s="24" t="s">
        <v>2561</v>
      </c>
      <c r="K220" s="24"/>
      <c r="L220" s="24" t="s">
        <v>84</v>
      </c>
      <c r="M220" s="15"/>
      <c r="N220" s="15"/>
      <c r="O220" s="15"/>
      <c r="P220" s="15" t="s">
        <v>2562</v>
      </c>
      <c r="Q220" s="15" t="s">
        <v>2563</v>
      </c>
      <c r="R220" s="15" t="s">
        <v>2564</v>
      </c>
      <c r="S220" s="24" t="s">
        <v>39</v>
      </c>
      <c r="T220" s="24" t="s">
        <v>39</v>
      </c>
      <c r="U220" s="24" t="s">
        <v>39</v>
      </c>
      <c r="V220" s="24" t="s">
        <v>39</v>
      </c>
      <c r="W220" s="24" t="s">
        <v>2565</v>
      </c>
      <c r="X220" s="24" t="s">
        <v>2566</v>
      </c>
      <c r="Y220" s="15" t="s">
        <v>2567</v>
      </c>
      <c r="Z220" s="15" t="s">
        <v>2568</v>
      </c>
      <c r="AA220" s="24"/>
      <c r="AB220" s="24"/>
      <c r="AC220" s="24"/>
      <c r="AD220" s="24"/>
      <c r="AE220" s="24"/>
      <c r="AF220" s="24"/>
      <c r="AG220" s="24"/>
      <c r="AH220" s="24"/>
    </row>
    <row r="221" spans="1:34" ht="45" x14ac:dyDescent="0.25">
      <c r="A221" s="24" t="str">
        <f>HYPERLINK("https://www.cpso.on.ca/DoctorDetails/Athanassios-Foussias/0030365-42345","Foussias, Athanassios")</f>
        <v>Foussias, Athanassios</v>
      </c>
      <c r="B221" s="25" t="s">
        <v>2569</v>
      </c>
      <c r="C221" s="24" t="s">
        <v>2570</v>
      </c>
      <c r="D221" s="24" t="s">
        <v>2571</v>
      </c>
      <c r="E221" s="24" t="s">
        <v>29</v>
      </c>
      <c r="F221" s="24" t="s">
        <v>30</v>
      </c>
      <c r="G221" s="24" t="s">
        <v>536</v>
      </c>
      <c r="H221" s="24" t="s">
        <v>2572</v>
      </c>
      <c r="I221" s="24" t="s">
        <v>538</v>
      </c>
      <c r="J221" s="24" t="s">
        <v>2573</v>
      </c>
      <c r="K221" s="24" t="s">
        <v>2574</v>
      </c>
      <c r="L221" s="24" t="s">
        <v>52</v>
      </c>
      <c r="M221" s="15"/>
      <c r="N221" s="15"/>
      <c r="O221" s="15"/>
      <c r="P221" s="15" t="s">
        <v>727</v>
      </c>
      <c r="Q221" s="15"/>
      <c r="R221" s="15" t="s">
        <v>2575</v>
      </c>
      <c r="S221" s="24" t="s">
        <v>39</v>
      </c>
      <c r="T221" s="24" t="s">
        <v>39</v>
      </c>
      <c r="U221" s="24" t="s">
        <v>39</v>
      </c>
      <c r="V221" s="24" t="s">
        <v>39</v>
      </c>
      <c r="W221" s="24"/>
      <c r="X221" s="24"/>
      <c r="Y221" s="15"/>
      <c r="Z221" s="15"/>
      <c r="AA221" s="24"/>
      <c r="AB221" s="24"/>
      <c r="AC221" s="24"/>
      <c r="AD221" s="24"/>
      <c r="AE221" s="24"/>
      <c r="AF221" s="24"/>
      <c r="AG221" s="24"/>
      <c r="AH221" s="24"/>
    </row>
    <row r="222" spans="1:34" ht="75" x14ac:dyDescent="0.25">
      <c r="A222" s="24" t="str">
        <f>HYPERLINK("https://www.cpso.on.ca/DoctorDetails/Atih-SeifZadeh/0224326-83141","Seif-Zadeh, Atih")</f>
        <v>Seif-Zadeh, Atih</v>
      </c>
      <c r="B222" s="25" t="s">
        <v>2576</v>
      </c>
      <c r="C222" s="24" t="s">
        <v>2577</v>
      </c>
      <c r="D222" s="24" t="s">
        <v>2578</v>
      </c>
      <c r="E222" s="24" t="s">
        <v>29</v>
      </c>
      <c r="F222" s="24" t="s">
        <v>47</v>
      </c>
      <c r="G222" s="24" t="s">
        <v>2579</v>
      </c>
      <c r="H222" s="24" t="s">
        <v>2580</v>
      </c>
      <c r="I222" s="24" t="s">
        <v>2581</v>
      </c>
      <c r="J222" s="24" t="s">
        <v>2582</v>
      </c>
      <c r="K222" s="24"/>
      <c r="L222" s="24"/>
      <c r="M222" s="15" t="s">
        <v>2583</v>
      </c>
      <c r="N222" s="15" t="s">
        <v>2584</v>
      </c>
      <c r="O222" s="15"/>
      <c r="P222" s="15" t="s">
        <v>2549</v>
      </c>
      <c r="Q222" s="15"/>
      <c r="R222" s="15" t="s">
        <v>2585</v>
      </c>
      <c r="S222" s="24" t="s">
        <v>39</v>
      </c>
      <c r="T222" s="24" t="s">
        <v>39</v>
      </c>
      <c r="U222" s="24" t="s">
        <v>39</v>
      </c>
      <c r="V222" s="24" t="s">
        <v>39</v>
      </c>
      <c r="W222" s="24" t="s">
        <v>2586</v>
      </c>
      <c r="X222" s="24" t="s">
        <v>2587</v>
      </c>
      <c r="Y222" s="15"/>
      <c r="Z222" s="15"/>
      <c r="AA222" s="24"/>
      <c r="AB222" s="24"/>
      <c r="AC222" s="24"/>
      <c r="AD222" s="24"/>
      <c r="AE222" s="24"/>
      <c r="AF222" s="24"/>
      <c r="AG222" s="24"/>
      <c r="AH222" s="24"/>
    </row>
    <row r="223" spans="1:34" ht="75" x14ac:dyDescent="0.25">
      <c r="A223" s="24" t="str">
        <f>HYPERLINK("https://www.cpso.on.ca/DoctorDetails/Atul-Luthra/0052268-66247","Luthra, Atul")</f>
        <v>Luthra, Atul</v>
      </c>
      <c r="B223" s="25" t="s">
        <v>2588</v>
      </c>
      <c r="C223" s="24" t="s">
        <v>2589</v>
      </c>
      <c r="D223" s="24" t="s">
        <v>2590</v>
      </c>
      <c r="E223" s="24" t="s">
        <v>29</v>
      </c>
      <c r="F223" s="24" t="s">
        <v>30</v>
      </c>
      <c r="G223" s="24" t="s">
        <v>131</v>
      </c>
      <c r="H223" s="24" t="s">
        <v>2591</v>
      </c>
      <c r="I223" s="24" t="s">
        <v>2592</v>
      </c>
      <c r="J223" s="24" t="s">
        <v>2593</v>
      </c>
      <c r="K223" s="24" t="s">
        <v>2594</v>
      </c>
      <c r="L223" s="24" t="s">
        <v>184</v>
      </c>
      <c r="M223" s="15" t="s">
        <v>2595</v>
      </c>
      <c r="N223" s="15"/>
      <c r="O223" s="15" t="s">
        <v>2596</v>
      </c>
      <c r="P223" s="15" t="s">
        <v>2597</v>
      </c>
      <c r="Q223" s="15"/>
      <c r="R223" s="15" t="s">
        <v>2598</v>
      </c>
      <c r="S223" s="24" t="s">
        <v>39</v>
      </c>
      <c r="T223" s="24" t="s">
        <v>39</v>
      </c>
      <c r="U223" s="24" t="s">
        <v>39</v>
      </c>
      <c r="V223" s="24" t="s">
        <v>39</v>
      </c>
      <c r="W223" s="24" t="s">
        <v>2599</v>
      </c>
      <c r="X223" s="24" t="s">
        <v>2600</v>
      </c>
      <c r="Y223" s="15" t="s">
        <v>2601</v>
      </c>
      <c r="Z223" s="15" t="s">
        <v>2602</v>
      </c>
      <c r="AA223" s="24"/>
      <c r="AB223" s="24"/>
      <c r="AC223" s="24"/>
      <c r="AD223" s="24"/>
      <c r="AE223" s="24"/>
      <c r="AF223" s="24"/>
      <c r="AG223" s="24"/>
      <c r="AH223" s="24"/>
    </row>
    <row r="224" spans="1:34" ht="90" x14ac:dyDescent="0.25">
      <c r="A224" s="24" t="str">
        <f>HYPERLINK("https://www.cpso.on.ca/DoctorDetails/Aturan-Shanmugalingam/0289086-101501","Shanmugalingam, Aturan")</f>
        <v>Shanmugalingam, Aturan</v>
      </c>
      <c r="B224" s="25" t="s">
        <v>2603</v>
      </c>
      <c r="C224" s="24" t="s">
        <v>199</v>
      </c>
      <c r="D224" s="24" t="s">
        <v>200</v>
      </c>
      <c r="E224" s="24" t="s">
        <v>29</v>
      </c>
      <c r="F224" s="24" t="s">
        <v>30</v>
      </c>
      <c r="G224" s="24" t="s">
        <v>31</v>
      </c>
      <c r="H224" s="24" t="s">
        <v>2604</v>
      </c>
      <c r="I224" s="24" t="s">
        <v>2605</v>
      </c>
      <c r="J224" s="24"/>
      <c r="K224" s="24"/>
      <c r="L224" s="24" t="s">
        <v>135</v>
      </c>
      <c r="M224" s="15"/>
      <c r="N224" s="15"/>
      <c r="O224" s="15"/>
      <c r="P224" s="15" t="s">
        <v>205</v>
      </c>
      <c r="Q224" s="15" t="s">
        <v>2606</v>
      </c>
      <c r="R224" s="15" t="s">
        <v>2607</v>
      </c>
      <c r="S224" s="24" t="s">
        <v>39</v>
      </c>
      <c r="T224" s="24" t="s">
        <v>39</v>
      </c>
      <c r="U224" s="24" t="s">
        <v>39</v>
      </c>
      <c r="V224" s="24" t="s">
        <v>39</v>
      </c>
      <c r="W224" s="24"/>
      <c r="X224" s="24"/>
      <c r="Y224" s="15"/>
      <c r="Z224" s="15"/>
      <c r="AA224" s="24"/>
      <c r="AB224" s="24"/>
      <c r="AC224" s="24"/>
      <c r="AD224" s="24"/>
      <c r="AE224" s="24"/>
      <c r="AF224" s="24"/>
      <c r="AG224" s="24"/>
      <c r="AH224" s="24"/>
    </row>
    <row r="225" spans="1:34" ht="75" x14ac:dyDescent="0.25">
      <c r="A225" s="24" t="str">
        <f>HYPERLINK("https://www.cpso.on.ca/DoctorDetails/Auby-Howard-Axler/0052927-66891","Axler, Auby Howard")</f>
        <v>Axler, Auby Howard</v>
      </c>
      <c r="B225" s="25" t="s">
        <v>2608</v>
      </c>
      <c r="C225" s="24" t="s">
        <v>836</v>
      </c>
      <c r="D225" s="24" t="s">
        <v>837</v>
      </c>
      <c r="E225" s="24" t="s">
        <v>29</v>
      </c>
      <c r="F225" s="24" t="s">
        <v>30</v>
      </c>
      <c r="G225" s="24" t="s">
        <v>31</v>
      </c>
      <c r="H225" s="24" t="s">
        <v>2609</v>
      </c>
      <c r="I225" s="24" t="s">
        <v>107</v>
      </c>
      <c r="J225" s="24"/>
      <c r="K225" s="24"/>
      <c r="L225" s="24"/>
      <c r="M225" s="15"/>
      <c r="N225" s="15" t="s">
        <v>1370</v>
      </c>
      <c r="O225" s="15"/>
      <c r="P225" s="15" t="s">
        <v>303</v>
      </c>
      <c r="Q225" s="15" t="s">
        <v>1937</v>
      </c>
      <c r="R225" s="15" t="s">
        <v>844</v>
      </c>
      <c r="S225" s="24" t="s">
        <v>39</v>
      </c>
      <c r="T225" s="24" t="s">
        <v>39</v>
      </c>
      <c r="U225" s="24" t="s">
        <v>39</v>
      </c>
      <c r="V225" s="24" t="s">
        <v>39</v>
      </c>
      <c r="W225" s="24"/>
      <c r="X225" s="24"/>
      <c r="Y225" s="15"/>
      <c r="Z225" s="15"/>
      <c r="AA225" s="24"/>
      <c r="AB225" s="24"/>
      <c r="AC225" s="24"/>
      <c r="AD225" s="24"/>
      <c r="AE225" s="24"/>
      <c r="AF225" s="24"/>
      <c r="AG225" s="24"/>
      <c r="AH225" s="24"/>
    </row>
    <row r="226" spans="1:34" ht="30" x14ac:dyDescent="0.25">
      <c r="A226" s="24" t="str">
        <f>HYPERLINK("https://www.cpso.on.ca/DoctorDetails/Ava-Jean-Muir/0314453-111107","Muir, Ava Jean")</f>
        <v>Muir, Ava Jean</v>
      </c>
      <c r="B226" s="25" t="s">
        <v>2610</v>
      </c>
      <c r="C226" s="24" t="s">
        <v>2611</v>
      </c>
      <c r="D226" s="24" t="s">
        <v>2612</v>
      </c>
      <c r="E226" s="24" t="s">
        <v>29</v>
      </c>
      <c r="F226" s="24" t="s">
        <v>47</v>
      </c>
      <c r="G226" s="24" t="s">
        <v>31</v>
      </c>
      <c r="H226" s="24" t="s">
        <v>2613</v>
      </c>
      <c r="I226" s="24" t="s">
        <v>2614</v>
      </c>
      <c r="J226" s="24" t="s">
        <v>2615</v>
      </c>
      <c r="K226" s="24"/>
      <c r="L226" s="24" t="s">
        <v>152</v>
      </c>
      <c r="M226" s="15"/>
      <c r="N226" s="15"/>
      <c r="O226" s="15" t="s">
        <v>1539</v>
      </c>
      <c r="P226" s="15" t="s">
        <v>654</v>
      </c>
      <c r="Q226" s="15"/>
      <c r="R226" s="15" t="s">
        <v>2616</v>
      </c>
      <c r="S226" s="24" t="s">
        <v>39</v>
      </c>
      <c r="T226" s="24" t="s">
        <v>39</v>
      </c>
      <c r="U226" s="24" t="s">
        <v>39</v>
      </c>
      <c r="V226" s="24" t="s">
        <v>39</v>
      </c>
      <c r="W226" s="24" t="s">
        <v>2617</v>
      </c>
      <c r="X226" s="24" t="s">
        <v>2618</v>
      </c>
      <c r="Y226" s="15" t="s">
        <v>2619</v>
      </c>
      <c r="Z226" s="15" t="s">
        <v>2620</v>
      </c>
      <c r="AA226" s="24"/>
      <c r="AB226" s="24"/>
      <c r="AC226" s="24"/>
      <c r="AD226" s="24"/>
      <c r="AE226" s="24"/>
      <c r="AF226" s="24"/>
      <c r="AG226" s="24"/>
      <c r="AH226" s="24"/>
    </row>
    <row r="227" spans="1:34" x14ac:dyDescent="0.25">
      <c r="A227" s="24" t="str">
        <f>HYPERLINK("https://www.cpso.on.ca/DoctorDetails/Avelino-Marbella-Mape/0021405-26193","Mape, Avelino Marbella")</f>
        <v>Mape, Avelino Marbella</v>
      </c>
      <c r="B227" s="25" t="s">
        <v>2621</v>
      </c>
      <c r="C227" s="24" t="s">
        <v>2622</v>
      </c>
      <c r="D227" s="24" t="s">
        <v>2623</v>
      </c>
      <c r="E227" s="24" t="s">
        <v>29</v>
      </c>
      <c r="F227" s="24" t="s">
        <v>30</v>
      </c>
      <c r="G227" s="24" t="s">
        <v>2624</v>
      </c>
      <c r="H227" s="24" t="s">
        <v>2625</v>
      </c>
      <c r="I227" s="24" t="s">
        <v>107</v>
      </c>
      <c r="J227" s="24"/>
      <c r="K227" s="24"/>
      <c r="L227" s="24"/>
      <c r="M227" s="15"/>
      <c r="N227" s="15"/>
      <c r="O227" s="15"/>
      <c r="P227" s="15" t="s">
        <v>2626</v>
      </c>
      <c r="Q227" s="15"/>
      <c r="R227" s="15" t="s">
        <v>2627</v>
      </c>
      <c r="S227" s="24" t="s">
        <v>39</v>
      </c>
      <c r="T227" s="24" t="s">
        <v>39</v>
      </c>
      <c r="U227" s="24" t="s">
        <v>39</v>
      </c>
      <c r="V227" s="24" t="s">
        <v>39</v>
      </c>
      <c r="W227" s="24"/>
      <c r="X227" s="24"/>
      <c r="Y227" s="15"/>
      <c r="Z227" s="15"/>
      <c r="AA227" s="24"/>
      <c r="AB227" s="24"/>
      <c r="AC227" s="24"/>
      <c r="AD227" s="24"/>
      <c r="AE227" s="24"/>
      <c r="AF227" s="24"/>
      <c r="AG227" s="24"/>
      <c r="AH227" s="24"/>
    </row>
    <row r="228" spans="1:34" ht="30" x14ac:dyDescent="0.25">
      <c r="A228" s="24" t="str">
        <f>HYPERLINK("https://www.cpso.on.ca/DoctorDetails/Avery-Alexander-Krisman/0047368-61346","Krisman, Avery Alexander")</f>
        <v>Krisman, Avery Alexander</v>
      </c>
      <c r="B228" s="25" t="s">
        <v>2628</v>
      </c>
      <c r="C228" s="24" t="s">
        <v>2629</v>
      </c>
      <c r="D228" s="24" t="s">
        <v>2630</v>
      </c>
      <c r="E228" s="24" t="s">
        <v>29</v>
      </c>
      <c r="F228" s="24" t="s">
        <v>30</v>
      </c>
      <c r="G228" s="24" t="s">
        <v>813</v>
      </c>
      <c r="H228" s="24" t="s">
        <v>2631</v>
      </c>
      <c r="I228" s="24" t="s">
        <v>2632</v>
      </c>
      <c r="J228" s="24" t="s">
        <v>2633</v>
      </c>
      <c r="K228" s="24"/>
      <c r="L228" s="24" t="s">
        <v>52</v>
      </c>
      <c r="M228" s="15"/>
      <c r="N228" s="15"/>
      <c r="O228" s="15"/>
      <c r="P228" s="15" t="s">
        <v>2293</v>
      </c>
      <c r="Q228" s="15" t="s">
        <v>2634</v>
      </c>
      <c r="R228" s="15" t="s">
        <v>2635</v>
      </c>
      <c r="S228" s="24" t="s">
        <v>39</v>
      </c>
      <c r="T228" s="24" t="s">
        <v>39</v>
      </c>
      <c r="U228" s="24" t="s">
        <v>39</v>
      </c>
      <c r="V228" s="24" t="s">
        <v>71</v>
      </c>
      <c r="W228" s="24"/>
      <c r="X228" s="24"/>
      <c r="Y228" s="15"/>
      <c r="Z228" s="15"/>
      <c r="AA228" s="24"/>
      <c r="AB228" s="24"/>
      <c r="AC228" s="24"/>
      <c r="AD228" s="24"/>
      <c r="AE228" s="24"/>
      <c r="AF228" s="24"/>
      <c r="AG228" s="24"/>
      <c r="AH228" s="24"/>
    </row>
    <row r="229" spans="1:34" ht="30" x14ac:dyDescent="0.25">
      <c r="A229" s="24" t="str">
        <f>HYPERLINK("https://www.cpso.on.ca/DoctorDetails/Avery-Irwin-Hurtig/0040671-54647","Hurtig, Avery Irwin")</f>
        <v>Hurtig, Avery Irwin</v>
      </c>
      <c r="B229" s="25" t="s">
        <v>2636</v>
      </c>
      <c r="C229" s="24" t="s">
        <v>704</v>
      </c>
      <c r="D229" s="24" t="s">
        <v>827</v>
      </c>
      <c r="E229" s="24" t="s">
        <v>29</v>
      </c>
      <c r="F229" s="24" t="s">
        <v>30</v>
      </c>
      <c r="G229" s="24" t="s">
        <v>31</v>
      </c>
      <c r="H229" s="24" t="s">
        <v>2637</v>
      </c>
      <c r="I229" s="24" t="s">
        <v>2638</v>
      </c>
      <c r="J229" s="24" t="s">
        <v>2639</v>
      </c>
      <c r="K229" s="24"/>
      <c r="L229" s="24" t="s">
        <v>52</v>
      </c>
      <c r="M229" s="15"/>
      <c r="N229" s="15"/>
      <c r="O229" s="15"/>
      <c r="P229" s="15" t="s">
        <v>2640</v>
      </c>
      <c r="Q229" s="15"/>
      <c r="R229" s="15" t="s">
        <v>2641</v>
      </c>
      <c r="S229" s="24" t="s">
        <v>39</v>
      </c>
      <c r="T229" s="24" t="s">
        <v>39</v>
      </c>
      <c r="U229" s="24" t="s">
        <v>39</v>
      </c>
      <c r="V229" s="24" t="s">
        <v>39</v>
      </c>
      <c r="W229" s="24"/>
      <c r="X229" s="24"/>
      <c r="Y229" s="15"/>
      <c r="Z229" s="15"/>
      <c r="AA229" s="24"/>
      <c r="AB229" s="24"/>
      <c r="AC229" s="24"/>
      <c r="AD229" s="24"/>
      <c r="AE229" s="24"/>
      <c r="AF229" s="24"/>
      <c r="AG229" s="24"/>
      <c r="AH229" s="24"/>
    </row>
    <row r="230" spans="1:34" ht="120" x14ac:dyDescent="0.25">
      <c r="A230" s="24" t="str">
        <f>HYPERLINK("https://www.cpso.on.ca/DoctorDetails/Avital-Klein/0265781-93801","Klein, Avital")</f>
        <v>Klein, Avital</v>
      </c>
      <c r="B230" s="25" t="s">
        <v>2642</v>
      </c>
      <c r="C230" s="24" t="s">
        <v>570</v>
      </c>
      <c r="D230" s="24" t="s">
        <v>2643</v>
      </c>
      <c r="E230" s="24" t="s">
        <v>2644</v>
      </c>
      <c r="F230" s="24" t="s">
        <v>47</v>
      </c>
      <c r="G230" s="24" t="s">
        <v>31</v>
      </c>
      <c r="H230" s="24" t="s">
        <v>2645</v>
      </c>
      <c r="I230" s="24" t="s">
        <v>2646</v>
      </c>
      <c r="J230" s="24"/>
      <c r="K230" s="24"/>
      <c r="L230" s="24" t="s">
        <v>52</v>
      </c>
      <c r="M230" s="15"/>
      <c r="N230" s="15"/>
      <c r="O230" s="15"/>
      <c r="P230" s="15" t="s">
        <v>973</v>
      </c>
      <c r="Q230" s="15" t="s">
        <v>2647</v>
      </c>
      <c r="R230" s="15" t="s">
        <v>2648</v>
      </c>
      <c r="S230" s="24" t="s">
        <v>39</v>
      </c>
      <c r="T230" s="24" t="s">
        <v>39</v>
      </c>
      <c r="U230" s="24" t="s">
        <v>39</v>
      </c>
      <c r="V230" s="24" t="s">
        <v>39</v>
      </c>
      <c r="W230" s="24"/>
      <c r="X230" s="24"/>
      <c r="Y230" s="15"/>
      <c r="Z230" s="15"/>
      <c r="AA230" s="24"/>
      <c r="AB230" s="24"/>
      <c r="AC230" s="24"/>
      <c r="AD230" s="24"/>
      <c r="AE230" s="24"/>
      <c r="AF230" s="24"/>
      <c r="AG230" s="24"/>
      <c r="AH230" s="24"/>
    </row>
    <row r="231" spans="1:34" ht="90" x14ac:dyDescent="0.25">
      <c r="A231" s="24" t="str">
        <f>HYPERLINK("https://www.cpso.on.ca/DoctorDetails/Aviva-Yaffa-Rostas/0280828-97682","Rostas, Aviva Yaffa")</f>
        <v>Rostas, Aviva Yaffa</v>
      </c>
      <c r="B231" s="25" t="s">
        <v>2649</v>
      </c>
      <c r="C231" s="24" t="s">
        <v>544</v>
      </c>
      <c r="D231" s="24" t="s">
        <v>545</v>
      </c>
      <c r="E231" s="24" t="s">
        <v>29</v>
      </c>
      <c r="F231" s="24" t="s">
        <v>47</v>
      </c>
      <c r="G231" s="24" t="s">
        <v>31</v>
      </c>
      <c r="H231" s="24" t="s">
        <v>2650</v>
      </c>
      <c r="I231" s="24" t="s">
        <v>2651</v>
      </c>
      <c r="J231" s="24" t="s">
        <v>2652</v>
      </c>
      <c r="K231" s="24"/>
      <c r="L231" s="24" t="s">
        <v>52</v>
      </c>
      <c r="M231" s="15"/>
      <c r="N231" s="15"/>
      <c r="O231" s="15" t="s">
        <v>981</v>
      </c>
      <c r="P231" s="15" t="s">
        <v>550</v>
      </c>
      <c r="Q231" s="15" t="s">
        <v>2653</v>
      </c>
      <c r="R231" s="15" t="s">
        <v>552</v>
      </c>
      <c r="S231" s="24" t="s">
        <v>39</v>
      </c>
      <c r="T231" s="24" t="s">
        <v>39</v>
      </c>
      <c r="U231" s="24" t="s">
        <v>39</v>
      </c>
      <c r="V231" s="24" t="s">
        <v>39</v>
      </c>
      <c r="W231" s="24"/>
      <c r="X231" s="24"/>
      <c r="Y231" s="15"/>
      <c r="Z231" s="15"/>
      <c r="AA231" s="24"/>
      <c r="AB231" s="24"/>
      <c r="AC231" s="24"/>
      <c r="AD231" s="24"/>
      <c r="AE231" s="24"/>
      <c r="AF231" s="24"/>
      <c r="AG231" s="24"/>
      <c r="AH231" s="24"/>
    </row>
    <row r="232" spans="1:34" ht="30" x14ac:dyDescent="0.25">
      <c r="A232" s="24" t="str">
        <f>HYPERLINK("https://www.cpso.on.ca/DoctorDetails/Awad-Girgis-Awad/0020090-24878","Awad, Awad Girgis")</f>
        <v>Awad, Awad Girgis</v>
      </c>
      <c r="B232" s="25" t="s">
        <v>2654</v>
      </c>
      <c r="C232" s="24" t="s">
        <v>2655</v>
      </c>
      <c r="D232" s="24" t="s">
        <v>2656</v>
      </c>
      <c r="E232" s="24" t="s">
        <v>29</v>
      </c>
      <c r="F232" s="24" t="s">
        <v>30</v>
      </c>
      <c r="G232" s="24" t="s">
        <v>31</v>
      </c>
      <c r="H232" s="24" t="s">
        <v>2657</v>
      </c>
      <c r="I232" s="24" t="s">
        <v>2658</v>
      </c>
      <c r="J232" s="24" t="s">
        <v>2659</v>
      </c>
      <c r="K232" s="24" t="s">
        <v>2660</v>
      </c>
      <c r="L232" s="24" t="s">
        <v>52</v>
      </c>
      <c r="M232" s="15"/>
      <c r="N232" s="15"/>
      <c r="O232" s="15" t="s">
        <v>1784</v>
      </c>
      <c r="P232" s="15" t="s">
        <v>2661</v>
      </c>
      <c r="Q232" s="15"/>
      <c r="R232" s="15" t="s">
        <v>2662</v>
      </c>
      <c r="S232" s="24" t="s">
        <v>39</v>
      </c>
      <c r="T232" s="24" t="s">
        <v>39</v>
      </c>
      <c r="U232" s="24" t="s">
        <v>39</v>
      </c>
      <c r="V232" s="24" t="s">
        <v>39</v>
      </c>
      <c r="W232" s="24"/>
      <c r="X232" s="24"/>
      <c r="Y232" s="15"/>
      <c r="Z232" s="15"/>
      <c r="AA232" s="24"/>
      <c r="AB232" s="24"/>
      <c r="AC232" s="24"/>
      <c r="AD232" s="24"/>
      <c r="AE232" s="24"/>
      <c r="AF232" s="24"/>
      <c r="AG232" s="24"/>
      <c r="AH232" s="24"/>
    </row>
    <row r="233" spans="1:34" ht="105" x14ac:dyDescent="0.25">
      <c r="A233" s="24" t="str">
        <f>HYPERLINK("https://www.cpso.on.ca/DoctorDetails/Awad-Ibrahim-Awad/0042661-56639","Awad, Awad Ibrahim")</f>
        <v>Awad, Awad Ibrahim</v>
      </c>
      <c r="B233" s="25" t="s">
        <v>2663</v>
      </c>
      <c r="C233" s="24" t="s">
        <v>2664</v>
      </c>
      <c r="D233" s="24" t="s">
        <v>2665</v>
      </c>
      <c r="E233" s="24" t="s">
        <v>29</v>
      </c>
      <c r="F233" s="24" t="s">
        <v>30</v>
      </c>
      <c r="G233" s="24" t="s">
        <v>105</v>
      </c>
      <c r="H233" s="24" t="s">
        <v>2666</v>
      </c>
      <c r="I233" s="24" t="s">
        <v>2667</v>
      </c>
      <c r="J233" s="24" t="s">
        <v>2668</v>
      </c>
      <c r="K233" s="24" t="s">
        <v>2669</v>
      </c>
      <c r="L233" s="24" t="s">
        <v>184</v>
      </c>
      <c r="M233" s="15" t="s">
        <v>2670</v>
      </c>
      <c r="N233" s="15"/>
      <c r="O233" s="15"/>
      <c r="P233" s="15" t="s">
        <v>2416</v>
      </c>
      <c r="Q233" s="15"/>
      <c r="R233" s="15" t="s">
        <v>2671</v>
      </c>
      <c r="S233" s="24" t="s">
        <v>39</v>
      </c>
      <c r="T233" s="24" t="s">
        <v>71</v>
      </c>
      <c r="U233" s="24" t="s">
        <v>39</v>
      </c>
      <c r="V233" s="24" t="s">
        <v>39</v>
      </c>
      <c r="W233" s="24"/>
      <c r="X233" s="24"/>
      <c r="Y233" s="15"/>
      <c r="Z233" s="15"/>
      <c r="AA233" s="24"/>
      <c r="AB233" s="24"/>
      <c r="AC233" s="24"/>
      <c r="AD233" s="24"/>
      <c r="AE233" s="24"/>
      <c r="AF233" s="24"/>
      <c r="AG233" s="24"/>
      <c r="AH233" s="24"/>
    </row>
    <row r="234" spans="1:34" ht="90" x14ac:dyDescent="0.25">
      <c r="A234" s="24" t="str">
        <f>HYPERLINK("https://www.cpso.on.ca/DoctorDetails/Ayal-Schaffer/0117121-70295","Schaffer, Ayal")</f>
        <v>Schaffer, Ayal</v>
      </c>
      <c r="B234" s="25" t="s">
        <v>2672</v>
      </c>
      <c r="C234" s="24" t="s">
        <v>2673</v>
      </c>
      <c r="D234" s="24" t="s">
        <v>2674</v>
      </c>
      <c r="E234" s="24" t="s">
        <v>29</v>
      </c>
      <c r="F234" s="24" t="s">
        <v>30</v>
      </c>
      <c r="G234" s="24" t="s">
        <v>31</v>
      </c>
      <c r="H234" s="24" t="s">
        <v>1107</v>
      </c>
      <c r="I234" s="24" t="s">
        <v>2675</v>
      </c>
      <c r="J234" s="24" t="s">
        <v>2676</v>
      </c>
      <c r="K234" s="24" t="s">
        <v>2677</v>
      </c>
      <c r="L234" s="24" t="s">
        <v>52</v>
      </c>
      <c r="M234" s="15"/>
      <c r="N234" s="15"/>
      <c r="O234" s="15" t="s">
        <v>1397</v>
      </c>
      <c r="P234" s="15" t="s">
        <v>2678</v>
      </c>
      <c r="Q234" s="15" t="s">
        <v>2679</v>
      </c>
      <c r="R234" s="15" t="s">
        <v>2680</v>
      </c>
      <c r="S234" s="24" t="s">
        <v>39</v>
      </c>
      <c r="T234" s="24" t="s">
        <v>39</v>
      </c>
      <c r="U234" s="24" t="s">
        <v>39</v>
      </c>
      <c r="V234" s="24" t="s">
        <v>39</v>
      </c>
      <c r="W234" s="24" t="s">
        <v>2681</v>
      </c>
      <c r="X234" s="24" t="s">
        <v>2682</v>
      </c>
      <c r="Y234" s="15" t="s">
        <v>2683</v>
      </c>
      <c r="Z234" s="15" t="s">
        <v>2684</v>
      </c>
      <c r="AA234" s="24"/>
      <c r="AB234" s="24"/>
      <c r="AC234" s="24"/>
      <c r="AD234" s="24"/>
      <c r="AE234" s="24"/>
      <c r="AF234" s="24"/>
      <c r="AG234" s="24"/>
      <c r="AH234" s="24"/>
    </row>
    <row r="235" spans="1:34" ht="90" x14ac:dyDescent="0.25">
      <c r="A235" s="24" t="str">
        <f>HYPERLINK("https://www.cpso.on.ca/DoctorDetails/Aylar-Ansarian/0265499-92872","Ansarian, Aylar")</f>
        <v>Ansarian, Aylar</v>
      </c>
      <c r="B235" s="25" t="s">
        <v>2685</v>
      </c>
      <c r="C235" s="24" t="s">
        <v>570</v>
      </c>
      <c r="D235" s="24" t="s">
        <v>571</v>
      </c>
      <c r="E235" s="24" t="s">
        <v>29</v>
      </c>
      <c r="F235" s="24" t="s">
        <v>47</v>
      </c>
      <c r="G235" s="24" t="s">
        <v>31</v>
      </c>
      <c r="H235" s="24" t="s">
        <v>2686</v>
      </c>
      <c r="I235" s="24" t="s">
        <v>2687</v>
      </c>
      <c r="J235" s="24" t="s">
        <v>2688</v>
      </c>
      <c r="K235" s="24"/>
      <c r="L235" s="24" t="s">
        <v>152</v>
      </c>
      <c r="M235" s="15"/>
      <c r="N235" s="15"/>
      <c r="O235" s="15" t="s">
        <v>2689</v>
      </c>
      <c r="P235" s="15" t="s">
        <v>629</v>
      </c>
      <c r="Q235" s="15" t="s">
        <v>2690</v>
      </c>
      <c r="R235" s="15" t="s">
        <v>2691</v>
      </c>
      <c r="S235" s="24" t="s">
        <v>39</v>
      </c>
      <c r="T235" s="24" t="s">
        <v>39</v>
      </c>
      <c r="U235" s="24" t="s">
        <v>39</v>
      </c>
      <c r="V235" s="24" t="s">
        <v>39</v>
      </c>
      <c r="W235" s="24"/>
      <c r="X235" s="24"/>
      <c r="Y235" s="15"/>
      <c r="Z235" s="15"/>
      <c r="AA235" s="24"/>
      <c r="AB235" s="24"/>
      <c r="AC235" s="24"/>
      <c r="AD235" s="24"/>
      <c r="AE235" s="24"/>
      <c r="AF235" s="24"/>
      <c r="AG235" s="24"/>
      <c r="AH235" s="24"/>
    </row>
    <row r="236" spans="1:34" ht="75" x14ac:dyDescent="0.25">
      <c r="A236" s="24" t="str">
        <f>HYPERLINK("https://www.cpso.on.ca/DoctorDetails/Azaad-Kassam/0216399-81688","Kassam, Azaad")</f>
        <v>Kassam, Azaad</v>
      </c>
      <c r="B236" s="25" t="s">
        <v>2692</v>
      </c>
      <c r="C236" s="24" t="s">
        <v>2693</v>
      </c>
      <c r="D236" s="24" t="s">
        <v>2694</v>
      </c>
      <c r="E236" s="24" t="s">
        <v>29</v>
      </c>
      <c r="F236" s="24" t="s">
        <v>30</v>
      </c>
      <c r="G236" s="24" t="s">
        <v>31</v>
      </c>
      <c r="H236" s="24" t="s">
        <v>2695</v>
      </c>
      <c r="I236" s="24" t="s">
        <v>2696</v>
      </c>
      <c r="J236" s="24" t="s">
        <v>2697</v>
      </c>
      <c r="K236" s="24" t="s">
        <v>2698</v>
      </c>
      <c r="L236" s="24" t="s">
        <v>84</v>
      </c>
      <c r="M236" s="15" t="s">
        <v>2699</v>
      </c>
      <c r="N236" s="15"/>
      <c r="O236" s="15" t="s">
        <v>2700</v>
      </c>
      <c r="P236" s="15" t="s">
        <v>288</v>
      </c>
      <c r="Q236" s="15"/>
      <c r="R236" s="15" t="s">
        <v>2701</v>
      </c>
      <c r="S236" s="24" t="s">
        <v>39</v>
      </c>
      <c r="T236" s="24" t="s">
        <v>39</v>
      </c>
      <c r="U236" s="24" t="s">
        <v>39</v>
      </c>
      <c r="V236" s="24" t="s">
        <v>39</v>
      </c>
      <c r="W236" s="24" t="s">
        <v>2702</v>
      </c>
      <c r="X236" s="24" t="s">
        <v>2703</v>
      </c>
      <c r="Y236" s="15" t="s">
        <v>2704</v>
      </c>
      <c r="Z236" s="15" t="s">
        <v>2705</v>
      </c>
      <c r="AA236" s="24"/>
      <c r="AB236" s="24"/>
      <c r="AC236" s="24"/>
      <c r="AD236" s="24"/>
      <c r="AE236" s="24"/>
      <c r="AF236" s="24"/>
      <c r="AG236" s="24"/>
      <c r="AH236" s="24"/>
    </row>
    <row r="237" spans="1:34" ht="120" x14ac:dyDescent="0.25">
      <c r="A237" s="24" t="str">
        <f>HYPERLINK("https://www.cpso.on.ca/DoctorDetails/Azadeh-ZangenehKazemi/0272748-96098","Zangeneh-Kazemi, Azadeh")</f>
        <v>Zangeneh-Kazemi, Azadeh</v>
      </c>
      <c r="B237" s="25" t="s">
        <v>2706</v>
      </c>
      <c r="C237" s="24" t="s">
        <v>1266</v>
      </c>
      <c r="D237" s="24" t="s">
        <v>545</v>
      </c>
      <c r="E237" s="24" t="s">
        <v>29</v>
      </c>
      <c r="F237" s="24" t="s">
        <v>47</v>
      </c>
      <c r="G237" s="24" t="s">
        <v>2579</v>
      </c>
      <c r="H237" s="24" t="s">
        <v>2707</v>
      </c>
      <c r="I237" s="24" t="s">
        <v>2708</v>
      </c>
      <c r="J237" s="24" t="s">
        <v>2709</v>
      </c>
      <c r="K237" s="24" t="s">
        <v>725</v>
      </c>
      <c r="L237" s="24" t="s">
        <v>184</v>
      </c>
      <c r="M237" s="15"/>
      <c r="N237" s="15"/>
      <c r="O237" s="15" t="s">
        <v>2710</v>
      </c>
      <c r="P237" s="15" t="s">
        <v>550</v>
      </c>
      <c r="Q237" s="15" t="s">
        <v>2711</v>
      </c>
      <c r="R237" s="15" t="s">
        <v>2712</v>
      </c>
      <c r="S237" s="24" t="s">
        <v>39</v>
      </c>
      <c r="T237" s="24" t="s">
        <v>39</v>
      </c>
      <c r="U237" s="24" t="s">
        <v>39</v>
      </c>
      <c r="V237" s="24" t="s">
        <v>39</v>
      </c>
      <c r="W237" s="24"/>
      <c r="X237" s="24"/>
      <c r="Y237" s="15"/>
      <c r="Z237" s="15"/>
      <c r="AA237" s="24"/>
      <c r="AB237" s="24"/>
      <c r="AC237" s="24"/>
      <c r="AD237" s="24"/>
      <c r="AE237" s="24"/>
      <c r="AF237" s="24"/>
      <c r="AG237" s="24"/>
      <c r="AH237" s="24"/>
    </row>
    <row r="238" spans="1:34" ht="75" x14ac:dyDescent="0.25">
      <c r="A238" s="24" t="str">
        <f>HYPERLINK("https://www.cpso.on.ca/DoctorDetails/Azizul-Haque/0242425-86867","Haque, Azizul")</f>
        <v>Haque, Azizul</v>
      </c>
      <c r="B238" s="25" t="s">
        <v>2713</v>
      </c>
      <c r="C238" s="24" t="s">
        <v>1115</v>
      </c>
      <c r="D238" s="24" t="s">
        <v>1594</v>
      </c>
      <c r="E238" s="24" t="s">
        <v>29</v>
      </c>
      <c r="F238" s="24" t="s">
        <v>30</v>
      </c>
      <c r="G238" s="24" t="s">
        <v>31</v>
      </c>
      <c r="H238" s="24" t="s">
        <v>2714</v>
      </c>
      <c r="I238" s="24" t="s">
        <v>2715</v>
      </c>
      <c r="J238" s="24" t="s">
        <v>2716</v>
      </c>
      <c r="K238" s="24" t="s">
        <v>2717</v>
      </c>
      <c r="L238" s="24" t="s">
        <v>135</v>
      </c>
      <c r="M238" s="15" t="s">
        <v>2718</v>
      </c>
      <c r="N238" s="15"/>
      <c r="O238" s="15" t="s">
        <v>2389</v>
      </c>
      <c r="P238" s="15" t="s">
        <v>1074</v>
      </c>
      <c r="Q238" s="15" t="s">
        <v>2719</v>
      </c>
      <c r="R238" s="15" t="s">
        <v>1602</v>
      </c>
      <c r="S238" s="24" t="s">
        <v>39</v>
      </c>
      <c r="T238" s="24" t="s">
        <v>39</v>
      </c>
      <c r="U238" s="24" t="s">
        <v>39</v>
      </c>
      <c r="V238" s="24" t="s">
        <v>39</v>
      </c>
      <c r="W238" s="24" t="s">
        <v>2720</v>
      </c>
      <c r="X238" s="24" t="s">
        <v>2721</v>
      </c>
      <c r="Y238" s="15" t="s">
        <v>2722</v>
      </c>
      <c r="Z238" s="15" t="s">
        <v>2723</v>
      </c>
      <c r="AA238" s="24"/>
      <c r="AB238" s="24"/>
      <c r="AC238" s="24"/>
      <c r="AD238" s="24"/>
      <c r="AE238" s="24"/>
      <c r="AF238" s="24"/>
      <c r="AG238" s="24"/>
      <c r="AH238" s="24"/>
    </row>
    <row r="239" spans="1:34" ht="90" x14ac:dyDescent="0.25">
      <c r="A239" s="24" t="str">
        <f>HYPERLINK("https://www.cpso.on.ca/DoctorDetails/Azmeh-Shahid/0234839-85517","Shahid, Azmeh")</f>
        <v>Shahid, Azmeh</v>
      </c>
      <c r="B239" s="25" t="s">
        <v>2724</v>
      </c>
      <c r="C239" s="24" t="s">
        <v>2725</v>
      </c>
      <c r="D239" s="24" t="s">
        <v>2726</v>
      </c>
      <c r="E239" s="24" t="s">
        <v>29</v>
      </c>
      <c r="F239" s="24" t="s">
        <v>47</v>
      </c>
      <c r="G239" s="24" t="s">
        <v>1445</v>
      </c>
      <c r="H239" s="24" t="s">
        <v>2727</v>
      </c>
      <c r="I239" s="24" t="s">
        <v>2728</v>
      </c>
      <c r="J239" s="24" t="s">
        <v>2729</v>
      </c>
      <c r="K239" s="24"/>
      <c r="L239" s="24" t="s">
        <v>52</v>
      </c>
      <c r="M239" s="15" t="s">
        <v>2730</v>
      </c>
      <c r="N239" s="15"/>
      <c r="O239" s="15" t="s">
        <v>2731</v>
      </c>
      <c r="P239" s="15" t="s">
        <v>2732</v>
      </c>
      <c r="Q239" s="15" t="s">
        <v>2733</v>
      </c>
      <c r="R239" s="15" t="s">
        <v>2734</v>
      </c>
      <c r="S239" s="24" t="s">
        <v>71</v>
      </c>
      <c r="T239" s="24" t="s">
        <v>39</v>
      </c>
      <c r="U239" s="24" t="s">
        <v>39</v>
      </c>
      <c r="V239" s="24" t="s">
        <v>39</v>
      </c>
      <c r="W239" s="24" t="s">
        <v>2735</v>
      </c>
      <c r="X239" s="24" t="s">
        <v>2736</v>
      </c>
      <c r="Y239" s="15" t="s">
        <v>2737</v>
      </c>
      <c r="Z239" s="15" t="s">
        <v>2738</v>
      </c>
      <c r="AA239" s="24" t="s">
        <v>2739</v>
      </c>
      <c r="AB239" s="24" t="s">
        <v>2740</v>
      </c>
      <c r="AC239" s="24" t="s">
        <v>2741</v>
      </c>
      <c r="AD239" s="24" t="s">
        <v>2742</v>
      </c>
      <c r="AE239" s="24"/>
      <c r="AF239" s="24"/>
      <c r="AG239" s="24"/>
      <c r="AH239" s="24"/>
    </row>
    <row r="240" spans="1:34" ht="75" x14ac:dyDescent="0.25">
      <c r="A240" s="24" t="str">
        <f>HYPERLINK("https://www.cpso.on.ca/DoctorDetails/Babak-Abadi/0053129-67093","Abadi, Babak")</f>
        <v>Abadi, Babak</v>
      </c>
      <c r="B240" s="25" t="s">
        <v>2743</v>
      </c>
      <c r="C240" s="24" t="s">
        <v>2744</v>
      </c>
      <c r="D240" s="24" t="s">
        <v>2745</v>
      </c>
      <c r="E240" s="24" t="s">
        <v>29</v>
      </c>
      <c r="F240" s="24" t="s">
        <v>30</v>
      </c>
      <c r="G240" s="24" t="s">
        <v>31</v>
      </c>
      <c r="H240" s="24" t="s">
        <v>2746</v>
      </c>
      <c r="I240" s="24" t="s">
        <v>2747</v>
      </c>
      <c r="J240" s="24" t="s">
        <v>2748</v>
      </c>
      <c r="K240" s="24" t="s">
        <v>1701</v>
      </c>
      <c r="L240" s="24" t="s">
        <v>52</v>
      </c>
      <c r="M240" s="15"/>
      <c r="N240" s="15"/>
      <c r="O240" s="15"/>
      <c r="P240" s="15" t="s">
        <v>1330</v>
      </c>
      <c r="Q240" s="15" t="s">
        <v>2749</v>
      </c>
      <c r="R240" s="15" t="s">
        <v>2750</v>
      </c>
      <c r="S240" s="24" t="s">
        <v>39</v>
      </c>
      <c r="T240" s="24" t="s">
        <v>39</v>
      </c>
      <c r="U240" s="24" t="s">
        <v>39</v>
      </c>
      <c r="V240" s="24" t="s">
        <v>39</v>
      </c>
      <c r="W240" s="24" t="s">
        <v>2751</v>
      </c>
      <c r="X240" s="24" t="s">
        <v>2752</v>
      </c>
      <c r="Y240" s="15" t="s">
        <v>2753</v>
      </c>
      <c r="Z240" s="15" t="s">
        <v>2754</v>
      </c>
      <c r="AA240" s="24"/>
      <c r="AB240" s="24"/>
      <c r="AC240" s="24"/>
      <c r="AD240" s="24"/>
      <c r="AE240" s="24"/>
      <c r="AF240" s="24"/>
      <c r="AG240" s="24"/>
      <c r="AH240" s="24"/>
    </row>
    <row r="241" spans="1:34" ht="45" x14ac:dyDescent="0.25">
      <c r="A241" s="24" t="str">
        <f>HYPERLINK("https://www.cpso.on.ca/DoctorDetails/Badarunisa-Begum-Khan/0037401-51377","Khan, Badarunisa Begum")</f>
        <v>Khan, Badarunisa Begum</v>
      </c>
      <c r="B241" s="25" t="s">
        <v>2755</v>
      </c>
      <c r="C241" s="24" t="s">
        <v>2000</v>
      </c>
      <c r="D241" s="24" t="s">
        <v>2756</v>
      </c>
      <c r="E241" s="24" t="s">
        <v>29</v>
      </c>
      <c r="F241" s="24" t="s">
        <v>47</v>
      </c>
      <c r="G241" s="24" t="s">
        <v>2757</v>
      </c>
      <c r="H241" s="24" t="s">
        <v>2758</v>
      </c>
      <c r="I241" s="24" t="s">
        <v>2759</v>
      </c>
      <c r="J241" s="24" t="s">
        <v>2760</v>
      </c>
      <c r="K241" s="24" t="s">
        <v>2761</v>
      </c>
      <c r="L241" s="24" t="s">
        <v>52</v>
      </c>
      <c r="M241" s="15" t="s">
        <v>2762</v>
      </c>
      <c r="N241" s="15"/>
      <c r="O241" s="15"/>
      <c r="P241" s="15" t="s">
        <v>316</v>
      </c>
      <c r="Q241" s="15"/>
      <c r="R241" s="15" t="s">
        <v>2763</v>
      </c>
      <c r="S241" s="24" t="s">
        <v>39</v>
      </c>
      <c r="T241" s="24" t="s">
        <v>39</v>
      </c>
      <c r="U241" s="24" t="s">
        <v>39</v>
      </c>
      <c r="V241" s="24" t="s">
        <v>39</v>
      </c>
      <c r="W241" s="24" t="s">
        <v>2764</v>
      </c>
      <c r="X241" s="24" t="s">
        <v>2765</v>
      </c>
      <c r="Y241" s="15" t="s">
        <v>2766</v>
      </c>
      <c r="Z241" s="15" t="s">
        <v>2767</v>
      </c>
      <c r="AA241" s="24"/>
      <c r="AB241" s="24"/>
      <c r="AC241" s="24"/>
      <c r="AD241" s="24"/>
      <c r="AE241" s="24"/>
      <c r="AF241" s="24"/>
      <c r="AG241" s="24"/>
      <c r="AH241" s="24"/>
    </row>
    <row r="242" spans="1:34" ht="45" x14ac:dyDescent="0.25">
      <c r="A242" s="24" t="str">
        <f>HYPERLINK("https://www.cpso.on.ca/DoctorDetails/Bakri-Fawzi-Abdulrahman-Elymani/0315242-111839","Elymani, Bakri Fawzi Abdulrahman")</f>
        <v>Elymani, Bakri Fawzi Abdulrahman</v>
      </c>
      <c r="B242" s="25" t="s">
        <v>2768</v>
      </c>
      <c r="C242" s="24" t="s">
        <v>2769</v>
      </c>
      <c r="D242" s="24" t="s">
        <v>2770</v>
      </c>
      <c r="E242" s="24" t="s">
        <v>29</v>
      </c>
      <c r="F242" s="24" t="s">
        <v>30</v>
      </c>
      <c r="G242" s="24" t="s">
        <v>105</v>
      </c>
      <c r="H242" s="24" t="s">
        <v>2771</v>
      </c>
      <c r="I242" s="24" t="s">
        <v>2772</v>
      </c>
      <c r="J242" s="24" t="s">
        <v>2773</v>
      </c>
      <c r="K242" s="24"/>
      <c r="L242" s="24" t="s">
        <v>152</v>
      </c>
      <c r="M242" s="15" t="s">
        <v>2774</v>
      </c>
      <c r="N242" s="15"/>
      <c r="O242" s="15"/>
      <c r="P242" s="15" t="s">
        <v>2775</v>
      </c>
      <c r="Q242" s="15"/>
      <c r="R242" s="15" t="s">
        <v>2776</v>
      </c>
      <c r="S242" s="24" t="s">
        <v>71</v>
      </c>
      <c r="T242" s="24" t="s">
        <v>39</v>
      </c>
      <c r="U242" s="24" t="s">
        <v>39</v>
      </c>
      <c r="V242" s="24" t="s">
        <v>39</v>
      </c>
      <c r="W242" s="24"/>
      <c r="X242" s="24"/>
      <c r="Y242" s="15"/>
      <c r="Z242" s="15"/>
      <c r="AA242" s="24"/>
      <c r="AB242" s="24"/>
      <c r="AC242" s="24"/>
      <c r="AD242" s="24"/>
      <c r="AE242" s="24"/>
      <c r="AF242" s="24"/>
      <c r="AG242" s="24"/>
      <c r="AH242" s="24"/>
    </row>
    <row r="243" spans="1:34" ht="90" x14ac:dyDescent="0.25">
      <c r="A243" s="24" t="str">
        <f>HYPERLINK("https://www.cpso.on.ca/DoctorDetails/Balaji-Gopidasan/0274359-97225","Gopidasan, Balaji")</f>
        <v>Gopidasan, Balaji</v>
      </c>
      <c r="B243" s="25" t="s">
        <v>2777</v>
      </c>
      <c r="C243" s="24" t="s">
        <v>2778</v>
      </c>
      <c r="D243" s="24" t="s">
        <v>2779</v>
      </c>
      <c r="E243" s="24" t="s">
        <v>29</v>
      </c>
      <c r="F243" s="24" t="s">
        <v>30</v>
      </c>
      <c r="G243" s="24" t="s">
        <v>2255</v>
      </c>
      <c r="H243" s="24" t="s">
        <v>2780</v>
      </c>
      <c r="I243" s="24" t="s">
        <v>2781</v>
      </c>
      <c r="J243" s="24" t="s">
        <v>2782</v>
      </c>
      <c r="K243" s="24" t="s">
        <v>2783</v>
      </c>
      <c r="L243" s="24" t="s">
        <v>65</v>
      </c>
      <c r="M243" s="15" t="s">
        <v>2784</v>
      </c>
      <c r="N243" s="15" t="s">
        <v>2018</v>
      </c>
      <c r="O243" s="15" t="s">
        <v>2785</v>
      </c>
      <c r="P243" s="15" t="s">
        <v>2786</v>
      </c>
      <c r="Q243" s="15"/>
      <c r="R243" s="15" t="s">
        <v>2787</v>
      </c>
      <c r="S243" s="24" t="s">
        <v>71</v>
      </c>
      <c r="T243" s="24" t="s">
        <v>39</v>
      </c>
      <c r="U243" s="24" t="s">
        <v>39</v>
      </c>
      <c r="V243" s="24" t="s">
        <v>39</v>
      </c>
      <c r="W243" s="24" t="s">
        <v>2788</v>
      </c>
      <c r="X243" s="24" t="s">
        <v>2789</v>
      </c>
      <c r="Y243" s="15" t="s">
        <v>2790</v>
      </c>
      <c r="Z243" s="15" t="s">
        <v>2791</v>
      </c>
      <c r="AA243" s="24"/>
      <c r="AB243" s="24"/>
      <c r="AC243" s="24"/>
      <c r="AD243" s="24"/>
      <c r="AE243" s="24"/>
      <c r="AF243" s="24"/>
      <c r="AG243" s="24"/>
      <c r="AH243" s="24"/>
    </row>
    <row r="244" spans="1:34" x14ac:dyDescent="0.25">
      <c r="A244" s="24" t="str">
        <f>HYPERLINK("https://www.cpso.on.ca/DoctorDetails/Balbhadar-Dev-Sood/0024197-29019","Sood, Balbhadar Dev")</f>
        <v>Sood, Balbhadar Dev</v>
      </c>
      <c r="B244" s="25" t="s">
        <v>2792</v>
      </c>
      <c r="C244" s="24" t="s">
        <v>2793</v>
      </c>
      <c r="D244" s="24" t="s">
        <v>2794</v>
      </c>
      <c r="E244" s="24" t="s">
        <v>29</v>
      </c>
      <c r="F244" s="24" t="s">
        <v>30</v>
      </c>
      <c r="G244" s="24" t="s">
        <v>61</v>
      </c>
      <c r="H244" s="24" t="s">
        <v>2795</v>
      </c>
      <c r="I244" s="24" t="s">
        <v>2796</v>
      </c>
      <c r="J244" s="24" t="s">
        <v>2797</v>
      </c>
      <c r="K244" s="24" t="s">
        <v>2798</v>
      </c>
      <c r="L244" s="24" t="s">
        <v>52</v>
      </c>
      <c r="M244" s="15"/>
      <c r="N244" s="15"/>
      <c r="O244" s="15"/>
      <c r="P244" s="15" t="s">
        <v>2799</v>
      </c>
      <c r="Q244" s="15"/>
      <c r="R244" s="15" t="s">
        <v>2800</v>
      </c>
      <c r="S244" s="24" t="s">
        <v>39</v>
      </c>
      <c r="T244" s="24" t="s">
        <v>39</v>
      </c>
      <c r="U244" s="24" t="s">
        <v>39</v>
      </c>
      <c r="V244" s="24" t="s">
        <v>39</v>
      </c>
      <c r="W244" s="24" t="s">
        <v>2801</v>
      </c>
      <c r="X244" s="24" t="s">
        <v>2802</v>
      </c>
      <c r="Y244" s="15"/>
      <c r="Z244" s="15"/>
      <c r="AA244" s="24"/>
      <c r="AB244" s="24"/>
      <c r="AC244" s="24"/>
      <c r="AD244" s="24"/>
      <c r="AE244" s="24"/>
      <c r="AF244" s="24"/>
      <c r="AG244" s="24"/>
      <c r="AH244" s="24"/>
    </row>
    <row r="245" spans="1:34" ht="60" x14ac:dyDescent="0.25">
      <c r="A245" s="24" t="str">
        <f>HYPERLINK("https://www.cpso.on.ca/DoctorDetails/Barbara-Ann-Jones/0030558-42538","Jones, Barbara Ann")</f>
        <v>Jones, Barbara Ann</v>
      </c>
      <c r="B245" s="25" t="s">
        <v>2803</v>
      </c>
      <c r="C245" s="24" t="s">
        <v>704</v>
      </c>
      <c r="D245" s="24" t="s">
        <v>2804</v>
      </c>
      <c r="E245" s="24" t="s">
        <v>29</v>
      </c>
      <c r="F245" s="24" t="s">
        <v>47</v>
      </c>
      <c r="G245" s="24" t="s">
        <v>31</v>
      </c>
      <c r="H245" s="24" t="s">
        <v>2805</v>
      </c>
      <c r="I245" s="24" t="s">
        <v>107</v>
      </c>
      <c r="J245" s="24"/>
      <c r="K245" s="24"/>
      <c r="L245" s="24"/>
      <c r="M245" s="15"/>
      <c r="N245" s="15"/>
      <c r="O245" s="15" t="s">
        <v>2806</v>
      </c>
      <c r="P245" s="15" t="s">
        <v>808</v>
      </c>
      <c r="Q245" s="15"/>
      <c r="R245" s="15" t="s">
        <v>2807</v>
      </c>
      <c r="S245" s="24" t="s">
        <v>39</v>
      </c>
      <c r="T245" s="24" t="s">
        <v>39</v>
      </c>
      <c r="U245" s="24" t="s">
        <v>39</v>
      </c>
      <c r="V245" s="24" t="s">
        <v>39</v>
      </c>
      <c r="W245" s="24" t="s">
        <v>2808</v>
      </c>
      <c r="X245" s="24" t="s">
        <v>2809</v>
      </c>
      <c r="Y245" s="15"/>
      <c r="Z245" s="15"/>
      <c r="AA245" s="24"/>
      <c r="AB245" s="24"/>
      <c r="AC245" s="24"/>
      <c r="AD245" s="24"/>
      <c r="AE245" s="24"/>
      <c r="AF245" s="24"/>
      <c r="AG245" s="24"/>
      <c r="AH245" s="24"/>
    </row>
    <row r="246" spans="1:34" ht="45" x14ac:dyDescent="0.25">
      <c r="A246" s="24" t="str">
        <f>HYPERLINK("https://www.cpso.on.ca/DoctorDetails/Barbara-Ann-Maddigan/0056111-67700","Maddigan, Barbara Ann")</f>
        <v>Maddigan, Barbara Ann</v>
      </c>
      <c r="B246" s="25" t="s">
        <v>2810</v>
      </c>
      <c r="C246" s="24" t="s">
        <v>2811</v>
      </c>
      <c r="D246" s="24" t="s">
        <v>2812</v>
      </c>
      <c r="E246" s="24" t="s">
        <v>29</v>
      </c>
      <c r="F246" s="24" t="s">
        <v>47</v>
      </c>
      <c r="G246" s="24" t="s">
        <v>31</v>
      </c>
      <c r="H246" s="24" t="s">
        <v>2813</v>
      </c>
      <c r="I246" s="24" t="s">
        <v>2814</v>
      </c>
      <c r="J246" s="24" t="s">
        <v>2815</v>
      </c>
      <c r="K246" s="24"/>
      <c r="L246" s="24"/>
      <c r="M246" s="15"/>
      <c r="N246" s="15" t="s">
        <v>167</v>
      </c>
      <c r="O246" s="15"/>
      <c r="P246" s="15" t="s">
        <v>2816</v>
      </c>
      <c r="Q246" s="15" t="s">
        <v>2817</v>
      </c>
      <c r="R246" s="15" t="s">
        <v>2818</v>
      </c>
      <c r="S246" s="24" t="s">
        <v>39</v>
      </c>
      <c r="T246" s="24" t="s">
        <v>39</v>
      </c>
      <c r="U246" s="24" t="s">
        <v>39</v>
      </c>
      <c r="V246" s="24" t="s">
        <v>39</v>
      </c>
      <c r="W246" s="24"/>
      <c r="X246" s="24"/>
      <c r="Y246" s="15"/>
      <c r="Z246" s="15"/>
      <c r="AA246" s="24"/>
      <c r="AB246" s="24"/>
      <c r="AC246" s="24"/>
      <c r="AD246" s="24"/>
      <c r="AE246" s="24"/>
      <c r="AF246" s="24"/>
      <c r="AG246" s="24"/>
      <c r="AH246" s="24"/>
    </row>
    <row r="247" spans="1:34" ht="75" x14ac:dyDescent="0.25">
      <c r="A247" s="24" t="str">
        <f>HYPERLINK("https://www.cpso.on.ca/DoctorDetails/Barbara-Ann-YuSiao/0231839-85801","Yu-Siao, Barbara Ann")</f>
        <v>Yu-Siao, Barbara Ann</v>
      </c>
      <c r="B247" s="25" t="s">
        <v>2819</v>
      </c>
      <c r="C247" s="24" t="s">
        <v>2820</v>
      </c>
      <c r="D247" s="24" t="s">
        <v>2821</v>
      </c>
      <c r="E247" s="24" t="s">
        <v>29</v>
      </c>
      <c r="F247" s="24" t="s">
        <v>47</v>
      </c>
      <c r="G247" s="24" t="s">
        <v>79</v>
      </c>
      <c r="H247" s="24" t="s">
        <v>2822</v>
      </c>
      <c r="I247" s="24" t="s">
        <v>2823</v>
      </c>
      <c r="J247" s="24" t="s">
        <v>2824</v>
      </c>
      <c r="K247" s="24" t="s">
        <v>2825</v>
      </c>
      <c r="L247" s="24" t="s">
        <v>184</v>
      </c>
      <c r="M247" s="15" t="s">
        <v>2826</v>
      </c>
      <c r="N247" s="15"/>
      <c r="O247" s="15"/>
      <c r="P247" s="15" t="s">
        <v>2827</v>
      </c>
      <c r="Q247" s="15"/>
      <c r="R247" s="15" t="s">
        <v>2828</v>
      </c>
      <c r="S247" s="24" t="s">
        <v>39</v>
      </c>
      <c r="T247" s="24" t="s">
        <v>39</v>
      </c>
      <c r="U247" s="24" t="s">
        <v>39</v>
      </c>
      <c r="V247" s="24" t="s">
        <v>39</v>
      </c>
      <c r="W247" s="24" t="s">
        <v>2829</v>
      </c>
      <c r="X247" s="24" t="s">
        <v>2830</v>
      </c>
      <c r="Y247" s="15" t="s">
        <v>2831</v>
      </c>
      <c r="Z247" s="15" t="s">
        <v>2832</v>
      </c>
      <c r="AA247" s="24"/>
      <c r="AB247" s="24"/>
      <c r="AC247" s="24"/>
      <c r="AD247" s="24"/>
      <c r="AE247" s="24"/>
      <c r="AF247" s="24"/>
      <c r="AG247" s="24"/>
      <c r="AH247" s="24"/>
    </row>
    <row r="248" spans="1:34" ht="30" x14ac:dyDescent="0.25">
      <c r="A248" s="24" t="str">
        <f>HYPERLINK("https://www.cpso.on.ca/DoctorDetails/Barbara-Jane-Dorian/0025566-30389","Dorian, Barbara Jane")</f>
        <v>Dorian, Barbara Jane</v>
      </c>
      <c r="B248" s="25" t="s">
        <v>2833</v>
      </c>
      <c r="C248" s="24" t="s">
        <v>2834</v>
      </c>
      <c r="D248" s="24" t="s">
        <v>2835</v>
      </c>
      <c r="E248" s="24" t="s">
        <v>29</v>
      </c>
      <c r="F248" s="24" t="s">
        <v>47</v>
      </c>
      <c r="G248" s="24" t="s">
        <v>31</v>
      </c>
      <c r="H248" s="24" t="s">
        <v>2836</v>
      </c>
      <c r="I248" s="24" t="s">
        <v>2837</v>
      </c>
      <c r="J248" s="24" t="s">
        <v>2838</v>
      </c>
      <c r="K248" s="24" t="s">
        <v>2839</v>
      </c>
      <c r="L248" s="24" t="s">
        <v>52</v>
      </c>
      <c r="M248" s="15"/>
      <c r="N248" s="15"/>
      <c r="O248" s="15"/>
      <c r="P248" s="15" t="s">
        <v>745</v>
      </c>
      <c r="Q248" s="15"/>
      <c r="R248" s="15" t="s">
        <v>2840</v>
      </c>
      <c r="S248" s="24" t="s">
        <v>39</v>
      </c>
      <c r="T248" s="24" t="s">
        <v>39</v>
      </c>
      <c r="U248" s="24" t="s">
        <v>39</v>
      </c>
      <c r="V248" s="24" t="s">
        <v>39</v>
      </c>
      <c r="W248" s="24" t="s">
        <v>2841</v>
      </c>
      <c r="X248" s="24" t="s">
        <v>2842</v>
      </c>
      <c r="Y248" s="15" t="s">
        <v>2843</v>
      </c>
      <c r="Z248" s="15" t="s">
        <v>2844</v>
      </c>
      <c r="AA248" s="24"/>
      <c r="AB248" s="24"/>
      <c r="AC248" s="24"/>
      <c r="AD248" s="24"/>
      <c r="AE248" s="24"/>
      <c r="AF248" s="24"/>
      <c r="AG248" s="24"/>
      <c r="AH248" s="24"/>
    </row>
    <row r="249" spans="1:34" ht="75" x14ac:dyDescent="0.25">
      <c r="A249" s="24" t="str">
        <f>HYPERLINK("https://www.cpso.on.ca/DoctorDetails/Barbara-Marian-Crawford/0158307-74004","Crawford, Barbara Marian")</f>
        <v>Crawford, Barbara Marian</v>
      </c>
      <c r="B249" s="25" t="s">
        <v>2845</v>
      </c>
      <c r="C249" s="24" t="s">
        <v>280</v>
      </c>
      <c r="D249" s="24" t="s">
        <v>281</v>
      </c>
      <c r="E249" s="24" t="s">
        <v>29</v>
      </c>
      <c r="F249" s="24" t="s">
        <v>47</v>
      </c>
      <c r="G249" s="24" t="s">
        <v>31</v>
      </c>
      <c r="H249" s="24" t="s">
        <v>2846</v>
      </c>
      <c r="I249" s="24" t="s">
        <v>2847</v>
      </c>
      <c r="J249" s="24" t="s">
        <v>1841</v>
      </c>
      <c r="K249" s="24"/>
      <c r="L249" s="24" t="s">
        <v>36</v>
      </c>
      <c r="M249" s="15"/>
      <c r="N249" s="15"/>
      <c r="O249" s="15" t="s">
        <v>1760</v>
      </c>
      <c r="P249" s="15" t="s">
        <v>288</v>
      </c>
      <c r="Q249" s="15" t="s">
        <v>289</v>
      </c>
      <c r="R249" s="15" t="s">
        <v>290</v>
      </c>
      <c r="S249" s="24" t="s">
        <v>39</v>
      </c>
      <c r="T249" s="24" t="s">
        <v>39</v>
      </c>
      <c r="U249" s="24" t="s">
        <v>39</v>
      </c>
      <c r="V249" s="24" t="s">
        <v>39</v>
      </c>
      <c r="W249" s="24"/>
      <c r="X249" s="24"/>
      <c r="Y249" s="15"/>
      <c r="Z249" s="15"/>
      <c r="AA249" s="24"/>
      <c r="AB249" s="24"/>
      <c r="AC249" s="24"/>
      <c r="AD249" s="24"/>
      <c r="AE249" s="24"/>
      <c r="AF249" s="24"/>
      <c r="AG249" s="24"/>
      <c r="AH249" s="24"/>
    </row>
    <row r="250" spans="1:34" ht="60" x14ac:dyDescent="0.25">
      <c r="A250" s="24" t="str">
        <f>HYPERLINK("https://www.cpso.on.ca/DoctorDetails/Barbara-McNichol-Ross/0028683-33506","Ross, Barbara McNichol")</f>
        <v>Ross, Barbara McNichol</v>
      </c>
      <c r="B250" s="25" t="s">
        <v>2848</v>
      </c>
      <c r="C250" s="24" t="s">
        <v>2849</v>
      </c>
      <c r="D250" s="24" t="s">
        <v>2850</v>
      </c>
      <c r="E250" s="24" t="s">
        <v>2851</v>
      </c>
      <c r="F250" s="24" t="s">
        <v>47</v>
      </c>
      <c r="G250" s="24" t="s">
        <v>31</v>
      </c>
      <c r="H250" s="24" t="s">
        <v>2852</v>
      </c>
      <c r="I250" s="24" t="s">
        <v>107</v>
      </c>
      <c r="J250" s="24"/>
      <c r="K250" s="24"/>
      <c r="L250" s="24"/>
      <c r="M250" s="15"/>
      <c r="N250" s="15" t="s">
        <v>2853</v>
      </c>
      <c r="O250" s="15"/>
      <c r="P250" s="15" t="s">
        <v>1877</v>
      </c>
      <c r="Q250" s="15" t="s">
        <v>2854</v>
      </c>
      <c r="R250" s="15" t="s">
        <v>2855</v>
      </c>
      <c r="S250" s="24" t="s">
        <v>39</v>
      </c>
      <c r="T250" s="24" t="s">
        <v>39</v>
      </c>
      <c r="U250" s="24" t="s">
        <v>39</v>
      </c>
      <c r="V250" s="24" t="s">
        <v>39</v>
      </c>
      <c r="W250" s="24" t="s">
        <v>2856</v>
      </c>
      <c r="X250" s="24" t="s">
        <v>2857</v>
      </c>
      <c r="Y250" s="15"/>
      <c r="Z250" s="15"/>
      <c r="AA250" s="24"/>
      <c r="AB250" s="24"/>
      <c r="AC250" s="24"/>
      <c r="AD250" s="24"/>
      <c r="AE250" s="24"/>
      <c r="AF250" s="24"/>
      <c r="AG250" s="24"/>
      <c r="AH250" s="24"/>
    </row>
    <row r="251" spans="1:34" ht="60" x14ac:dyDescent="0.25">
      <c r="A251" s="24" t="str">
        <f>HYPERLINK("https://www.cpso.on.ca/DoctorDetails/Barbara-Schogt/0038512-52488","Schogt, Barbara")</f>
        <v>Schogt, Barbara</v>
      </c>
      <c r="B251" s="25" t="s">
        <v>2858</v>
      </c>
      <c r="C251" s="24" t="s">
        <v>2859</v>
      </c>
      <c r="D251" s="24" t="s">
        <v>2860</v>
      </c>
      <c r="E251" s="24" t="s">
        <v>29</v>
      </c>
      <c r="F251" s="24" t="s">
        <v>47</v>
      </c>
      <c r="G251" s="24" t="s">
        <v>31</v>
      </c>
      <c r="H251" s="24" t="s">
        <v>2861</v>
      </c>
      <c r="I251" s="24" t="s">
        <v>2862</v>
      </c>
      <c r="J251" s="24" t="s">
        <v>2863</v>
      </c>
      <c r="K251" s="24"/>
      <c r="L251" s="24" t="s">
        <v>52</v>
      </c>
      <c r="M251" s="15"/>
      <c r="N251" s="15"/>
      <c r="O251" s="15"/>
      <c r="P251" s="15" t="s">
        <v>2864</v>
      </c>
      <c r="Q251" s="15"/>
      <c r="R251" s="15" t="s">
        <v>2865</v>
      </c>
      <c r="S251" s="24" t="s">
        <v>39</v>
      </c>
      <c r="T251" s="24" t="s">
        <v>71</v>
      </c>
      <c r="U251" s="24" t="s">
        <v>39</v>
      </c>
      <c r="V251" s="24" t="s">
        <v>39</v>
      </c>
      <c r="W251" s="24"/>
      <c r="X251" s="24"/>
      <c r="Y251" s="15"/>
      <c r="Z251" s="15"/>
      <c r="AA251" s="24"/>
      <c r="AB251" s="24"/>
      <c r="AC251" s="24"/>
      <c r="AD251" s="24"/>
      <c r="AE251" s="24"/>
      <c r="AF251" s="24"/>
      <c r="AG251" s="24"/>
      <c r="AH251" s="24"/>
    </row>
    <row r="252" spans="1:34" ht="45" x14ac:dyDescent="0.25">
      <c r="A252" s="24" t="str">
        <f>HYPERLINK("https://www.cpso.on.ca/DoctorDetails/Barnaby-Emmanuel-Ahmed-Tamakloe/0038034-52010","Tamakloe, Barnaby Emmanuel Ahmed")</f>
        <v>Tamakloe, Barnaby Emmanuel Ahmed</v>
      </c>
      <c r="B252" s="25" t="s">
        <v>2866</v>
      </c>
      <c r="C252" s="24" t="s">
        <v>2867</v>
      </c>
      <c r="D252" s="24" t="s">
        <v>2868</v>
      </c>
      <c r="E252" s="24" t="s">
        <v>29</v>
      </c>
      <c r="F252" s="24" t="s">
        <v>30</v>
      </c>
      <c r="G252" s="24" t="s">
        <v>2869</v>
      </c>
      <c r="H252" s="24" t="s">
        <v>2870</v>
      </c>
      <c r="I252" s="24" t="s">
        <v>2871</v>
      </c>
      <c r="J252" s="24" t="s">
        <v>2872</v>
      </c>
      <c r="K252" s="24" t="s">
        <v>2873</v>
      </c>
      <c r="L252" s="24" t="s">
        <v>36</v>
      </c>
      <c r="M252" s="15" t="s">
        <v>2874</v>
      </c>
      <c r="N252" s="15"/>
      <c r="O252" s="15" t="s">
        <v>2875</v>
      </c>
      <c r="P252" s="15" t="s">
        <v>2876</v>
      </c>
      <c r="Q252" s="15"/>
      <c r="R252" s="15" t="s">
        <v>2877</v>
      </c>
      <c r="S252" s="24" t="s">
        <v>39</v>
      </c>
      <c r="T252" s="24" t="s">
        <v>39</v>
      </c>
      <c r="U252" s="24" t="s">
        <v>39</v>
      </c>
      <c r="V252" s="24" t="s">
        <v>39</v>
      </c>
      <c r="W252" s="24"/>
      <c r="X252" s="24"/>
      <c r="Y252" s="15"/>
      <c r="Z252" s="15"/>
      <c r="AA252" s="24"/>
      <c r="AB252" s="24"/>
      <c r="AC252" s="24"/>
      <c r="AD252" s="24"/>
      <c r="AE252" s="24"/>
      <c r="AF252" s="24"/>
      <c r="AG252" s="24"/>
      <c r="AH252" s="24"/>
    </row>
    <row r="253" spans="1:34" ht="60" x14ac:dyDescent="0.25">
      <c r="A253" s="24" t="str">
        <f>HYPERLINK("https://www.cpso.on.ca/DoctorDetails/Barry-Alan-Miller/0043793-57771","Miller, Barry Alan")</f>
        <v>Miller, Barry Alan</v>
      </c>
      <c r="B253" s="25" t="s">
        <v>2878</v>
      </c>
      <c r="C253" s="24" t="s">
        <v>2879</v>
      </c>
      <c r="D253" s="24" t="s">
        <v>2880</v>
      </c>
      <c r="E253" s="24" t="s">
        <v>29</v>
      </c>
      <c r="F253" s="24" t="s">
        <v>30</v>
      </c>
      <c r="G253" s="24" t="s">
        <v>31</v>
      </c>
      <c r="H253" s="24" t="s">
        <v>2836</v>
      </c>
      <c r="I253" s="24" t="s">
        <v>2881</v>
      </c>
      <c r="J253" s="24" t="s">
        <v>2882</v>
      </c>
      <c r="K253" s="24" t="s">
        <v>2883</v>
      </c>
      <c r="L253" s="24" t="s">
        <v>65</v>
      </c>
      <c r="M253" s="15"/>
      <c r="N253" s="15"/>
      <c r="O253" s="15" t="s">
        <v>2072</v>
      </c>
      <c r="P253" s="15" t="s">
        <v>2884</v>
      </c>
      <c r="Q253" s="15"/>
      <c r="R253" s="15" t="s">
        <v>2885</v>
      </c>
      <c r="S253" s="24" t="s">
        <v>39</v>
      </c>
      <c r="T253" s="24" t="s">
        <v>71</v>
      </c>
      <c r="U253" s="24" t="s">
        <v>39</v>
      </c>
      <c r="V253" s="24" t="s">
        <v>39</v>
      </c>
      <c r="W253" s="24" t="s">
        <v>2886</v>
      </c>
      <c r="X253" s="24" t="s">
        <v>2887</v>
      </c>
      <c r="Y253" s="15" t="s">
        <v>2888</v>
      </c>
      <c r="Z253" s="15" t="s">
        <v>2889</v>
      </c>
      <c r="AA253" s="24"/>
      <c r="AB253" s="24"/>
      <c r="AC253" s="24"/>
      <c r="AD253" s="24"/>
      <c r="AE253" s="24"/>
      <c r="AF253" s="24"/>
      <c r="AG253" s="24"/>
      <c r="AH253" s="24"/>
    </row>
    <row r="254" spans="1:34" ht="30" x14ac:dyDescent="0.25">
      <c r="A254" s="24" t="str">
        <f>HYPERLINK("https://www.cpso.on.ca/DoctorDetails/Barry-Allen-Martin/0020284-25072","Martin, Barry Allen")</f>
        <v>Martin, Barry Allen</v>
      </c>
      <c r="B254" s="25" t="s">
        <v>2890</v>
      </c>
      <c r="C254" s="24" t="s">
        <v>2891</v>
      </c>
      <c r="D254" s="24" t="s">
        <v>2892</v>
      </c>
      <c r="E254" s="24" t="s">
        <v>29</v>
      </c>
      <c r="F254" s="24" t="s">
        <v>30</v>
      </c>
      <c r="G254" s="24" t="s">
        <v>31</v>
      </c>
      <c r="H254" s="24" t="s">
        <v>2893</v>
      </c>
      <c r="I254" s="24" t="s">
        <v>2894</v>
      </c>
      <c r="J254" s="24" t="s">
        <v>2895</v>
      </c>
      <c r="K254" s="24" t="s">
        <v>2896</v>
      </c>
      <c r="L254" s="24" t="s">
        <v>52</v>
      </c>
      <c r="M254" s="15" t="s">
        <v>2897</v>
      </c>
      <c r="N254" s="15"/>
      <c r="O254" s="15" t="s">
        <v>2898</v>
      </c>
      <c r="P254" s="15" t="s">
        <v>2899</v>
      </c>
      <c r="Q254" s="15"/>
      <c r="R254" s="15" t="s">
        <v>2900</v>
      </c>
      <c r="S254" s="24" t="s">
        <v>39</v>
      </c>
      <c r="T254" s="24" t="s">
        <v>39</v>
      </c>
      <c r="U254" s="24" t="s">
        <v>39</v>
      </c>
      <c r="V254" s="24" t="s">
        <v>39</v>
      </c>
      <c r="W254" s="24"/>
      <c r="X254" s="24"/>
      <c r="Y254" s="15"/>
      <c r="Z254" s="15"/>
      <c r="AA254" s="24"/>
      <c r="AB254" s="24"/>
      <c r="AC254" s="24"/>
      <c r="AD254" s="24"/>
      <c r="AE254" s="24"/>
      <c r="AF254" s="24"/>
      <c r="AG254" s="24"/>
      <c r="AH254" s="24"/>
    </row>
    <row r="255" spans="1:34" ht="30" x14ac:dyDescent="0.25">
      <c r="A255" s="24" t="str">
        <f>HYPERLINK("https://www.cpso.on.ca/DoctorDetails/Barry-Joshua-Simon/0041519-55495","Simon, Barry Joshua")</f>
        <v>Simon, Barry Joshua</v>
      </c>
      <c r="B255" s="25" t="s">
        <v>2901</v>
      </c>
      <c r="C255" s="24" t="s">
        <v>2902</v>
      </c>
      <c r="D255" s="24" t="s">
        <v>2903</v>
      </c>
      <c r="E255" s="24" t="s">
        <v>29</v>
      </c>
      <c r="F255" s="24" t="s">
        <v>30</v>
      </c>
      <c r="G255" s="24" t="s">
        <v>31</v>
      </c>
      <c r="H255" s="24" t="s">
        <v>2904</v>
      </c>
      <c r="I255" s="24" t="s">
        <v>2905</v>
      </c>
      <c r="J255" s="24" t="s">
        <v>2906</v>
      </c>
      <c r="K255" s="24" t="s">
        <v>2907</v>
      </c>
      <c r="L255" s="24" t="s">
        <v>52</v>
      </c>
      <c r="M255" s="15"/>
      <c r="N255" s="15"/>
      <c r="O255" s="15" t="s">
        <v>1201</v>
      </c>
      <c r="P255" s="15" t="s">
        <v>2908</v>
      </c>
      <c r="Q255" s="15" t="s">
        <v>2909</v>
      </c>
      <c r="R255" s="15" t="s">
        <v>2910</v>
      </c>
      <c r="S255" s="24" t="s">
        <v>39</v>
      </c>
      <c r="T255" s="24" t="s">
        <v>39</v>
      </c>
      <c r="U255" s="24" t="s">
        <v>39</v>
      </c>
      <c r="V255" s="24" t="s">
        <v>39</v>
      </c>
      <c r="W255" s="24" t="s">
        <v>2911</v>
      </c>
      <c r="X255" s="24" t="s">
        <v>2912</v>
      </c>
      <c r="Y255" s="15"/>
      <c r="Z255" s="15"/>
      <c r="AA255" s="24"/>
      <c r="AB255" s="24"/>
      <c r="AC255" s="24"/>
      <c r="AD255" s="24"/>
      <c r="AE255" s="24"/>
      <c r="AF255" s="24"/>
      <c r="AG255" s="24"/>
      <c r="AH255" s="24"/>
    </row>
    <row r="256" spans="1:34" ht="30" x14ac:dyDescent="0.25">
      <c r="A256" s="24" t="str">
        <f>HYPERLINK("https://www.cpso.on.ca/DoctorDetails/Barry-Lewis-Reid-Gilbert/0026300-31123","Gilbert, Barry Lewis Reid")</f>
        <v>Gilbert, Barry Lewis Reid</v>
      </c>
      <c r="B256" s="25" t="s">
        <v>2913</v>
      </c>
      <c r="C256" s="24" t="s">
        <v>2914</v>
      </c>
      <c r="D256" s="24" t="s">
        <v>2915</v>
      </c>
      <c r="E256" s="24" t="s">
        <v>29</v>
      </c>
      <c r="F256" s="24" t="s">
        <v>30</v>
      </c>
      <c r="G256" s="24" t="s">
        <v>31</v>
      </c>
      <c r="H256" s="24" t="s">
        <v>2916</v>
      </c>
      <c r="I256" s="24" t="s">
        <v>2917</v>
      </c>
      <c r="J256" s="24" t="s">
        <v>2918</v>
      </c>
      <c r="K256" s="24"/>
      <c r="L256" s="24" t="s">
        <v>52</v>
      </c>
      <c r="M256" s="15" t="s">
        <v>2919</v>
      </c>
      <c r="N256" s="15"/>
      <c r="O256" s="15" t="s">
        <v>2920</v>
      </c>
      <c r="P256" s="15" t="s">
        <v>2416</v>
      </c>
      <c r="Q256" s="15" t="s">
        <v>2921</v>
      </c>
      <c r="R256" s="15" t="s">
        <v>2922</v>
      </c>
      <c r="S256" s="24" t="s">
        <v>39</v>
      </c>
      <c r="T256" s="24" t="s">
        <v>39</v>
      </c>
      <c r="U256" s="24" t="s">
        <v>39</v>
      </c>
      <c r="V256" s="24" t="s">
        <v>39</v>
      </c>
      <c r="W256" s="24"/>
      <c r="X256" s="24"/>
      <c r="Y256" s="15"/>
      <c r="Z256" s="15"/>
      <c r="AA256" s="24"/>
      <c r="AB256" s="24"/>
      <c r="AC256" s="24"/>
      <c r="AD256" s="24"/>
      <c r="AE256" s="24"/>
      <c r="AF256" s="24"/>
      <c r="AG256" s="24"/>
      <c r="AH256" s="24"/>
    </row>
    <row r="257" spans="1:34" x14ac:dyDescent="0.25">
      <c r="A257" s="24" t="str">
        <f>HYPERLINK("https://www.cpso.on.ca/DoctorDetails/Barry-Steven-Dollin/0024136-28958","Dollin, Barry Steven")</f>
        <v>Dollin, Barry Steven</v>
      </c>
      <c r="B257" s="25" t="s">
        <v>2923</v>
      </c>
      <c r="C257" s="24" t="s">
        <v>2924</v>
      </c>
      <c r="D257" s="24" t="s">
        <v>2925</v>
      </c>
      <c r="E257" s="24" t="s">
        <v>29</v>
      </c>
      <c r="F257" s="24" t="s">
        <v>30</v>
      </c>
      <c r="G257" s="24" t="s">
        <v>31</v>
      </c>
      <c r="H257" s="24" t="s">
        <v>2926</v>
      </c>
      <c r="I257" s="24" t="s">
        <v>2927</v>
      </c>
      <c r="J257" s="24" t="s">
        <v>2928</v>
      </c>
      <c r="K257" s="24" t="s">
        <v>2929</v>
      </c>
      <c r="L257" s="24" t="s">
        <v>84</v>
      </c>
      <c r="M257" s="15"/>
      <c r="N257" s="15"/>
      <c r="O257" s="15"/>
      <c r="P257" s="15" t="s">
        <v>459</v>
      </c>
      <c r="Q257" s="15"/>
      <c r="R257" s="15" t="s">
        <v>2930</v>
      </c>
      <c r="S257" s="24" t="s">
        <v>39</v>
      </c>
      <c r="T257" s="24" t="s">
        <v>39</v>
      </c>
      <c r="U257" s="24" t="s">
        <v>39</v>
      </c>
      <c r="V257" s="24" t="s">
        <v>39</v>
      </c>
      <c r="W257" s="24"/>
      <c r="X257" s="24"/>
      <c r="Y257" s="15"/>
      <c r="Z257" s="15"/>
      <c r="AA257" s="24"/>
      <c r="AB257" s="24"/>
      <c r="AC257" s="24"/>
      <c r="AD257" s="24"/>
      <c r="AE257" s="24"/>
      <c r="AF257" s="24"/>
      <c r="AG257" s="24"/>
      <c r="AH257" s="24"/>
    </row>
    <row r="258" spans="1:34" ht="225" x14ac:dyDescent="0.25">
      <c r="A258" s="24" t="str">
        <f>HYPERLINK("https://www.cpso.on.ca/DoctorDetails/Beata-Aleksandra-Wiatrowska/0050489-64468","Wiatrowska, Beata Aleksandra")</f>
        <v>Wiatrowska, Beata Aleksandra</v>
      </c>
      <c r="B258" s="25" t="s">
        <v>2931</v>
      </c>
      <c r="C258" s="24" t="s">
        <v>2932</v>
      </c>
      <c r="D258" s="24" t="s">
        <v>2933</v>
      </c>
      <c r="E258" s="24" t="s">
        <v>29</v>
      </c>
      <c r="F258" s="24" t="s">
        <v>47</v>
      </c>
      <c r="G258" s="24" t="s">
        <v>1657</v>
      </c>
      <c r="H258" s="24" t="s">
        <v>2934</v>
      </c>
      <c r="I258" s="24" t="s">
        <v>708</v>
      </c>
      <c r="J258" s="24" t="s">
        <v>2935</v>
      </c>
      <c r="K258" s="24"/>
      <c r="L258" s="24" t="s">
        <v>84</v>
      </c>
      <c r="M258" s="15"/>
      <c r="N258" s="15"/>
      <c r="O258" s="15" t="s">
        <v>711</v>
      </c>
      <c r="P258" s="15" t="s">
        <v>2936</v>
      </c>
      <c r="Q258" s="15" t="s">
        <v>2937</v>
      </c>
      <c r="R258" s="15" t="s">
        <v>2938</v>
      </c>
      <c r="S258" s="24" t="s">
        <v>39</v>
      </c>
      <c r="T258" s="24" t="s">
        <v>39</v>
      </c>
      <c r="U258" s="24" t="s">
        <v>39</v>
      </c>
      <c r="V258" s="24" t="s">
        <v>39</v>
      </c>
      <c r="W258" s="24"/>
      <c r="X258" s="24"/>
      <c r="Y258" s="15"/>
      <c r="Z258" s="15"/>
      <c r="AA258" s="24"/>
      <c r="AB258" s="24"/>
      <c r="AC258" s="24"/>
      <c r="AD258" s="24"/>
      <c r="AE258" s="24"/>
      <c r="AF258" s="24"/>
      <c r="AG258" s="24"/>
      <c r="AH258" s="24"/>
    </row>
    <row r="259" spans="1:34" x14ac:dyDescent="0.25">
      <c r="A259" s="24" t="str">
        <f>HYPERLINK("https://www.cpso.on.ca/DoctorDetails/Beatrice-Margat-Hanna-SchambergerKeren/0053219-67185","Schamberger-Keren, Beatrice Margat Hanna")</f>
        <v>Schamberger-Keren, Beatrice Margat Hanna</v>
      </c>
      <c r="B259" s="25" t="s">
        <v>2939</v>
      </c>
      <c r="C259" s="24" t="s">
        <v>2940</v>
      </c>
      <c r="D259" s="24" t="s">
        <v>2941</v>
      </c>
      <c r="E259" s="24" t="s">
        <v>29</v>
      </c>
      <c r="F259" s="24" t="s">
        <v>47</v>
      </c>
      <c r="G259" s="24" t="s">
        <v>115</v>
      </c>
      <c r="H259" s="24" t="s">
        <v>2942</v>
      </c>
      <c r="I259" s="24" t="s">
        <v>2943</v>
      </c>
      <c r="J259" s="24" t="s">
        <v>2944</v>
      </c>
      <c r="K259" s="24"/>
      <c r="L259" s="24" t="s">
        <v>52</v>
      </c>
      <c r="M259" s="15"/>
      <c r="N259" s="15"/>
      <c r="O259" s="15"/>
      <c r="P259" s="15" t="s">
        <v>902</v>
      </c>
      <c r="Q259" s="15"/>
      <c r="R259" s="15" t="s">
        <v>2945</v>
      </c>
      <c r="S259" s="24" t="s">
        <v>39</v>
      </c>
      <c r="T259" s="24" t="s">
        <v>39</v>
      </c>
      <c r="U259" s="24" t="s">
        <v>39</v>
      </c>
      <c r="V259" s="24" t="s">
        <v>39</v>
      </c>
      <c r="W259" s="24"/>
      <c r="X259" s="24"/>
      <c r="Y259" s="15"/>
      <c r="Z259" s="15"/>
      <c r="AA259" s="24"/>
      <c r="AB259" s="24"/>
      <c r="AC259" s="24"/>
      <c r="AD259" s="24"/>
      <c r="AE259" s="24"/>
      <c r="AF259" s="24"/>
      <c r="AG259" s="24"/>
      <c r="AH259" s="24"/>
    </row>
    <row r="260" spans="1:34" ht="60" x14ac:dyDescent="0.25">
      <c r="A260" s="24" t="str">
        <f>HYPERLINK("https://www.cpso.on.ca/DoctorDetails/Beatriz-Maria-Romero-Behar/0037598-51574","Behar, Beatriz Maria Romero")</f>
        <v>Behar, Beatriz Maria Romero</v>
      </c>
      <c r="B260" s="25" t="s">
        <v>2946</v>
      </c>
      <c r="C260" s="24" t="s">
        <v>2947</v>
      </c>
      <c r="D260" s="24" t="s">
        <v>2948</v>
      </c>
      <c r="E260" s="24" t="s">
        <v>29</v>
      </c>
      <c r="F260" s="24" t="s">
        <v>47</v>
      </c>
      <c r="G260" s="24" t="s">
        <v>115</v>
      </c>
      <c r="H260" s="24" t="s">
        <v>2949</v>
      </c>
      <c r="I260" s="24" t="s">
        <v>2950</v>
      </c>
      <c r="J260" s="24" t="s">
        <v>2951</v>
      </c>
      <c r="K260" s="24" t="s">
        <v>2952</v>
      </c>
      <c r="L260" s="24" t="s">
        <v>52</v>
      </c>
      <c r="M260" s="15"/>
      <c r="N260" s="15"/>
      <c r="O260" s="15"/>
      <c r="P260" s="15" t="s">
        <v>499</v>
      </c>
      <c r="Q260" s="15"/>
      <c r="R260" s="15" t="s">
        <v>2953</v>
      </c>
      <c r="S260" s="24" t="s">
        <v>39</v>
      </c>
      <c r="T260" s="24" t="s">
        <v>39</v>
      </c>
      <c r="U260" s="24" t="s">
        <v>39</v>
      </c>
      <c r="V260" s="24" t="s">
        <v>39</v>
      </c>
      <c r="W260" s="24"/>
      <c r="X260" s="24"/>
      <c r="Y260" s="15"/>
      <c r="Z260" s="15"/>
      <c r="AA260" s="24"/>
      <c r="AB260" s="24"/>
      <c r="AC260" s="24"/>
      <c r="AD260" s="24"/>
      <c r="AE260" s="24"/>
      <c r="AF260" s="24"/>
      <c r="AG260" s="24"/>
      <c r="AH260" s="24"/>
    </row>
    <row r="261" spans="1:34" ht="30" x14ac:dyDescent="0.25">
      <c r="A261" s="24" t="str">
        <f>HYPERLINK("https://www.cpso.on.ca/DoctorDetails/Beena-Mathew/0161164-74162","Mathew, Beena")</f>
        <v>Mathew, Beena</v>
      </c>
      <c r="B261" s="25" t="s">
        <v>2954</v>
      </c>
      <c r="C261" s="24" t="s">
        <v>2955</v>
      </c>
      <c r="D261" s="24" t="s">
        <v>2956</v>
      </c>
      <c r="E261" s="24" t="s">
        <v>29</v>
      </c>
      <c r="F261" s="24" t="s">
        <v>47</v>
      </c>
      <c r="G261" s="24" t="s">
        <v>1245</v>
      </c>
      <c r="H261" s="24" t="s">
        <v>2957</v>
      </c>
      <c r="I261" s="24" t="s">
        <v>1742</v>
      </c>
      <c r="J261" s="24" t="s">
        <v>1769</v>
      </c>
      <c r="K261" s="24" t="s">
        <v>1744</v>
      </c>
      <c r="L261" s="24" t="s">
        <v>328</v>
      </c>
      <c r="M261" s="15"/>
      <c r="N261" s="15"/>
      <c r="O261" s="15" t="s">
        <v>1746</v>
      </c>
      <c r="P261" s="15" t="s">
        <v>2958</v>
      </c>
      <c r="Q261" s="15"/>
      <c r="R261" s="15" t="s">
        <v>2959</v>
      </c>
      <c r="S261" s="24" t="s">
        <v>39</v>
      </c>
      <c r="T261" s="24" t="s">
        <v>39</v>
      </c>
      <c r="U261" s="24" t="s">
        <v>39</v>
      </c>
      <c r="V261" s="24" t="s">
        <v>39</v>
      </c>
      <c r="W261" s="24" t="s">
        <v>2960</v>
      </c>
      <c r="X261" s="24" t="s">
        <v>2961</v>
      </c>
      <c r="Y261" s="15" t="s">
        <v>2962</v>
      </c>
      <c r="Z261" s="15" t="s">
        <v>2963</v>
      </c>
      <c r="AA261" s="24"/>
      <c r="AB261" s="24"/>
      <c r="AC261" s="24"/>
      <c r="AD261" s="24"/>
      <c r="AE261" s="24"/>
      <c r="AF261" s="24"/>
      <c r="AG261" s="24"/>
      <c r="AH261" s="24"/>
    </row>
    <row r="262" spans="1:34" ht="120" x14ac:dyDescent="0.25">
      <c r="A262" s="24" t="str">
        <f>HYPERLINK("https://www.cpso.on.ca/DoctorDetails/Behnia-Haghiri/0251575-89404","Haghiri, Behnia")</f>
        <v>Haghiri, Behnia</v>
      </c>
      <c r="B262" s="25" t="s">
        <v>2964</v>
      </c>
      <c r="C262" s="24" t="s">
        <v>2965</v>
      </c>
      <c r="D262" s="24" t="s">
        <v>2966</v>
      </c>
      <c r="E262" s="24" t="s">
        <v>29</v>
      </c>
      <c r="F262" s="24" t="s">
        <v>30</v>
      </c>
      <c r="G262" s="24" t="s">
        <v>522</v>
      </c>
      <c r="H262" s="24" t="s">
        <v>2967</v>
      </c>
      <c r="I262" s="24" t="s">
        <v>2968</v>
      </c>
      <c r="J262" s="24" t="s">
        <v>2969</v>
      </c>
      <c r="K262" s="24" t="s">
        <v>2970</v>
      </c>
      <c r="L262" s="24" t="s">
        <v>340</v>
      </c>
      <c r="M262" s="15" t="s">
        <v>2971</v>
      </c>
      <c r="N262" s="15"/>
      <c r="O262" s="15" t="s">
        <v>2972</v>
      </c>
      <c r="P262" s="15" t="s">
        <v>818</v>
      </c>
      <c r="Q262" s="15" t="s">
        <v>2973</v>
      </c>
      <c r="R262" s="15" t="s">
        <v>2974</v>
      </c>
      <c r="S262" s="24" t="s">
        <v>39</v>
      </c>
      <c r="T262" s="24" t="s">
        <v>39</v>
      </c>
      <c r="U262" s="24" t="s">
        <v>39</v>
      </c>
      <c r="V262" s="24" t="s">
        <v>39</v>
      </c>
      <c r="W262" s="24" t="s">
        <v>2975</v>
      </c>
      <c r="X262" s="24" t="s">
        <v>2976</v>
      </c>
      <c r="Y262" s="15" t="s">
        <v>2977</v>
      </c>
      <c r="Z262" s="15" t="s">
        <v>2978</v>
      </c>
      <c r="AA262" s="24"/>
      <c r="AB262" s="24"/>
      <c r="AC262" s="24"/>
      <c r="AD262" s="24"/>
      <c r="AE262" s="24"/>
      <c r="AF262" s="24"/>
      <c r="AG262" s="24"/>
      <c r="AH262" s="24"/>
    </row>
    <row r="263" spans="1:34" x14ac:dyDescent="0.25">
      <c r="A263" s="24" t="str">
        <f>HYPERLINK("https://www.cpso.on.ca/DoctorDetails/Belle-Marilyn-Siegel/0028848-33671","Siegel, Belle Marilyn")</f>
        <v>Siegel, Belle Marilyn</v>
      </c>
      <c r="B263" s="25" t="s">
        <v>2979</v>
      </c>
      <c r="C263" s="24" t="s">
        <v>2980</v>
      </c>
      <c r="D263" s="24" t="s">
        <v>2981</v>
      </c>
      <c r="E263" s="24" t="s">
        <v>29</v>
      </c>
      <c r="F263" s="24" t="s">
        <v>47</v>
      </c>
      <c r="G263" s="24" t="s">
        <v>31</v>
      </c>
      <c r="H263" s="24" t="s">
        <v>2982</v>
      </c>
      <c r="I263" s="24" t="s">
        <v>2983</v>
      </c>
      <c r="J263" s="24" t="s">
        <v>2984</v>
      </c>
      <c r="K263" s="24"/>
      <c r="L263" s="24" t="s">
        <v>184</v>
      </c>
      <c r="M263" s="15"/>
      <c r="N263" s="15"/>
      <c r="O263" s="15"/>
      <c r="P263" s="15" t="s">
        <v>2985</v>
      </c>
      <c r="Q263" s="15"/>
      <c r="R263" s="15" t="s">
        <v>2986</v>
      </c>
      <c r="S263" s="24" t="s">
        <v>39</v>
      </c>
      <c r="T263" s="24" t="s">
        <v>39</v>
      </c>
      <c r="U263" s="24" t="s">
        <v>39</v>
      </c>
      <c r="V263" s="24" t="s">
        <v>39</v>
      </c>
      <c r="W263" s="24" t="s">
        <v>2987</v>
      </c>
      <c r="X263" s="24" t="s">
        <v>2988</v>
      </c>
      <c r="Y263" s="15" t="s">
        <v>2989</v>
      </c>
      <c r="Z263" s="15" t="s">
        <v>2990</v>
      </c>
      <c r="AA263" s="24"/>
      <c r="AB263" s="24"/>
      <c r="AC263" s="24"/>
      <c r="AD263" s="24"/>
      <c r="AE263" s="24"/>
      <c r="AF263" s="24"/>
      <c r="AG263" s="24"/>
      <c r="AH263" s="24"/>
    </row>
    <row r="264" spans="1:34" ht="75" x14ac:dyDescent="0.25">
      <c r="A264" s="24" t="str">
        <f>HYPERLINK("https://www.cpso.on.ca/DoctorDetails/Ben-McCutchen/0288659-101256","McCutchen, Ben")</f>
        <v>McCutchen, Ben</v>
      </c>
      <c r="B264" s="25" t="s">
        <v>2991</v>
      </c>
      <c r="C264" s="24" t="s">
        <v>1548</v>
      </c>
      <c r="D264" s="24" t="s">
        <v>200</v>
      </c>
      <c r="E264" s="24" t="s">
        <v>29</v>
      </c>
      <c r="F264" s="24" t="s">
        <v>30</v>
      </c>
      <c r="G264" s="24" t="s">
        <v>31</v>
      </c>
      <c r="H264" s="24" t="s">
        <v>2992</v>
      </c>
      <c r="I264" s="24" t="s">
        <v>2993</v>
      </c>
      <c r="J264" s="24"/>
      <c r="K264" s="24"/>
      <c r="L264" s="24" t="s">
        <v>152</v>
      </c>
      <c r="M264" s="15"/>
      <c r="N264" s="15"/>
      <c r="O264" s="15"/>
      <c r="P264" s="15" t="s">
        <v>205</v>
      </c>
      <c r="Q264" s="15" t="s">
        <v>2994</v>
      </c>
      <c r="R264" s="15" t="s">
        <v>2995</v>
      </c>
      <c r="S264" s="24" t="s">
        <v>39</v>
      </c>
      <c r="T264" s="24" t="s">
        <v>39</v>
      </c>
      <c r="U264" s="24" t="s">
        <v>39</v>
      </c>
      <c r="V264" s="24" t="s">
        <v>39</v>
      </c>
      <c r="W264" s="24"/>
      <c r="X264" s="24"/>
      <c r="Y264" s="15"/>
      <c r="Z264" s="15"/>
      <c r="AA264" s="24"/>
      <c r="AB264" s="24"/>
      <c r="AC264" s="24"/>
      <c r="AD264" s="24"/>
      <c r="AE264" s="24"/>
      <c r="AF264" s="24"/>
      <c r="AG264" s="24"/>
      <c r="AH264" s="24"/>
    </row>
    <row r="265" spans="1:34" ht="75" x14ac:dyDescent="0.25">
      <c r="A265" s="24" t="str">
        <f>HYPERLINK("https://www.cpso.on.ca/DoctorDetails/Benedict-Wong/0281072-98269","Wong, Benedict")</f>
        <v>Wong, Benedict</v>
      </c>
      <c r="B265" s="25" t="s">
        <v>2996</v>
      </c>
      <c r="C265" s="24" t="s">
        <v>544</v>
      </c>
      <c r="D265" s="24" t="s">
        <v>545</v>
      </c>
      <c r="E265" s="24" t="s">
        <v>29</v>
      </c>
      <c r="F265" s="24" t="s">
        <v>30</v>
      </c>
      <c r="G265" s="24" t="s">
        <v>31</v>
      </c>
      <c r="H265" s="24" t="s">
        <v>2997</v>
      </c>
      <c r="I265" s="24" t="s">
        <v>2998</v>
      </c>
      <c r="J265" s="24" t="s">
        <v>2999</v>
      </c>
      <c r="K265" s="24" t="s">
        <v>3000</v>
      </c>
      <c r="L265" s="24" t="s">
        <v>52</v>
      </c>
      <c r="M265" s="15"/>
      <c r="N265" s="15"/>
      <c r="O265" s="15"/>
      <c r="P265" s="15" t="s">
        <v>550</v>
      </c>
      <c r="Q265" s="15" t="s">
        <v>982</v>
      </c>
      <c r="R265" s="15" t="s">
        <v>552</v>
      </c>
      <c r="S265" s="24" t="s">
        <v>39</v>
      </c>
      <c r="T265" s="24" t="s">
        <v>39</v>
      </c>
      <c r="U265" s="24" t="s">
        <v>39</v>
      </c>
      <c r="V265" s="24" t="s">
        <v>39</v>
      </c>
      <c r="W265" s="24" t="s">
        <v>3001</v>
      </c>
      <c r="X265" s="24" t="s">
        <v>3002</v>
      </c>
      <c r="Y265" s="15" t="s">
        <v>3003</v>
      </c>
      <c r="Z265" s="15" t="s">
        <v>3004</v>
      </c>
      <c r="AA265" s="24"/>
      <c r="AB265" s="24"/>
      <c r="AC265" s="24"/>
      <c r="AD265" s="24"/>
      <c r="AE265" s="24"/>
      <c r="AF265" s="24"/>
      <c r="AG265" s="24"/>
      <c r="AH265" s="24"/>
    </row>
    <row r="266" spans="1:34" ht="105" x14ac:dyDescent="0.25">
      <c r="A266" s="24" t="str">
        <f>HYPERLINK("https://www.cpso.on.ca/DoctorDetails/Benicio-Noronha-Frey/0246428-88029","Frey, Benicio Noronha")</f>
        <v>Frey, Benicio Noronha</v>
      </c>
      <c r="B266" s="25" t="s">
        <v>3005</v>
      </c>
      <c r="C266" s="24" t="s">
        <v>3006</v>
      </c>
      <c r="D266" s="24" t="s">
        <v>3007</v>
      </c>
      <c r="E266" s="24" t="s">
        <v>29</v>
      </c>
      <c r="F266" s="24" t="s">
        <v>30</v>
      </c>
      <c r="G266" s="24" t="s">
        <v>468</v>
      </c>
      <c r="H266" s="24" t="s">
        <v>3008</v>
      </c>
      <c r="I266" s="24" t="s">
        <v>3009</v>
      </c>
      <c r="J266" s="24" t="s">
        <v>3010</v>
      </c>
      <c r="K266" s="24" t="s">
        <v>3011</v>
      </c>
      <c r="L266" s="24" t="s">
        <v>184</v>
      </c>
      <c r="M266" s="15"/>
      <c r="N266" s="15"/>
      <c r="O266" s="15" t="s">
        <v>726</v>
      </c>
      <c r="P266" s="15" t="s">
        <v>3012</v>
      </c>
      <c r="Q266" s="15" t="s">
        <v>3013</v>
      </c>
      <c r="R266" s="15" t="s">
        <v>3014</v>
      </c>
      <c r="S266" s="24" t="s">
        <v>71</v>
      </c>
      <c r="T266" s="24" t="s">
        <v>39</v>
      </c>
      <c r="U266" s="24" t="s">
        <v>39</v>
      </c>
      <c r="V266" s="24" t="s">
        <v>39</v>
      </c>
      <c r="W266" s="24" t="s">
        <v>3015</v>
      </c>
      <c r="X266" s="24" t="s">
        <v>3016</v>
      </c>
      <c r="Y266" s="15" t="s">
        <v>3017</v>
      </c>
      <c r="Z266" s="15" t="s">
        <v>3018</v>
      </c>
      <c r="AA266" s="24"/>
      <c r="AB266" s="24"/>
      <c r="AC266" s="24"/>
      <c r="AD266" s="24"/>
      <c r="AE266" s="24"/>
      <c r="AF266" s="24"/>
      <c r="AG266" s="24"/>
      <c r="AH266" s="24"/>
    </row>
    <row r="267" spans="1:34" ht="75" x14ac:dyDescent="0.25">
      <c r="A267" s="24" t="str">
        <f>HYPERLINK("https://www.cpso.on.ca/DoctorDetails/Benjamin-Bordoff/0045784-59762","Bordoff, Benjamin")</f>
        <v>Bordoff, Benjamin</v>
      </c>
      <c r="B267" s="25" t="s">
        <v>3019</v>
      </c>
      <c r="C267" s="24" t="s">
        <v>2286</v>
      </c>
      <c r="D267" s="24" t="s">
        <v>3020</v>
      </c>
      <c r="E267" s="24" t="s">
        <v>29</v>
      </c>
      <c r="F267" s="24" t="s">
        <v>30</v>
      </c>
      <c r="G267" s="24" t="s">
        <v>31</v>
      </c>
      <c r="H267" s="24" t="s">
        <v>2288</v>
      </c>
      <c r="I267" s="24" t="s">
        <v>3021</v>
      </c>
      <c r="J267" s="24" t="s">
        <v>3022</v>
      </c>
      <c r="K267" s="24" t="s">
        <v>3023</v>
      </c>
      <c r="L267" s="24" t="s">
        <v>65</v>
      </c>
      <c r="M267" s="15" t="s">
        <v>3024</v>
      </c>
      <c r="N267" s="15"/>
      <c r="O267" s="15" t="s">
        <v>3025</v>
      </c>
      <c r="P267" s="15" t="s">
        <v>3026</v>
      </c>
      <c r="Q267" s="15" t="s">
        <v>3027</v>
      </c>
      <c r="R267" s="15" t="s">
        <v>3028</v>
      </c>
      <c r="S267" s="24" t="s">
        <v>39</v>
      </c>
      <c r="T267" s="24" t="s">
        <v>39</v>
      </c>
      <c r="U267" s="24" t="s">
        <v>39</v>
      </c>
      <c r="V267" s="24" t="s">
        <v>39</v>
      </c>
      <c r="W267" s="24"/>
      <c r="X267" s="24"/>
      <c r="Y267" s="15"/>
      <c r="Z267" s="15"/>
      <c r="AA267" s="24"/>
      <c r="AB267" s="24"/>
      <c r="AC267" s="24"/>
      <c r="AD267" s="24"/>
      <c r="AE267" s="24"/>
      <c r="AF267" s="24"/>
      <c r="AG267" s="24"/>
      <c r="AH267" s="24"/>
    </row>
    <row r="268" spans="1:34" ht="105" x14ac:dyDescent="0.25">
      <c r="A268" s="24" t="str">
        <f>HYPERLINK("https://www.cpso.on.ca/DoctorDetails/Benjamin-Douglas-Loveday/0210828-81105","Loveday, Benjamin Douglas")</f>
        <v>Loveday, Benjamin Douglas</v>
      </c>
      <c r="B268" s="25" t="s">
        <v>3029</v>
      </c>
      <c r="C268" s="24" t="s">
        <v>3030</v>
      </c>
      <c r="D268" s="24" t="s">
        <v>3031</v>
      </c>
      <c r="E268" s="24" t="s">
        <v>29</v>
      </c>
      <c r="F268" s="24" t="s">
        <v>30</v>
      </c>
      <c r="G268" s="24" t="s">
        <v>31</v>
      </c>
      <c r="H268" s="24" t="s">
        <v>3032</v>
      </c>
      <c r="I268" s="24" t="s">
        <v>3033</v>
      </c>
      <c r="J268" s="24" t="s">
        <v>3034</v>
      </c>
      <c r="K268" s="24" t="s">
        <v>3035</v>
      </c>
      <c r="L268" s="24" t="s">
        <v>135</v>
      </c>
      <c r="M268" s="15"/>
      <c r="N268" s="15"/>
      <c r="O268" s="15" t="s">
        <v>3036</v>
      </c>
      <c r="P268" s="15" t="s">
        <v>3037</v>
      </c>
      <c r="Q268" s="15" t="s">
        <v>3038</v>
      </c>
      <c r="R268" s="15" t="s">
        <v>3039</v>
      </c>
      <c r="S268" s="24" t="s">
        <v>39</v>
      </c>
      <c r="T268" s="24" t="s">
        <v>39</v>
      </c>
      <c r="U268" s="24" t="s">
        <v>39</v>
      </c>
      <c r="V268" s="24" t="s">
        <v>39</v>
      </c>
      <c r="W268" s="24"/>
      <c r="X268" s="24"/>
      <c r="Y268" s="15"/>
      <c r="Z268" s="15"/>
      <c r="AA268" s="24"/>
      <c r="AB268" s="24"/>
      <c r="AC268" s="24"/>
      <c r="AD268" s="24"/>
      <c r="AE268" s="24"/>
      <c r="AF268" s="24"/>
      <c r="AG268" s="24"/>
      <c r="AH268" s="24"/>
    </row>
    <row r="269" spans="1:34" ht="75" x14ac:dyDescent="0.25">
      <c r="A269" s="24" t="str">
        <f>HYPERLINK("https://www.cpso.on.ca/DoctorDetails/Benjamin-FortinLangelier/0272868-96506","Fortin-Langelier, Benjamin")</f>
        <v>Fortin-Langelier, Benjamin</v>
      </c>
      <c r="B269" s="25" t="s">
        <v>3040</v>
      </c>
      <c r="C269" s="24" t="s">
        <v>3041</v>
      </c>
      <c r="D269" s="24" t="s">
        <v>967</v>
      </c>
      <c r="E269" s="24" t="s">
        <v>29</v>
      </c>
      <c r="F269" s="24" t="s">
        <v>30</v>
      </c>
      <c r="G269" s="24" t="s">
        <v>813</v>
      </c>
      <c r="H269" s="24" t="s">
        <v>3042</v>
      </c>
      <c r="I269" s="24" t="s">
        <v>3043</v>
      </c>
      <c r="J269" s="24" t="s">
        <v>992</v>
      </c>
      <c r="K269" s="24" t="s">
        <v>3044</v>
      </c>
      <c r="L269" s="24" t="s">
        <v>84</v>
      </c>
      <c r="M269" s="15"/>
      <c r="N269" s="15" t="s">
        <v>710</v>
      </c>
      <c r="O269" s="15" t="s">
        <v>3045</v>
      </c>
      <c r="P269" s="15" t="s">
        <v>973</v>
      </c>
      <c r="Q269" s="15" t="s">
        <v>3046</v>
      </c>
      <c r="R269" s="15" t="s">
        <v>3047</v>
      </c>
      <c r="S269" s="24" t="s">
        <v>39</v>
      </c>
      <c r="T269" s="24" t="s">
        <v>39</v>
      </c>
      <c r="U269" s="24" t="s">
        <v>39</v>
      </c>
      <c r="V269" s="24" t="s">
        <v>39</v>
      </c>
      <c r="W269" s="24" t="s">
        <v>3048</v>
      </c>
      <c r="X269" s="24" t="s">
        <v>3049</v>
      </c>
      <c r="Y269" s="15" t="s">
        <v>3050</v>
      </c>
      <c r="Z269" s="15" t="s">
        <v>718</v>
      </c>
      <c r="AA269" s="24"/>
      <c r="AB269" s="24"/>
      <c r="AC269" s="24"/>
      <c r="AD269" s="24"/>
      <c r="AE269" s="24"/>
      <c r="AF269" s="24"/>
      <c r="AG269" s="24"/>
      <c r="AH269" s="24"/>
    </row>
    <row r="270" spans="1:34" ht="105" x14ac:dyDescent="0.25">
      <c r="A270" s="24" t="str">
        <f>HYPERLINK("https://www.cpso.on.ca/DoctorDetails/Benjamin-Fred-Rosen/0280825-97574","Rosen, Benjamin Fred")</f>
        <v>Rosen, Benjamin Fred</v>
      </c>
      <c r="B270" s="25" t="s">
        <v>3051</v>
      </c>
      <c r="C270" s="24" t="s">
        <v>3052</v>
      </c>
      <c r="D270" s="24" t="s">
        <v>545</v>
      </c>
      <c r="E270" s="24" t="s">
        <v>29</v>
      </c>
      <c r="F270" s="24" t="s">
        <v>30</v>
      </c>
      <c r="G270" s="24" t="s">
        <v>31</v>
      </c>
      <c r="H270" s="24" t="s">
        <v>2650</v>
      </c>
      <c r="I270" s="24" t="s">
        <v>3053</v>
      </c>
      <c r="J270" s="24" t="s">
        <v>3054</v>
      </c>
      <c r="K270" s="24" t="s">
        <v>3055</v>
      </c>
      <c r="L270" s="24" t="s">
        <v>52</v>
      </c>
      <c r="M270" s="15"/>
      <c r="N270" s="15"/>
      <c r="O270" s="15" t="s">
        <v>3056</v>
      </c>
      <c r="P270" s="15" t="s">
        <v>550</v>
      </c>
      <c r="Q270" s="15" t="s">
        <v>982</v>
      </c>
      <c r="R270" s="15" t="s">
        <v>3057</v>
      </c>
      <c r="S270" s="24" t="s">
        <v>39</v>
      </c>
      <c r="T270" s="24" t="s">
        <v>39</v>
      </c>
      <c r="U270" s="24" t="s">
        <v>39</v>
      </c>
      <c r="V270" s="24" t="s">
        <v>39</v>
      </c>
      <c r="W270" s="24"/>
      <c r="X270" s="24"/>
      <c r="Y270" s="15"/>
      <c r="Z270" s="15"/>
      <c r="AA270" s="24"/>
      <c r="AB270" s="24"/>
      <c r="AC270" s="24"/>
      <c r="AD270" s="24"/>
      <c r="AE270" s="24"/>
      <c r="AF270" s="24"/>
      <c r="AG270" s="24"/>
      <c r="AH270" s="24"/>
    </row>
    <row r="271" spans="1:34" ht="75" x14ac:dyDescent="0.25">
      <c r="A271" s="24" t="str">
        <f>HYPERLINK("https://www.cpso.on.ca/DoctorDetails/Benjamin-Israel-Goldstein/0183759-76216","Goldstein, Benjamin Israel")</f>
        <v>Goldstein, Benjamin Israel</v>
      </c>
      <c r="B271" s="25" t="s">
        <v>3058</v>
      </c>
      <c r="C271" s="24" t="s">
        <v>3059</v>
      </c>
      <c r="D271" s="24" t="s">
        <v>3060</v>
      </c>
      <c r="E271" s="24" t="s">
        <v>29</v>
      </c>
      <c r="F271" s="24" t="s">
        <v>30</v>
      </c>
      <c r="G271" s="24" t="s">
        <v>252</v>
      </c>
      <c r="H271" s="24" t="s">
        <v>1146</v>
      </c>
      <c r="I271" s="24" t="s">
        <v>3061</v>
      </c>
      <c r="J271" s="24" t="s">
        <v>3062</v>
      </c>
      <c r="K271" s="24"/>
      <c r="L271" s="24" t="s">
        <v>52</v>
      </c>
      <c r="M271" s="15"/>
      <c r="N271" s="15"/>
      <c r="O271" s="15" t="s">
        <v>1397</v>
      </c>
      <c r="P271" s="15" t="s">
        <v>1149</v>
      </c>
      <c r="Q271" s="15" t="s">
        <v>3063</v>
      </c>
      <c r="R271" s="15" t="s">
        <v>3064</v>
      </c>
      <c r="S271" s="24" t="s">
        <v>39</v>
      </c>
      <c r="T271" s="24" t="s">
        <v>39</v>
      </c>
      <c r="U271" s="24" t="s">
        <v>39</v>
      </c>
      <c r="V271" s="24" t="s">
        <v>39</v>
      </c>
      <c r="W271" s="24" t="s">
        <v>3065</v>
      </c>
      <c r="X271" s="24" t="s">
        <v>3066</v>
      </c>
      <c r="Y271" s="15" t="s">
        <v>3067</v>
      </c>
      <c r="Z271" s="15" t="s">
        <v>3068</v>
      </c>
      <c r="AA271" s="24"/>
      <c r="AB271" s="24"/>
      <c r="AC271" s="24"/>
      <c r="AD271" s="24"/>
      <c r="AE271" s="24"/>
      <c r="AF271" s="24"/>
      <c r="AG271" s="24"/>
      <c r="AH271" s="24"/>
    </row>
    <row r="272" spans="1:34" ht="60" x14ac:dyDescent="0.25">
      <c r="A272" s="24" t="str">
        <f>HYPERLINK("https://www.cpso.on.ca/DoctorDetails/Benjamin-Julien-Jacques-Simard/0288380-100226","Simard, Benjamin Julien Jacques")</f>
        <v>Simard, Benjamin Julien Jacques</v>
      </c>
      <c r="B272" s="25" t="s">
        <v>3069</v>
      </c>
      <c r="C272" s="24" t="s">
        <v>199</v>
      </c>
      <c r="D272" s="24" t="s">
        <v>3070</v>
      </c>
      <c r="E272" s="24" t="s">
        <v>29</v>
      </c>
      <c r="F272" s="24" t="s">
        <v>30</v>
      </c>
      <c r="G272" s="24" t="s">
        <v>813</v>
      </c>
      <c r="H272" s="24" t="s">
        <v>1893</v>
      </c>
      <c r="I272" s="24" t="s">
        <v>3071</v>
      </c>
      <c r="J272" s="24" t="s">
        <v>3072</v>
      </c>
      <c r="K272" s="24"/>
      <c r="L272" s="24" t="s">
        <v>84</v>
      </c>
      <c r="M272" s="15"/>
      <c r="N272" s="15"/>
      <c r="O272" s="15" t="s">
        <v>817</v>
      </c>
      <c r="P272" s="15" t="s">
        <v>3073</v>
      </c>
      <c r="Q272" s="15" t="s">
        <v>3074</v>
      </c>
      <c r="R272" s="15" t="s">
        <v>3075</v>
      </c>
      <c r="S272" s="24" t="s">
        <v>39</v>
      </c>
      <c r="T272" s="24" t="s">
        <v>39</v>
      </c>
      <c r="U272" s="24" t="s">
        <v>39</v>
      </c>
      <c r="V272" s="24" t="s">
        <v>39</v>
      </c>
      <c r="W272" s="24"/>
      <c r="X272" s="24"/>
      <c r="Y272" s="15"/>
      <c r="Z272" s="15"/>
      <c r="AA272" s="24"/>
      <c r="AB272" s="24"/>
      <c r="AC272" s="24"/>
      <c r="AD272" s="24"/>
      <c r="AE272" s="24"/>
      <c r="AF272" s="24"/>
      <c r="AG272" s="24"/>
      <c r="AH272" s="24"/>
    </row>
    <row r="273" spans="1:34" ht="45" x14ac:dyDescent="0.25">
      <c r="A273" s="24" t="str">
        <f>HYPERLINK("https://www.cpso.on.ca/DoctorDetails/Benoit-Henri-Mulsant/0226633-83713","Mulsant, Benoit Henri")</f>
        <v>Mulsant, Benoit Henri</v>
      </c>
      <c r="B273" s="25" t="s">
        <v>3076</v>
      </c>
      <c r="C273" s="24" t="s">
        <v>3077</v>
      </c>
      <c r="D273" s="24" t="s">
        <v>3078</v>
      </c>
      <c r="E273" s="24" t="s">
        <v>29</v>
      </c>
      <c r="F273" s="24" t="s">
        <v>30</v>
      </c>
      <c r="G273" s="24" t="s">
        <v>813</v>
      </c>
      <c r="H273" s="24" t="s">
        <v>3079</v>
      </c>
      <c r="I273" s="24" t="s">
        <v>1147</v>
      </c>
      <c r="J273" s="24" t="s">
        <v>3080</v>
      </c>
      <c r="K273" s="24" t="s">
        <v>3081</v>
      </c>
      <c r="L273" s="24" t="s">
        <v>52</v>
      </c>
      <c r="M273" s="15" t="s">
        <v>3082</v>
      </c>
      <c r="N273" s="15"/>
      <c r="O273" s="15" t="s">
        <v>2483</v>
      </c>
      <c r="P273" s="15" t="s">
        <v>3083</v>
      </c>
      <c r="Q273" s="15"/>
      <c r="R273" s="15" t="s">
        <v>3084</v>
      </c>
      <c r="S273" s="24" t="s">
        <v>39</v>
      </c>
      <c r="T273" s="24" t="s">
        <v>39</v>
      </c>
      <c r="U273" s="24" t="s">
        <v>39</v>
      </c>
      <c r="V273" s="24" t="s">
        <v>39</v>
      </c>
      <c r="W273" s="24" t="s">
        <v>3085</v>
      </c>
      <c r="X273" s="24" t="s">
        <v>3086</v>
      </c>
      <c r="Y273" s="15" t="s">
        <v>3087</v>
      </c>
      <c r="Z273" s="15" t="s">
        <v>3088</v>
      </c>
      <c r="AA273" s="24"/>
      <c r="AB273" s="24"/>
      <c r="AC273" s="24"/>
      <c r="AD273" s="24"/>
      <c r="AE273" s="24"/>
      <c r="AF273" s="24"/>
      <c r="AG273" s="24"/>
      <c r="AH273" s="24"/>
    </row>
    <row r="274" spans="1:34" ht="60" x14ac:dyDescent="0.25">
      <c r="A274" s="24" t="str">
        <f>HYPERLINK("https://www.cpso.on.ca/DoctorDetails/Berjinder-Jay-Sethi/0261028-94897","Sethi, Berjinder Jay")</f>
        <v>Sethi, Berjinder Jay</v>
      </c>
      <c r="B274" s="25" t="s">
        <v>3089</v>
      </c>
      <c r="C274" s="24" t="s">
        <v>3090</v>
      </c>
      <c r="D274" s="24" t="s">
        <v>3091</v>
      </c>
      <c r="E274" s="24" t="s">
        <v>3092</v>
      </c>
      <c r="F274" s="24" t="s">
        <v>30</v>
      </c>
      <c r="G274" s="24" t="s">
        <v>3093</v>
      </c>
      <c r="H274" s="24" t="s">
        <v>3094</v>
      </c>
      <c r="I274" s="24" t="s">
        <v>3095</v>
      </c>
      <c r="J274" s="24" t="s">
        <v>3096</v>
      </c>
      <c r="K274" s="24"/>
      <c r="L274" s="24" t="s">
        <v>184</v>
      </c>
      <c r="M274" s="15" t="s">
        <v>3097</v>
      </c>
      <c r="N274" s="15" t="s">
        <v>302</v>
      </c>
      <c r="O274" s="15" t="s">
        <v>3098</v>
      </c>
      <c r="P274" s="15" t="s">
        <v>1074</v>
      </c>
      <c r="Q274" s="15" t="s">
        <v>3099</v>
      </c>
      <c r="R274" s="15" t="s">
        <v>3100</v>
      </c>
      <c r="S274" s="24" t="s">
        <v>39</v>
      </c>
      <c r="T274" s="24" t="s">
        <v>39</v>
      </c>
      <c r="U274" s="24" t="s">
        <v>39</v>
      </c>
      <c r="V274" s="24" t="s">
        <v>39</v>
      </c>
      <c r="W274" s="24" t="s">
        <v>3101</v>
      </c>
      <c r="X274" s="24" t="s">
        <v>3102</v>
      </c>
      <c r="Y274" s="15" t="s">
        <v>3103</v>
      </c>
      <c r="Z274" s="15" t="s">
        <v>3104</v>
      </c>
      <c r="AA274" s="24"/>
      <c r="AB274" s="24"/>
      <c r="AC274" s="24"/>
      <c r="AD274" s="24"/>
      <c r="AE274" s="24"/>
      <c r="AF274" s="24"/>
      <c r="AG274" s="24"/>
      <c r="AH274" s="24"/>
    </row>
    <row r="275" spans="1:34" ht="30" x14ac:dyDescent="0.25">
      <c r="A275" s="24" t="str">
        <f>HYPERLINK("https://www.cpso.on.ca/DoctorDetails/Bernard-Albert-Stein/0016512-21297","Stein, Bernard Albert")</f>
        <v>Stein, Bernard Albert</v>
      </c>
      <c r="B275" s="25" t="s">
        <v>3105</v>
      </c>
      <c r="C275" s="24" t="s">
        <v>3106</v>
      </c>
      <c r="D275" s="24" t="s">
        <v>3107</v>
      </c>
      <c r="E275" s="24" t="s">
        <v>29</v>
      </c>
      <c r="F275" s="24" t="s">
        <v>30</v>
      </c>
      <c r="G275" s="24" t="s">
        <v>31</v>
      </c>
      <c r="H275" s="24" t="s">
        <v>3108</v>
      </c>
      <c r="I275" s="24" t="s">
        <v>3109</v>
      </c>
      <c r="J275" s="24" t="s">
        <v>3110</v>
      </c>
      <c r="K275" s="24" t="s">
        <v>3111</v>
      </c>
      <c r="L275" s="24" t="s">
        <v>52</v>
      </c>
      <c r="M275" s="15"/>
      <c r="N275" s="15"/>
      <c r="O275" s="15" t="s">
        <v>3112</v>
      </c>
      <c r="P275" s="15" t="s">
        <v>1211</v>
      </c>
      <c r="Q275" s="15"/>
      <c r="R275" s="15" t="s">
        <v>3113</v>
      </c>
      <c r="S275" s="24" t="s">
        <v>39</v>
      </c>
      <c r="T275" s="24" t="s">
        <v>39</v>
      </c>
      <c r="U275" s="24" t="s">
        <v>39</v>
      </c>
      <c r="V275" s="24" t="s">
        <v>39</v>
      </c>
      <c r="W275" s="24"/>
      <c r="X275" s="24"/>
      <c r="Y275" s="15"/>
      <c r="Z275" s="15"/>
      <c r="AA275" s="24"/>
      <c r="AB275" s="24"/>
      <c r="AC275" s="24"/>
      <c r="AD275" s="24"/>
      <c r="AE275" s="24"/>
      <c r="AF275" s="24"/>
      <c r="AG275" s="24"/>
      <c r="AH275" s="24"/>
    </row>
    <row r="276" spans="1:34" ht="105" x14ac:dyDescent="0.25">
      <c r="A276" s="24" t="str">
        <f>HYPERLINK("https://www.cpso.on.ca/DoctorDetails/Bernard-Grynspan/0233327-84450","Grynspan, Bernard")</f>
        <v>Grynspan, Bernard</v>
      </c>
      <c r="B276" s="25" t="s">
        <v>3114</v>
      </c>
      <c r="C276" s="24" t="s">
        <v>3115</v>
      </c>
      <c r="D276" s="24" t="s">
        <v>3116</v>
      </c>
      <c r="E276" s="24" t="s">
        <v>29</v>
      </c>
      <c r="F276" s="24" t="s">
        <v>30</v>
      </c>
      <c r="G276" s="24" t="s">
        <v>31</v>
      </c>
      <c r="H276" s="24" t="s">
        <v>2613</v>
      </c>
      <c r="I276" s="24" t="s">
        <v>3117</v>
      </c>
      <c r="J276" s="24" t="s">
        <v>3118</v>
      </c>
      <c r="K276" s="24" t="s">
        <v>3119</v>
      </c>
      <c r="L276" s="24" t="s">
        <v>135</v>
      </c>
      <c r="M276" s="15" t="s">
        <v>3120</v>
      </c>
      <c r="N276" s="15"/>
      <c r="O276" s="15"/>
      <c r="P276" s="15" t="s">
        <v>654</v>
      </c>
      <c r="Q276" s="15" t="s">
        <v>3121</v>
      </c>
      <c r="R276" s="15" t="s">
        <v>3122</v>
      </c>
      <c r="S276" s="24" t="s">
        <v>39</v>
      </c>
      <c r="T276" s="24" t="s">
        <v>39</v>
      </c>
      <c r="U276" s="24" t="s">
        <v>39</v>
      </c>
      <c r="V276" s="24" t="s">
        <v>39</v>
      </c>
      <c r="W276" s="24"/>
      <c r="X276" s="24"/>
      <c r="Y276" s="15"/>
      <c r="Z276" s="15"/>
      <c r="AA276" s="24"/>
      <c r="AB276" s="24"/>
      <c r="AC276" s="24"/>
      <c r="AD276" s="24"/>
      <c r="AE276" s="24"/>
      <c r="AF276" s="24"/>
      <c r="AG276" s="24"/>
      <c r="AH276" s="24"/>
    </row>
    <row r="277" spans="1:34" x14ac:dyDescent="0.25">
      <c r="A277" s="24" t="str">
        <f>HYPERLINK("https://www.cpso.on.ca/DoctorDetails/Bernard-Silverman/0013060-17840","Silverman, Bernard")</f>
        <v>Silverman, Bernard</v>
      </c>
      <c r="B277" s="25" t="s">
        <v>3123</v>
      </c>
      <c r="C277" s="24" t="s">
        <v>3124</v>
      </c>
      <c r="D277" s="24" t="s">
        <v>3125</v>
      </c>
      <c r="E277" s="24" t="s">
        <v>29</v>
      </c>
      <c r="F277" s="24" t="s">
        <v>30</v>
      </c>
      <c r="G277" s="24" t="s">
        <v>31</v>
      </c>
      <c r="H277" s="24" t="s">
        <v>3126</v>
      </c>
      <c r="I277" s="24" t="s">
        <v>3127</v>
      </c>
      <c r="J277" s="24" t="s">
        <v>3128</v>
      </c>
      <c r="K277" s="24"/>
      <c r="L277" s="24" t="s">
        <v>52</v>
      </c>
      <c r="M277" s="15"/>
      <c r="N277" s="15"/>
      <c r="O277" s="15"/>
      <c r="P277" s="15" t="s">
        <v>3129</v>
      </c>
      <c r="Q277" s="15"/>
      <c r="R277" s="15" t="s">
        <v>3130</v>
      </c>
      <c r="S277" s="24" t="s">
        <v>39</v>
      </c>
      <c r="T277" s="24" t="s">
        <v>39</v>
      </c>
      <c r="U277" s="24" t="s">
        <v>39</v>
      </c>
      <c r="V277" s="24" t="s">
        <v>39</v>
      </c>
      <c r="W277" s="24"/>
      <c r="X277" s="24"/>
      <c r="Y277" s="15"/>
      <c r="Z277" s="15"/>
      <c r="AA277" s="24"/>
      <c r="AB277" s="24"/>
      <c r="AC277" s="24"/>
      <c r="AD277" s="24"/>
      <c r="AE277" s="24"/>
      <c r="AF277" s="24"/>
      <c r="AG277" s="24"/>
      <c r="AH277" s="24"/>
    </row>
    <row r="278" spans="1:34" x14ac:dyDescent="0.25">
      <c r="A278" s="24" t="str">
        <f>HYPERLINK("https://www.cpso.on.ca/DoctorDetails/Bernard-Trossman/0018499-23286","Trossman, Bernard")</f>
        <v>Trossman, Bernard</v>
      </c>
      <c r="B278" s="25" t="s">
        <v>3131</v>
      </c>
      <c r="C278" s="24" t="s">
        <v>3132</v>
      </c>
      <c r="D278" s="24" t="s">
        <v>3133</v>
      </c>
      <c r="E278" s="24" t="s">
        <v>29</v>
      </c>
      <c r="F278" s="24" t="s">
        <v>30</v>
      </c>
      <c r="G278" s="24" t="s">
        <v>31</v>
      </c>
      <c r="H278" s="24" t="s">
        <v>3134</v>
      </c>
      <c r="I278" s="24" t="s">
        <v>3135</v>
      </c>
      <c r="J278" s="24" t="s">
        <v>3136</v>
      </c>
      <c r="K278" s="24" t="s">
        <v>3137</v>
      </c>
      <c r="L278" s="24" t="s">
        <v>52</v>
      </c>
      <c r="M278" s="15"/>
      <c r="N278" s="15"/>
      <c r="O278" s="15"/>
      <c r="P278" s="15" t="s">
        <v>3138</v>
      </c>
      <c r="Q278" s="15"/>
      <c r="R278" s="15" t="s">
        <v>3139</v>
      </c>
      <c r="S278" s="24" t="s">
        <v>39</v>
      </c>
      <c r="T278" s="24" t="s">
        <v>39</v>
      </c>
      <c r="U278" s="24" t="s">
        <v>39</v>
      </c>
      <c r="V278" s="24" t="s">
        <v>39</v>
      </c>
      <c r="W278" s="24" t="s">
        <v>3140</v>
      </c>
      <c r="X278" s="24" t="s">
        <v>3141</v>
      </c>
      <c r="Y278" s="15" t="s">
        <v>3142</v>
      </c>
      <c r="Z278" s="15" t="s">
        <v>3143</v>
      </c>
      <c r="AA278" s="24"/>
      <c r="AB278" s="24"/>
      <c r="AC278" s="24"/>
      <c r="AD278" s="24"/>
      <c r="AE278" s="24"/>
      <c r="AF278" s="24"/>
      <c r="AG278" s="24"/>
      <c r="AH278" s="24"/>
    </row>
    <row r="279" spans="1:34" ht="45" x14ac:dyDescent="0.25">
      <c r="A279" s="24" t="str">
        <f>HYPERLINK("https://www.cpso.on.ca/DoctorDetails/Bertha-Carolina-Roxana-Beatriz-Vidal-Peralta/0237309-85833","Vidal Peralta, Bertha Carolina Roxana Beatriz")</f>
        <v>Vidal Peralta, Bertha Carolina Roxana Beatriz</v>
      </c>
      <c r="B279" s="25" t="s">
        <v>3144</v>
      </c>
      <c r="C279" s="24" t="s">
        <v>3145</v>
      </c>
      <c r="D279" s="24" t="s">
        <v>3146</v>
      </c>
      <c r="E279" s="24" t="s">
        <v>29</v>
      </c>
      <c r="F279" s="24" t="s">
        <v>47</v>
      </c>
      <c r="G279" s="24" t="s">
        <v>115</v>
      </c>
      <c r="H279" s="24" t="s">
        <v>3147</v>
      </c>
      <c r="I279" s="24" t="s">
        <v>3148</v>
      </c>
      <c r="J279" s="24" t="s">
        <v>3149</v>
      </c>
      <c r="K279" s="24" t="s">
        <v>3150</v>
      </c>
      <c r="L279" s="24" t="s">
        <v>52</v>
      </c>
      <c r="M279" s="15" t="s">
        <v>3151</v>
      </c>
      <c r="N279" s="15" t="s">
        <v>1370</v>
      </c>
      <c r="O279" s="15" t="s">
        <v>3152</v>
      </c>
      <c r="P279" s="15" t="s">
        <v>1149</v>
      </c>
      <c r="Q279" s="15"/>
      <c r="R279" s="15" t="s">
        <v>3153</v>
      </c>
      <c r="S279" s="24" t="s">
        <v>39</v>
      </c>
      <c r="T279" s="24" t="s">
        <v>39</v>
      </c>
      <c r="U279" s="24" t="s">
        <v>39</v>
      </c>
      <c r="V279" s="24" t="s">
        <v>39</v>
      </c>
      <c r="W279" s="24"/>
      <c r="X279" s="24"/>
      <c r="Y279" s="15"/>
      <c r="Z279" s="15"/>
      <c r="AA279" s="24"/>
      <c r="AB279" s="24"/>
      <c r="AC279" s="24"/>
      <c r="AD279" s="24"/>
      <c r="AE279" s="24"/>
      <c r="AF279" s="24"/>
      <c r="AG279" s="24"/>
      <c r="AH279" s="24"/>
    </row>
    <row r="280" spans="1:34" ht="30" x14ac:dyDescent="0.25">
      <c r="A280" s="24" t="str">
        <f>HYPERLINK("https://www.cpso.on.ca/DoctorDetails/Bette-Ann-Magregor-Macintosh/0027917-32740","Macintosh, Bette Ann Magregor")</f>
        <v>Macintosh, Bette Ann Magregor</v>
      </c>
      <c r="B280" s="25" t="s">
        <v>3154</v>
      </c>
      <c r="C280" s="24" t="s">
        <v>492</v>
      </c>
      <c r="D280" s="24" t="s">
        <v>3155</v>
      </c>
      <c r="E280" s="24" t="s">
        <v>29</v>
      </c>
      <c r="F280" s="24" t="s">
        <v>47</v>
      </c>
      <c r="G280" s="24" t="s">
        <v>31</v>
      </c>
      <c r="H280" s="24" t="s">
        <v>2916</v>
      </c>
      <c r="I280" s="24" t="s">
        <v>3156</v>
      </c>
      <c r="J280" s="24" t="s">
        <v>3157</v>
      </c>
      <c r="K280" s="24"/>
      <c r="L280" s="24"/>
      <c r="M280" s="15"/>
      <c r="N280" s="15" t="s">
        <v>3158</v>
      </c>
      <c r="O280" s="15"/>
      <c r="P280" s="15" t="s">
        <v>316</v>
      </c>
      <c r="Q280" s="15"/>
      <c r="R280" s="15" t="s">
        <v>3159</v>
      </c>
      <c r="S280" s="24" t="s">
        <v>39</v>
      </c>
      <c r="T280" s="24" t="s">
        <v>39</v>
      </c>
      <c r="U280" s="24" t="s">
        <v>39</v>
      </c>
      <c r="V280" s="24" t="s">
        <v>39</v>
      </c>
      <c r="W280" s="24"/>
      <c r="X280" s="24"/>
      <c r="Y280" s="15"/>
      <c r="Z280" s="15"/>
      <c r="AA280" s="24"/>
      <c r="AB280" s="24"/>
      <c r="AC280" s="24"/>
      <c r="AD280" s="24"/>
      <c r="AE280" s="24"/>
      <c r="AF280" s="24"/>
      <c r="AG280" s="24"/>
      <c r="AH280" s="24"/>
    </row>
    <row r="281" spans="1:34" ht="90" x14ac:dyDescent="0.25">
      <c r="A281" s="24" t="str">
        <f>HYPERLINK("https://www.cpso.on.ca/DoctorDetails/Beverly-Joan-Goodwin/0044605-58583","Goodwin, Beverly Joan")</f>
        <v>Goodwin, Beverly Joan</v>
      </c>
      <c r="B281" s="25" t="s">
        <v>3160</v>
      </c>
      <c r="C281" s="24" t="s">
        <v>3161</v>
      </c>
      <c r="D281" s="24" t="s">
        <v>3162</v>
      </c>
      <c r="E281" s="24" t="s">
        <v>3163</v>
      </c>
      <c r="F281" s="24" t="s">
        <v>47</v>
      </c>
      <c r="G281" s="24" t="s">
        <v>31</v>
      </c>
      <c r="H281" s="24" t="s">
        <v>3164</v>
      </c>
      <c r="I281" s="24" t="s">
        <v>3165</v>
      </c>
      <c r="J281" s="24" t="s">
        <v>3166</v>
      </c>
      <c r="K281" s="24" t="s">
        <v>3167</v>
      </c>
      <c r="L281" s="24" t="s">
        <v>84</v>
      </c>
      <c r="M281" s="15"/>
      <c r="N281" s="15"/>
      <c r="O281" s="15" t="s">
        <v>3168</v>
      </c>
      <c r="P281" s="15" t="s">
        <v>3169</v>
      </c>
      <c r="Q281" s="15" t="s">
        <v>3170</v>
      </c>
      <c r="R281" s="15" t="s">
        <v>3171</v>
      </c>
      <c r="S281" s="24" t="s">
        <v>39</v>
      </c>
      <c r="T281" s="24" t="s">
        <v>39</v>
      </c>
      <c r="U281" s="24" t="s">
        <v>39</v>
      </c>
      <c r="V281" s="24" t="s">
        <v>39</v>
      </c>
      <c r="W281" s="24"/>
      <c r="X281" s="24"/>
      <c r="Y281" s="15"/>
      <c r="Z281" s="15"/>
      <c r="AA281" s="24"/>
      <c r="AB281" s="24"/>
      <c r="AC281" s="24"/>
      <c r="AD281" s="24"/>
      <c r="AE281" s="24"/>
      <c r="AF281" s="24"/>
      <c r="AG281" s="24"/>
      <c r="AH281" s="24"/>
    </row>
    <row r="282" spans="1:34" ht="105" x14ac:dyDescent="0.25">
      <c r="A282" s="24" t="str">
        <f>HYPERLINK("https://www.cpso.on.ca/DoctorDetails/Beverly-Young/0116866-70496","Young, Beverly")</f>
        <v>Young, Beverly</v>
      </c>
      <c r="B282" s="25" t="s">
        <v>3172</v>
      </c>
      <c r="C282" s="24" t="s">
        <v>3173</v>
      </c>
      <c r="D282" s="24" t="s">
        <v>3174</v>
      </c>
      <c r="E282" s="24" t="s">
        <v>29</v>
      </c>
      <c r="F282" s="24" t="s">
        <v>47</v>
      </c>
      <c r="G282" s="24" t="s">
        <v>31</v>
      </c>
      <c r="H282" s="24" t="s">
        <v>3175</v>
      </c>
      <c r="I282" s="24" t="s">
        <v>1198</v>
      </c>
      <c r="J282" s="24" t="s">
        <v>3176</v>
      </c>
      <c r="K282" s="24" t="s">
        <v>1528</v>
      </c>
      <c r="L282" s="24" t="s">
        <v>52</v>
      </c>
      <c r="M282" s="15"/>
      <c r="N282" s="15"/>
      <c r="O282" s="15" t="s">
        <v>1201</v>
      </c>
      <c r="P282" s="15" t="s">
        <v>3177</v>
      </c>
      <c r="Q282" s="15" t="s">
        <v>3178</v>
      </c>
      <c r="R282" s="15" t="s">
        <v>3179</v>
      </c>
      <c r="S282" s="24" t="s">
        <v>39</v>
      </c>
      <c r="T282" s="24" t="s">
        <v>39</v>
      </c>
      <c r="U282" s="24" t="s">
        <v>39</v>
      </c>
      <c r="V282" s="24" t="s">
        <v>39</v>
      </c>
      <c r="W282" s="24" t="s">
        <v>3180</v>
      </c>
      <c r="X282" s="24" t="s">
        <v>3181</v>
      </c>
      <c r="Y282" s="15" t="s">
        <v>3182</v>
      </c>
      <c r="Z282" s="15" t="s">
        <v>3183</v>
      </c>
      <c r="AA282" s="24"/>
      <c r="AB282" s="24"/>
      <c r="AC282" s="24"/>
      <c r="AD282" s="24"/>
      <c r="AE282" s="24"/>
      <c r="AF282" s="24"/>
      <c r="AG282" s="24"/>
      <c r="AH282" s="24"/>
    </row>
    <row r="283" spans="1:34" ht="75" x14ac:dyDescent="0.25">
      <c r="A283" s="24" t="str">
        <f>HYPERLINK("https://www.cpso.on.ca/DoctorDetails/Bhadreshchandra-Venilal-Surti/0038271-52247","Surti, Bhadreshchandra Venilal")</f>
        <v>Surti, Bhadreshchandra Venilal</v>
      </c>
      <c r="B283" s="25" t="s">
        <v>3184</v>
      </c>
      <c r="C283" s="24" t="s">
        <v>3185</v>
      </c>
      <c r="D283" s="24" t="s">
        <v>3186</v>
      </c>
      <c r="E283" s="24" t="s">
        <v>29</v>
      </c>
      <c r="F283" s="24" t="s">
        <v>30</v>
      </c>
      <c r="G283" s="24" t="s">
        <v>3187</v>
      </c>
      <c r="H283" s="24" t="s">
        <v>3188</v>
      </c>
      <c r="I283" s="24" t="s">
        <v>3189</v>
      </c>
      <c r="J283" s="24" t="s">
        <v>3190</v>
      </c>
      <c r="K283" s="24" t="s">
        <v>3191</v>
      </c>
      <c r="L283" s="24" t="s">
        <v>135</v>
      </c>
      <c r="M283" s="15" t="s">
        <v>3192</v>
      </c>
      <c r="N283" s="15"/>
      <c r="O283" s="15" t="s">
        <v>3193</v>
      </c>
      <c r="P283" s="15" t="s">
        <v>3194</v>
      </c>
      <c r="Q283" s="15"/>
      <c r="R283" s="15" t="s">
        <v>3195</v>
      </c>
      <c r="S283" s="24" t="s">
        <v>39</v>
      </c>
      <c r="T283" s="24" t="s">
        <v>39</v>
      </c>
      <c r="U283" s="24" t="s">
        <v>39</v>
      </c>
      <c r="V283" s="24" t="s">
        <v>39</v>
      </c>
      <c r="W283" s="24" t="s">
        <v>3196</v>
      </c>
      <c r="X283" s="24" t="s">
        <v>3197</v>
      </c>
      <c r="Y283" s="15" t="s">
        <v>3198</v>
      </c>
      <c r="Z283" s="15" t="s">
        <v>3199</v>
      </c>
      <c r="AA283" s="24"/>
      <c r="AB283" s="24"/>
      <c r="AC283" s="24"/>
      <c r="AD283" s="24"/>
      <c r="AE283" s="24"/>
      <c r="AF283" s="24"/>
      <c r="AG283" s="24"/>
      <c r="AH283" s="24"/>
    </row>
    <row r="284" spans="1:34" ht="30" x14ac:dyDescent="0.25">
      <c r="A284" s="24" t="str">
        <f>HYPERLINK("https://www.cpso.on.ca/DoctorDetails/Bharat-Bhushan-Chawla/0057881-69469","Chawla, Bharat Bhushan")</f>
        <v>Chawla, Bharat Bhushan</v>
      </c>
      <c r="B284" s="25" t="s">
        <v>3200</v>
      </c>
      <c r="C284" s="24" t="s">
        <v>3201</v>
      </c>
      <c r="D284" s="24" t="s">
        <v>3202</v>
      </c>
      <c r="E284" s="24" t="s">
        <v>29</v>
      </c>
      <c r="F284" s="24" t="s">
        <v>30</v>
      </c>
      <c r="G284" s="24" t="s">
        <v>691</v>
      </c>
      <c r="H284" s="24" t="s">
        <v>3203</v>
      </c>
      <c r="I284" s="24" t="s">
        <v>3204</v>
      </c>
      <c r="J284" s="24" t="s">
        <v>2056</v>
      </c>
      <c r="K284" s="24"/>
      <c r="L284" s="24" t="s">
        <v>340</v>
      </c>
      <c r="M284" s="15" t="s">
        <v>3205</v>
      </c>
      <c r="N284" s="15"/>
      <c r="O284" s="15" t="s">
        <v>3206</v>
      </c>
      <c r="P284" s="15" t="s">
        <v>169</v>
      </c>
      <c r="Q284" s="15" t="s">
        <v>3207</v>
      </c>
      <c r="R284" s="15" t="s">
        <v>3208</v>
      </c>
      <c r="S284" s="24" t="s">
        <v>39</v>
      </c>
      <c r="T284" s="24" t="s">
        <v>39</v>
      </c>
      <c r="U284" s="24" t="s">
        <v>39</v>
      </c>
      <c r="V284" s="24" t="s">
        <v>39</v>
      </c>
      <c r="W284" s="24" t="s">
        <v>3209</v>
      </c>
      <c r="X284" s="24" t="s">
        <v>3210</v>
      </c>
      <c r="Y284" s="15" t="s">
        <v>3211</v>
      </c>
      <c r="Z284" s="15" t="s">
        <v>3212</v>
      </c>
      <c r="AA284" s="24"/>
      <c r="AB284" s="24"/>
      <c r="AC284" s="24"/>
      <c r="AD284" s="24"/>
      <c r="AE284" s="24"/>
      <c r="AF284" s="24"/>
      <c r="AG284" s="24"/>
      <c r="AH284" s="24"/>
    </row>
    <row r="285" spans="1:34" ht="105" x14ac:dyDescent="0.25">
      <c r="A285" s="24" t="str">
        <f>HYPERLINK("https://www.cpso.on.ca/DoctorDetails/Bijayalaxmi-Devi/0042615-56593","Devi, Bijayalaxmi")</f>
        <v>Devi, Bijayalaxmi</v>
      </c>
      <c r="B285" s="25" t="s">
        <v>3213</v>
      </c>
      <c r="C285" s="24" t="s">
        <v>836</v>
      </c>
      <c r="D285" s="24" t="s">
        <v>3214</v>
      </c>
      <c r="E285" s="24" t="s">
        <v>29</v>
      </c>
      <c r="F285" s="24" t="s">
        <v>47</v>
      </c>
      <c r="G285" s="24" t="s">
        <v>3215</v>
      </c>
      <c r="H285" s="24" t="s">
        <v>3216</v>
      </c>
      <c r="I285" s="24" t="s">
        <v>3217</v>
      </c>
      <c r="J285" s="24" t="s">
        <v>3218</v>
      </c>
      <c r="K285" s="24" t="s">
        <v>3219</v>
      </c>
      <c r="L285" s="24" t="s">
        <v>36</v>
      </c>
      <c r="M285" s="15"/>
      <c r="N285" s="15"/>
      <c r="O285" s="15"/>
      <c r="P285" s="15" t="s">
        <v>3220</v>
      </c>
      <c r="Q285" s="15" t="s">
        <v>3221</v>
      </c>
      <c r="R285" s="15" t="s">
        <v>3222</v>
      </c>
      <c r="S285" s="24" t="s">
        <v>39</v>
      </c>
      <c r="T285" s="24" t="s">
        <v>39</v>
      </c>
      <c r="U285" s="24" t="s">
        <v>39</v>
      </c>
      <c r="V285" s="24" t="s">
        <v>39</v>
      </c>
      <c r="W285" s="24" t="s">
        <v>3223</v>
      </c>
      <c r="X285" s="24" t="s">
        <v>3224</v>
      </c>
      <c r="Y285" s="15" t="s">
        <v>3225</v>
      </c>
      <c r="Z285" s="15" t="s">
        <v>3226</v>
      </c>
      <c r="AA285" s="24"/>
      <c r="AB285" s="24"/>
      <c r="AC285" s="24"/>
      <c r="AD285" s="24"/>
      <c r="AE285" s="24"/>
      <c r="AF285" s="24"/>
      <c r="AG285" s="24"/>
      <c r="AH285" s="24"/>
    </row>
    <row r="286" spans="1:34" x14ac:dyDescent="0.25">
      <c r="A286" s="24" t="str">
        <f>HYPERLINK("https://www.cpso.on.ca/DoctorDetails/Biju-Mathew/0050224-64203","Mathew, Biju")</f>
        <v>Mathew, Biju</v>
      </c>
      <c r="B286" s="25" t="s">
        <v>3227</v>
      </c>
      <c r="C286" s="24" t="s">
        <v>3228</v>
      </c>
      <c r="D286" s="24" t="s">
        <v>3229</v>
      </c>
      <c r="E286" s="24" t="s">
        <v>29</v>
      </c>
      <c r="F286" s="24" t="s">
        <v>30</v>
      </c>
      <c r="G286" s="24" t="s">
        <v>3230</v>
      </c>
      <c r="H286" s="24" t="s">
        <v>3231</v>
      </c>
      <c r="I286" s="24" t="s">
        <v>107</v>
      </c>
      <c r="J286" s="24"/>
      <c r="K286" s="24"/>
      <c r="L286" s="24"/>
      <c r="M286" s="15"/>
      <c r="N286" s="15" t="s">
        <v>1370</v>
      </c>
      <c r="O286" s="15"/>
      <c r="P286" s="15" t="s">
        <v>3232</v>
      </c>
      <c r="Q286" s="15"/>
      <c r="R286" s="15" t="s">
        <v>3233</v>
      </c>
      <c r="S286" s="24" t="s">
        <v>39</v>
      </c>
      <c r="T286" s="24" t="s">
        <v>39</v>
      </c>
      <c r="U286" s="24" t="s">
        <v>39</v>
      </c>
      <c r="V286" s="24" t="s">
        <v>39</v>
      </c>
      <c r="W286" s="24"/>
      <c r="X286" s="24"/>
      <c r="Y286" s="15"/>
      <c r="Z286" s="15"/>
      <c r="AA286" s="24"/>
      <c r="AB286" s="24"/>
      <c r="AC286" s="24"/>
      <c r="AD286" s="24"/>
      <c r="AE286" s="24"/>
      <c r="AF286" s="24"/>
      <c r="AG286" s="24"/>
      <c r="AH286" s="24"/>
    </row>
    <row r="287" spans="1:34" ht="45" x14ac:dyDescent="0.25">
      <c r="A287" s="24" t="str">
        <f>HYPERLINK("https://www.cpso.on.ca/DoctorDetails/Birinder-Malhotra/0037180-51156","Malhotra, Birinder")</f>
        <v>Malhotra, Birinder</v>
      </c>
      <c r="B287" s="25" t="s">
        <v>3234</v>
      </c>
      <c r="C287" s="24" t="s">
        <v>753</v>
      </c>
      <c r="D287" s="24" t="s">
        <v>3235</v>
      </c>
      <c r="E287" s="24" t="s">
        <v>29</v>
      </c>
      <c r="F287" s="24" t="s">
        <v>47</v>
      </c>
      <c r="G287" s="24" t="s">
        <v>31</v>
      </c>
      <c r="H287" s="24" t="s">
        <v>3236</v>
      </c>
      <c r="I287" s="24" t="s">
        <v>3237</v>
      </c>
      <c r="J287" s="24" t="s">
        <v>3238</v>
      </c>
      <c r="K287" s="24" t="s">
        <v>3119</v>
      </c>
      <c r="L287" s="24" t="s">
        <v>135</v>
      </c>
      <c r="M287" s="15" t="s">
        <v>3239</v>
      </c>
      <c r="N287" s="15"/>
      <c r="O287" s="15"/>
      <c r="P287" s="15" t="s">
        <v>2876</v>
      </c>
      <c r="Q287" s="15"/>
      <c r="R287" s="15" t="s">
        <v>3240</v>
      </c>
      <c r="S287" s="24" t="s">
        <v>39</v>
      </c>
      <c r="T287" s="24" t="s">
        <v>39</v>
      </c>
      <c r="U287" s="24" t="s">
        <v>39</v>
      </c>
      <c r="V287" s="24" t="s">
        <v>39</v>
      </c>
      <c r="W287" s="24" t="s">
        <v>3241</v>
      </c>
      <c r="X287" s="24" t="s">
        <v>3242</v>
      </c>
      <c r="Y287" s="15" t="s">
        <v>3243</v>
      </c>
      <c r="Z287" s="15" t="s">
        <v>3244</v>
      </c>
      <c r="AA287" s="24"/>
      <c r="AB287" s="24"/>
      <c r="AC287" s="24"/>
      <c r="AD287" s="24"/>
      <c r="AE287" s="24"/>
      <c r="AF287" s="24"/>
      <c r="AG287" s="24"/>
      <c r="AH287" s="24"/>
    </row>
    <row r="288" spans="1:34" ht="60" x14ac:dyDescent="0.25">
      <c r="A288" s="24" t="str">
        <f>HYPERLINK("https://www.cpso.on.ca/DoctorDetails/Blanca-Miriam-BoleaAlamanac/0313017-111105","Bolea-Alamanac, Blanca Miriam")</f>
        <v>Bolea-Alamanac, Blanca Miriam</v>
      </c>
      <c r="B288" s="25" t="s">
        <v>3245</v>
      </c>
      <c r="C288" s="24" t="s">
        <v>2611</v>
      </c>
      <c r="D288" s="24" t="s">
        <v>3246</v>
      </c>
      <c r="E288" s="24" t="s">
        <v>29</v>
      </c>
      <c r="F288" s="24" t="s">
        <v>47</v>
      </c>
      <c r="G288" s="24" t="s">
        <v>115</v>
      </c>
      <c r="H288" s="24" t="s">
        <v>3247</v>
      </c>
      <c r="I288" s="24" t="s">
        <v>3248</v>
      </c>
      <c r="J288" s="24" t="s">
        <v>3249</v>
      </c>
      <c r="K288" s="24"/>
      <c r="L288" s="24" t="s">
        <v>52</v>
      </c>
      <c r="M288" s="15"/>
      <c r="N288" s="15"/>
      <c r="O288" s="15" t="s">
        <v>3250</v>
      </c>
      <c r="P288" s="15" t="s">
        <v>3251</v>
      </c>
      <c r="Q288" s="15"/>
      <c r="R288" s="15" t="s">
        <v>3252</v>
      </c>
      <c r="S288" s="24" t="s">
        <v>71</v>
      </c>
      <c r="T288" s="24" t="s">
        <v>39</v>
      </c>
      <c r="U288" s="24" t="s">
        <v>39</v>
      </c>
      <c r="V288" s="24" t="s">
        <v>39</v>
      </c>
      <c r="W288" s="24"/>
      <c r="X288" s="24"/>
      <c r="Y288" s="15"/>
      <c r="Z288" s="15"/>
      <c r="AA288" s="24"/>
      <c r="AB288" s="24"/>
      <c r="AC288" s="24"/>
      <c r="AD288" s="24"/>
      <c r="AE288" s="24"/>
      <c r="AF288" s="24"/>
      <c r="AG288" s="24"/>
      <c r="AH288" s="24"/>
    </row>
    <row r="289" spans="1:34" ht="45" x14ac:dyDescent="0.25">
      <c r="A289" s="24" t="str">
        <f>HYPERLINK("https://www.cpso.on.ca/DoctorDetails/BogdanCristian-I-Ulic/0155458-73090","Ulic, Bogdan-Cristian I")</f>
        <v>Ulic, Bogdan-Cristian I</v>
      </c>
      <c r="B289" s="25" t="s">
        <v>3253</v>
      </c>
      <c r="C289" s="24" t="s">
        <v>3254</v>
      </c>
      <c r="D289" s="24" t="s">
        <v>1670</v>
      </c>
      <c r="E289" s="24" t="s">
        <v>29</v>
      </c>
      <c r="F289" s="24" t="s">
        <v>30</v>
      </c>
      <c r="G289" s="24" t="s">
        <v>923</v>
      </c>
      <c r="H289" s="24" t="s">
        <v>3255</v>
      </c>
      <c r="I289" s="24" t="s">
        <v>3256</v>
      </c>
      <c r="J289" s="24" t="s">
        <v>3257</v>
      </c>
      <c r="K289" s="24" t="s">
        <v>3258</v>
      </c>
      <c r="L289" s="24" t="s">
        <v>52</v>
      </c>
      <c r="M289" s="15"/>
      <c r="N289" s="15"/>
      <c r="O289" s="15" t="s">
        <v>438</v>
      </c>
      <c r="P289" s="15" t="s">
        <v>1677</v>
      </c>
      <c r="Q289" s="15" t="s">
        <v>3259</v>
      </c>
      <c r="R289" s="15" t="s">
        <v>3260</v>
      </c>
      <c r="S289" s="24" t="s">
        <v>39</v>
      </c>
      <c r="T289" s="24" t="s">
        <v>39</v>
      </c>
      <c r="U289" s="24" t="s">
        <v>39</v>
      </c>
      <c r="V289" s="24" t="s">
        <v>39</v>
      </c>
      <c r="W289" s="24" t="s">
        <v>3261</v>
      </c>
      <c r="X289" s="24" t="s">
        <v>3262</v>
      </c>
      <c r="Y289" s="15" t="s">
        <v>3263</v>
      </c>
      <c r="Z289" s="15" t="s">
        <v>3264</v>
      </c>
      <c r="AA289" s="24"/>
      <c r="AB289" s="24"/>
      <c r="AC289" s="24"/>
      <c r="AD289" s="24"/>
      <c r="AE289" s="24"/>
      <c r="AF289" s="24"/>
      <c r="AG289" s="24"/>
      <c r="AH289" s="24"/>
    </row>
    <row r="290" spans="1:34" ht="45" x14ac:dyDescent="0.25">
      <c r="A290" s="24" t="str">
        <f>HYPERLINK("https://www.cpso.on.ca/DoctorDetails/Bogeswari-Venkatesan/0040987-54963","Venkatesan, Bogeswari")</f>
        <v>Venkatesan, Bogeswari</v>
      </c>
      <c r="B290" s="25" t="s">
        <v>3265</v>
      </c>
      <c r="C290" s="24" t="s">
        <v>3266</v>
      </c>
      <c r="D290" s="24" t="s">
        <v>3267</v>
      </c>
      <c r="E290" s="24" t="s">
        <v>29</v>
      </c>
      <c r="F290" s="24" t="s">
        <v>47</v>
      </c>
      <c r="G290" s="24" t="s">
        <v>2255</v>
      </c>
      <c r="H290" s="24" t="s">
        <v>3268</v>
      </c>
      <c r="I290" s="24" t="s">
        <v>107</v>
      </c>
      <c r="J290" s="24"/>
      <c r="K290" s="24"/>
      <c r="L290" s="24"/>
      <c r="M290" s="15"/>
      <c r="N290" s="15"/>
      <c r="O290" s="15"/>
      <c r="P290" s="15" t="s">
        <v>2864</v>
      </c>
      <c r="Q290" s="15"/>
      <c r="R290" s="15" t="s">
        <v>3269</v>
      </c>
      <c r="S290" s="24" t="s">
        <v>39</v>
      </c>
      <c r="T290" s="24" t="s">
        <v>39</v>
      </c>
      <c r="U290" s="24" t="s">
        <v>39</v>
      </c>
      <c r="V290" s="24" t="s">
        <v>39</v>
      </c>
      <c r="W290" s="24" t="s">
        <v>3270</v>
      </c>
      <c r="X290" s="24" t="s">
        <v>3271</v>
      </c>
      <c r="Y290" s="15" t="s">
        <v>3272</v>
      </c>
      <c r="Z290" s="15" t="s">
        <v>3273</v>
      </c>
      <c r="AA290" s="24"/>
      <c r="AB290" s="24"/>
      <c r="AC290" s="24"/>
      <c r="AD290" s="24"/>
      <c r="AE290" s="24"/>
      <c r="AF290" s="24"/>
      <c r="AG290" s="24"/>
      <c r="AH290" s="24"/>
    </row>
    <row r="291" spans="1:34" ht="45" x14ac:dyDescent="0.25">
      <c r="A291" s="24" t="str">
        <f>HYPERLINK("https://www.cpso.on.ca/DoctorDetails/Boneventure-Lena/0030373-42353","Lena, Boneventure")</f>
        <v>Lena, Boneventure</v>
      </c>
      <c r="B291" s="25" t="s">
        <v>3274</v>
      </c>
      <c r="C291" s="24" t="s">
        <v>3275</v>
      </c>
      <c r="D291" s="24" t="s">
        <v>3276</v>
      </c>
      <c r="E291" s="24" t="s">
        <v>29</v>
      </c>
      <c r="F291" s="24" t="s">
        <v>30</v>
      </c>
      <c r="G291" s="24" t="s">
        <v>31</v>
      </c>
      <c r="H291" s="24" t="s">
        <v>3277</v>
      </c>
      <c r="I291" s="24" t="s">
        <v>3278</v>
      </c>
      <c r="J291" s="24" t="s">
        <v>3279</v>
      </c>
      <c r="K291" s="24" t="s">
        <v>2041</v>
      </c>
      <c r="L291" s="24" t="s">
        <v>84</v>
      </c>
      <c r="M291" s="15"/>
      <c r="N291" s="15"/>
      <c r="O291" s="15"/>
      <c r="P291" s="15" t="s">
        <v>1192</v>
      </c>
      <c r="Q291" s="15"/>
      <c r="R291" s="15" t="s">
        <v>3280</v>
      </c>
      <c r="S291" s="24" t="s">
        <v>39</v>
      </c>
      <c r="T291" s="24" t="s">
        <v>39</v>
      </c>
      <c r="U291" s="24" t="s">
        <v>39</v>
      </c>
      <c r="V291" s="24" t="s">
        <v>39</v>
      </c>
      <c r="W291" s="24"/>
      <c r="X291" s="24"/>
      <c r="Y291" s="15"/>
      <c r="Z291" s="15"/>
      <c r="AA291" s="24"/>
      <c r="AB291" s="24"/>
      <c r="AC291" s="24"/>
      <c r="AD291" s="24"/>
      <c r="AE291" s="24"/>
      <c r="AF291" s="24"/>
      <c r="AG291" s="24"/>
      <c r="AH291" s="24"/>
    </row>
    <row r="292" spans="1:34" ht="30" x14ac:dyDescent="0.25">
      <c r="A292" s="24" t="str">
        <f>HYPERLINK("https://www.cpso.on.ca/DoctorDetails/Bonnie-Lorraine-Wilson/0045684-59662","Wilson, Bonnie Lorraine")</f>
        <v>Wilson, Bonnie Lorraine</v>
      </c>
      <c r="B292" s="25" t="s">
        <v>3281</v>
      </c>
      <c r="C292" s="24" t="s">
        <v>3282</v>
      </c>
      <c r="D292" s="24" t="s">
        <v>3283</v>
      </c>
      <c r="E292" s="24" t="s">
        <v>29</v>
      </c>
      <c r="F292" s="24" t="s">
        <v>47</v>
      </c>
      <c r="G292" s="24" t="s">
        <v>31</v>
      </c>
      <c r="H292" s="24" t="s">
        <v>3284</v>
      </c>
      <c r="I292" s="24" t="s">
        <v>3285</v>
      </c>
      <c r="J292" s="24" t="s">
        <v>3286</v>
      </c>
      <c r="K292" s="24" t="s">
        <v>3287</v>
      </c>
      <c r="L292" s="24" t="s">
        <v>84</v>
      </c>
      <c r="M292" s="15" t="s">
        <v>3288</v>
      </c>
      <c r="N292" s="15"/>
      <c r="O292" s="15" t="s">
        <v>3289</v>
      </c>
      <c r="P292" s="15" t="s">
        <v>2293</v>
      </c>
      <c r="Q292" s="15" t="s">
        <v>3290</v>
      </c>
      <c r="R292" s="15" t="s">
        <v>3291</v>
      </c>
      <c r="S292" s="24" t="s">
        <v>39</v>
      </c>
      <c r="T292" s="24" t="s">
        <v>39</v>
      </c>
      <c r="U292" s="24" t="s">
        <v>39</v>
      </c>
      <c r="V292" s="24" t="s">
        <v>39</v>
      </c>
      <c r="W292" s="24"/>
      <c r="X292" s="24"/>
      <c r="Y292" s="15"/>
      <c r="Z292" s="15"/>
      <c r="AA292" s="24"/>
      <c r="AB292" s="24"/>
      <c r="AC292" s="24"/>
      <c r="AD292" s="24"/>
      <c r="AE292" s="24"/>
      <c r="AF292" s="24"/>
      <c r="AG292" s="24"/>
      <c r="AH292" s="24"/>
    </row>
    <row r="293" spans="1:34" x14ac:dyDescent="0.25">
      <c r="A293" s="24" t="str">
        <f>HYPERLINK("https://www.cpso.on.ca/DoctorDetails/BoonChye-Chua/0023958-28780","Chua, Boon-Chye")</f>
        <v>Chua, Boon-Chye</v>
      </c>
      <c r="B293" s="25" t="s">
        <v>3292</v>
      </c>
      <c r="C293" s="24" t="s">
        <v>3293</v>
      </c>
      <c r="D293" s="24" t="s">
        <v>3294</v>
      </c>
      <c r="E293" s="24" t="s">
        <v>29</v>
      </c>
      <c r="F293" s="24" t="s">
        <v>30</v>
      </c>
      <c r="G293" s="24" t="s">
        <v>31</v>
      </c>
      <c r="H293" s="24" t="s">
        <v>3295</v>
      </c>
      <c r="I293" s="24" t="s">
        <v>3296</v>
      </c>
      <c r="J293" s="24" t="s">
        <v>3297</v>
      </c>
      <c r="K293" s="24" t="s">
        <v>3298</v>
      </c>
      <c r="L293" s="24" t="s">
        <v>52</v>
      </c>
      <c r="M293" s="15"/>
      <c r="N293" s="15"/>
      <c r="O293" s="15"/>
      <c r="P293" s="15" t="s">
        <v>3299</v>
      </c>
      <c r="Q293" s="15"/>
      <c r="R293" s="15" t="s">
        <v>3300</v>
      </c>
      <c r="S293" s="24" t="s">
        <v>39</v>
      </c>
      <c r="T293" s="24" t="s">
        <v>39</v>
      </c>
      <c r="U293" s="24" t="s">
        <v>39</v>
      </c>
      <c r="V293" s="24" t="s">
        <v>39</v>
      </c>
      <c r="W293" s="24"/>
      <c r="X293" s="24"/>
      <c r="Y293" s="15"/>
      <c r="Z293" s="15"/>
      <c r="AA293" s="24"/>
      <c r="AB293" s="24"/>
      <c r="AC293" s="24"/>
      <c r="AD293" s="24"/>
      <c r="AE293" s="24"/>
      <c r="AF293" s="24"/>
      <c r="AG293" s="24"/>
      <c r="AH293" s="24"/>
    </row>
    <row r="294" spans="1:34" ht="120" x14ac:dyDescent="0.25">
      <c r="A294" s="24" t="str">
        <f>HYPERLINK("https://www.cpso.on.ca/DoctorDetails/Bosah-Celestine-Nwosu/0291827-102548","Nwosu, Bosah Celestine")</f>
        <v>Nwosu, Bosah Celestine</v>
      </c>
      <c r="B294" s="25" t="s">
        <v>3301</v>
      </c>
      <c r="C294" s="24" t="s">
        <v>3302</v>
      </c>
      <c r="D294" s="24" t="s">
        <v>3303</v>
      </c>
      <c r="E294" s="24" t="s">
        <v>29</v>
      </c>
      <c r="F294" s="24" t="s">
        <v>30</v>
      </c>
      <c r="G294" s="24" t="s">
        <v>31</v>
      </c>
      <c r="H294" s="24" t="s">
        <v>3304</v>
      </c>
      <c r="I294" s="24" t="s">
        <v>3305</v>
      </c>
      <c r="J294" s="24" t="s">
        <v>3306</v>
      </c>
      <c r="K294" s="24"/>
      <c r="L294" s="24" t="s">
        <v>328</v>
      </c>
      <c r="M294" s="15"/>
      <c r="N294" s="15" t="s">
        <v>398</v>
      </c>
      <c r="O294" s="15" t="s">
        <v>3307</v>
      </c>
      <c r="P294" s="15" t="s">
        <v>3308</v>
      </c>
      <c r="Q294" s="15"/>
      <c r="R294" s="15" t="s">
        <v>3309</v>
      </c>
      <c r="S294" s="24" t="s">
        <v>39</v>
      </c>
      <c r="T294" s="24" t="s">
        <v>39</v>
      </c>
      <c r="U294" s="24" t="s">
        <v>39</v>
      </c>
      <c r="V294" s="24" t="s">
        <v>39</v>
      </c>
      <c r="W294" s="24" t="s">
        <v>3310</v>
      </c>
      <c r="X294" s="24" t="s">
        <v>3311</v>
      </c>
      <c r="Y294" s="15" t="s">
        <v>3312</v>
      </c>
      <c r="Z294" s="15" t="s">
        <v>3313</v>
      </c>
      <c r="AA294" s="24"/>
      <c r="AB294" s="24"/>
      <c r="AC294" s="24"/>
      <c r="AD294" s="24"/>
      <c r="AE294" s="24"/>
      <c r="AF294" s="24"/>
      <c r="AG294" s="24"/>
      <c r="AH294" s="24"/>
    </row>
    <row r="295" spans="1:34" ht="30" x14ac:dyDescent="0.25">
      <c r="A295" s="24" t="str">
        <f>HYPERLINK("https://www.cpso.on.ca/DoctorDetails/Bozenna-LukaszewskaAndziak/0039717-53693","Lukaszewska-Andziak, Bozenna")</f>
        <v>Lukaszewska-Andziak, Bozenna</v>
      </c>
      <c r="B295" s="25" t="s">
        <v>3314</v>
      </c>
      <c r="C295" s="24" t="s">
        <v>3315</v>
      </c>
      <c r="D295" s="24" t="s">
        <v>3316</v>
      </c>
      <c r="E295" s="24" t="s">
        <v>29</v>
      </c>
      <c r="F295" s="24" t="s">
        <v>47</v>
      </c>
      <c r="G295" s="24" t="s">
        <v>1657</v>
      </c>
      <c r="H295" s="24" t="s">
        <v>3317</v>
      </c>
      <c r="I295" s="24" t="s">
        <v>3318</v>
      </c>
      <c r="J295" s="24" t="s">
        <v>3319</v>
      </c>
      <c r="K295" s="24"/>
      <c r="L295" s="24" t="s">
        <v>52</v>
      </c>
      <c r="M295" s="15"/>
      <c r="N295" s="15" t="s">
        <v>3320</v>
      </c>
      <c r="O295" s="15"/>
      <c r="P295" s="15" t="s">
        <v>1877</v>
      </c>
      <c r="Q295" s="15" t="s">
        <v>809</v>
      </c>
      <c r="R295" s="15" t="s">
        <v>3321</v>
      </c>
      <c r="S295" s="24" t="s">
        <v>39</v>
      </c>
      <c r="T295" s="24" t="s">
        <v>39</v>
      </c>
      <c r="U295" s="24" t="s">
        <v>39</v>
      </c>
      <c r="V295" s="24" t="s">
        <v>39</v>
      </c>
      <c r="W295" s="24"/>
      <c r="X295" s="24"/>
      <c r="Y295" s="15"/>
      <c r="Z295" s="15"/>
      <c r="AA295" s="24"/>
      <c r="AB295" s="24"/>
      <c r="AC295" s="24"/>
      <c r="AD295" s="24"/>
      <c r="AE295" s="24"/>
      <c r="AF295" s="24"/>
      <c r="AG295" s="24"/>
      <c r="AH295" s="24"/>
    </row>
    <row r="296" spans="1:34" ht="75" x14ac:dyDescent="0.25">
      <c r="A296" s="24" t="str">
        <f>HYPERLINK("https://www.cpso.on.ca/DoctorDetails/Brad-Earl-Bowins/0046981-60959","Bowins, Brad Earl")</f>
        <v>Bowins, Brad Earl</v>
      </c>
      <c r="B296" s="25" t="s">
        <v>3322</v>
      </c>
      <c r="C296" s="24" t="s">
        <v>3323</v>
      </c>
      <c r="D296" s="24" t="s">
        <v>3324</v>
      </c>
      <c r="E296" s="24" t="s">
        <v>29</v>
      </c>
      <c r="F296" s="24" t="s">
        <v>30</v>
      </c>
      <c r="G296" s="24" t="s">
        <v>31</v>
      </c>
      <c r="H296" s="24" t="s">
        <v>3325</v>
      </c>
      <c r="I296" s="24" t="s">
        <v>3326</v>
      </c>
      <c r="J296" s="24" t="s">
        <v>3327</v>
      </c>
      <c r="K296" s="24"/>
      <c r="L296" s="24" t="s">
        <v>52</v>
      </c>
      <c r="M296" s="15"/>
      <c r="N296" s="15"/>
      <c r="O296" s="15"/>
      <c r="P296" s="15" t="s">
        <v>1007</v>
      </c>
      <c r="Q296" s="15" t="s">
        <v>3328</v>
      </c>
      <c r="R296" s="15" t="s">
        <v>3329</v>
      </c>
      <c r="S296" s="24" t="s">
        <v>39</v>
      </c>
      <c r="T296" s="24" t="s">
        <v>39</v>
      </c>
      <c r="U296" s="24" t="s">
        <v>39</v>
      </c>
      <c r="V296" s="24" t="s">
        <v>39</v>
      </c>
      <c r="W296" s="24"/>
      <c r="X296" s="24"/>
      <c r="Y296" s="15"/>
      <c r="Z296" s="15"/>
      <c r="AA296" s="24"/>
      <c r="AB296" s="24"/>
      <c r="AC296" s="24"/>
      <c r="AD296" s="24"/>
      <c r="AE296" s="24"/>
      <c r="AF296" s="24"/>
      <c r="AG296" s="24"/>
      <c r="AH296" s="24"/>
    </row>
    <row r="297" spans="1:34" ht="75" x14ac:dyDescent="0.25">
      <c r="A297" s="24" t="str">
        <f>HYPERLINK("https://www.cpso.on.ca/DoctorDetails/Bradley-David-Booth/0168967-74902","Booth, Bradley David")</f>
        <v>Booth, Bradley David</v>
      </c>
      <c r="B297" s="25" t="s">
        <v>3330</v>
      </c>
      <c r="C297" s="24" t="s">
        <v>3331</v>
      </c>
      <c r="D297" s="24" t="s">
        <v>3332</v>
      </c>
      <c r="E297" s="24" t="s">
        <v>29</v>
      </c>
      <c r="F297" s="24" t="s">
        <v>30</v>
      </c>
      <c r="G297" s="24" t="s">
        <v>813</v>
      </c>
      <c r="H297" s="24" t="s">
        <v>3333</v>
      </c>
      <c r="I297" s="24" t="s">
        <v>3334</v>
      </c>
      <c r="J297" s="24" t="s">
        <v>3335</v>
      </c>
      <c r="K297" s="24" t="s">
        <v>3336</v>
      </c>
      <c r="L297" s="24" t="s">
        <v>84</v>
      </c>
      <c r="M297" s="15" t="s">
        <v>3337</v>
      </c>
      <c r="N297" s="15"/>
      <c r="O297" s="15" t="s">
        <v>3338</v>
      </c>
      <c r="P297" s="15" t="s">
        <v>1239</v>
      </c>
      <c r="Q297" s="15" t="s">
        <v>3339</v>
      </c>
      <c r="R297" s="15" t="s">
        <v>3340</v>
      </c>
      <c r="S297" s="24" t="s">
        <v>39</v>
      </c>
      <c r="T297" s="24" t="s">
        <v>39</v>
      </c>
      <c r="U297" s="24" t="s">
        <v>39</v>
      </c>
      <c r="V297" s="24" t="s">
        <v>39</v>
      </c>
      <c r="W297" s="24" t="s">
        <v>3341</v>
      </c>
      <c r="X297" s="24" t="s">
        <v>3342</v>
      </c>
      <c r="Y297" s="15" t="s">
        <v>3343</v>
      </c>
      <c r="Z297" s="15" t="s">
        <v>3344</v>
      </c>
      <c r="AA297" s="24"/>
      <c r="AB297" s="24"/>
      <c r="AC297" s="24"/>
      <c r="AD297" s="24"/>
      <c r="AE297" s="24"/>
      <c r="AF297" s="24"/>
      <c r="AG297" s="24"/>
      <c r="AH297" s="24"/>
    </row>
    <row r="298" spans="1:34" ht="75" x14ac:dyDescent="0.25">
      <c r="A298" s="24" t="str">
        <f>HYPERLINK("https://www.cpso.on.ca/DoctorDetails/Brant-Eric-Bergstrome/0050433-64412","Bergstrome, Brant Eric")</f>
        <v>Bergstrome, Brant Eric</v>
      </c>
      <c r="B298" s="25" t="s">
        <v>3345</v>
      </c>
      <c r="C298" s="24" t="s">
        <v>3346</v>
      </c>
      <c r="D298" s="24" t="s">
        <v>3347</v>
      </c>
      <c r="E298" s="24" t="s">
        <v>29</v>
      </c>
      <c r="F298" s="24" t="s">
        <v>30</v>
      </c>
      <c r="G298" s="24" t="s">
        <v>31</v>
      </c>
      <c r="H298" s="24" t="s">
        <v>3348</v>
      </c>
      <c r="I298" s="24" t="s">
        <v>3349</v>
      </c>
      <c r="J298" s="24" t="s">
        <v>3350</v>
      </c>
      <c r="K298" s="24" t="s">
        <v>3351</v>
      </c>
      <c r="L298" s="24" t="s">
        <v>36</v>
      </c>
      <c r="M298" s="15"/>
      <c r="N298" s="15"/>
      <c r="O298" s="15" t="s">
        <v>3352</v>
      </c>
      <c r="P298" s="15" t="s">
        <v>3353</v>
      </c>
      <c r="Q298" s="15" t="s">
        <v>3354</v>
      </c>
      <c r="R298" s="15" t="s">
        <v>3355</v>
      </c>
      <c r="S298" s="24" t="s">
        <v>39</v>
      </c>
      <c r="T298" s="24" t="s">
        <v>71</v>
      </c>
      <c r="U298" s="24" t="s">
        <v>39</v>
      </c>
      <c r="V298" s="24" t="s">
        <v>39</v>
      </c>
      <c r="W298" s="24" t="s">
        <v>3356</v>
      </c>
      <c r="X298" s="24" t="s">
        <v>3357</v>
      </c>
      <c r="Y298" s="15"/>
      <c r="Z298" s="15"/>
      <c r="AA298" s="24" t="s">
        <v>3356</v>
      </c>
      <c r="AB298" s="24" t="s">
        <v>3358</v>
      </c>
      <c r="AC298" s="24" t="s">
        <v>3359</v>
      </c>
      <c r="AD298" s="24" t="s">
        <v>3360</v>
      </c>
      <c r="AE298" s="24"/>
      <c r="AF298" s="24"/>
      <c r="AG298" s="24"/>
      <c r="AH298" s="24"/>
    </row>
    <row r="299" spans="1:34" ht="45" x14ac:dyDescent="0.25">
      <c r="A299" s="24" t="str">
        <f>HYPERLINK("https://www.cpso.on.ca/DoctorDetails/Breno-Satler-de-Oliveira-Diniz/0324012-114856","Diniz, Breno Satler de Oliveira")</f>
        <v>Diniz, Breno Satler de Oliveira</v>
      </c>
      <c r="B299" s="25" t="s">
        <v>3361</v>
      </c>
      <c r="C299" s="24" t="s">
        <v>3362</v>
      </c>
      <c r="D299" s="24" t="s">
        <v>3363</v>
      </c>
      <c r="E299" s="24" t="s">
        <v>29</v>
      </c>
      <c r="F299" s="24" t="s">
        <v>30</v>
      </c>
      <c r="G299" s="24" t="s">
        <v>31</v>
      </c>
      <c r="H299" s="24" t="s">
        <v>3364</v>
      </c>
      <c r="I299" s="24" t="s">
        <v>3365</v>
      </c>
      <c r="J299" s="24" t="s">
        <v>3366</v>
      </c>
      <c r="K299" s="24"/>
      <c r="L299" s="24" t="s">
        <v>52</v>
      </c>
      <c r="M299" s="15"/>
      <c r="N299" s="15"/>
      <c r="O299" s="15"/>
      <c r="P299" s="15" t="s">
        <v>3367</v>
      </c>
      <c r="Q299" s="15"/>
      <c r="R299" s="15" t="s">
        <v>3368</v>
      </c>
      <c r="S299" s="24" t="s">
        <v>71</v>
      </c>
      <c r="T299" s="24" t="s">
        <v>39</v>
      </c>
      <c r="U299" s="24" t="s">
        <v>39</v>
      </c>
      <c r="V299" s="24" t="s">
        <v>39</v>
      </c>
      <c r="W299" s="24"/>
      <c r="X299" s="24"/>
      <c r="Y299" s="15"/>
      <c r="Z299" s="15"/>
      <c r="AA299" s="24"/>
      <c r="AB299" s="24"/>
      <c r="AC299" s="24"/>
      <c r="AD299" s="24"/>
      <c r="AE299" s="24"/>
      <c r="AF299" s="24"/>
      <c r="AG299" s="24"/>
      <c r="AH299" s="24"/>
    </row>
    <row r="300" spans="1:34" ht="30" x14ac:dyDescent="0.25">
      <c r="A300" s="24" t="str">
        <f>HYPERLINK("https://www.cpso.on.ca/DoctorDetails/Brian-Baker/0028081-32904","Baker, Brian")</f>
        <v>Baker, Brian</v>
      </c>
      <c r="B300" s="25" t="s">
        <v>3369</v>
      </c>
      <c r="C300" s="24" t="s">
        <v>3370</v>
      </c>
      <c r="D300" s="24" t="s">
        <v>3371</v>
      </c>
      <c r="E300" s="24" t="s">
        <v>29</v>
      </c>
      <c r="F300" s="24" t="s">
        <v>30</v>
      </c>
      <c r="G300" s="24" t="s">
        <v>31</v>
      </c>
      <c r="H300" s="24" t="s">
        <v>3372</v>
      </c>
      <c r="I300" s="24" t="s">
        <v>3373</v>
      </c>
      <c r="J300" s="24" t="s">
        <v>3374</v>
      </c>
      <c r="K300" s="24" t="s">
        <v>3375</v>
      </c>
      <c r="L300" s="24" t="s">
        <v>52</v>
      </c>
      <c r="M300" s="15" t="s">
        <v>3376</v>
      </c>
      <c r="N300" s="15"/>
      <c r="O300" s="15" t="s">
        <v>487</v>
      </c>
      <c r="P300" s="15" t="s">
        <v>1794</v>
      </c>
      <c r="Q300" s="15"/>
      <c r="R300" s="15" t="s">
        <v>3377</v>
      </c>
      <c r="S300" s="24" t="s">
        <v>39</v>
      </c>
      <c r="T300" s="24" t="s">
        <v>39</v>
      </c>
      <c r="U300" s="24" t="s">
        <v>39</v>
      </c>
      <c r="V300" s="24" t="s">
        <v>39</v>
      </c>
      <c r="W300" s="24"/>
      <c r="X300" s="24"/>
      <c r="Y300" s="15"/>
      <c r="Z300" s="15"/>
      <c r="AA300" s="24"/>
      <c r="AB300" s="24"/>
      <c r="AC300" s="24"/>
      <c r="AD300" s="24"/>
      <c r="AE300" s="24"/>
      <c r="AF300" s="24"/>
      <c r="AG300" s="24"/>
      <c r="AH300" s="24"/>
    </row>
    <row r="301" spans="1:34" ht="90" x14ac:dyDescent="0.25">
      <c r="A301" s="24" t="str">
        <f>HYPERLINK("https://www.cpso.on.ca/DoctorDetails/Brian-Cho/0158300-74034","Cho, Brian")</f>
        <v>Cho, Brian</v>
      </c>
      <c r="B301" s="25" t="s">
        <v>3378</v>
      </c>
      <c r="C301" s="24" t="s">
        <v>3379</v>
      </c>
      <c r="D301" s="24" t="s">
        <v>3380</v>
      </c>
      <c r="E301" s="24" t="s">
        <v>29</v>
      </c>
      <c r="F301" s="24" t="s">
        <v>30</v>
      </c>
      <c r="G301" s="24" t="s">
        <v>31</v>
      </c>
      <c r="H301" s="24" t="s">
        <v>2846</v>
      </c>
      <c r="I301" s="24" t="s">
        <v>3381</v>
      </c>
      <c r="J301" s="24" t="s">
        <v>3382</v>
      </c>
      <c r="K301" s="24" t="s">
        <v>3383</v>
      </c>
      <c r="L301" s="24" t="s">
        <v>36</v>
      </c>
      <c r="M301" s="15" t="s">
        <v>3384</v>
      </c>
      <c r="N301" s="15"/>
      <c r="O301" s="15"/>
      <c r="P301" s="15" t="s">
        <v>288</v>
      </c>
      <c r="Q301" s="15" t="s">
        <v>3385</v>
      </c>
      <c r="R301" s="15" t="s">
        <v>3386</v>
      </c>
      <c r="S301" s="24" t="s">
        <v>39</v>
      </c>
      <c r="T301" s="24" t="s">
        <v>39</v>
      </c>
      <c r="U301" s="24" t="s">
        <v>39</v>
      </c>
      <c r="V301" s="24" t="s">
        <v>39</v>
      </c>
      <c r="W301" s="24" t="s">
        <v>3387</v>
      </c>
      <c r="X301" s="24" t="s">
        <v>3388</v>
      </c>
      <c r="Y301" s="15" t="s">
        <v>3389</v>
      </c>
      <c r="Z301" s="15" t="s">
        <v>3390</v>
      </c>
      <c r="AA301" s="24"/>
      <c r="AB301" s="24"/>
      <c r="AC301" s="24"/>
      <c r="AD301" s="24"/>
      <c r="AE301" s="24"/>
      <c r="AF301" s="24"/>
      <c r="AG301" s="24"/>
      <c r="AH301" s="24"/>
    </row>
    <row r="302" spans="1:34" ht="75" x14ac:dyDescent="0.25">
      <c r="A302" s="24" t="str">
        <f>HYPERLINK("https://www.cpso.on.ca/DoctorDetails/Brian-Cornelius-McCormack/0025608-30431","McCormack, Brian Cornelius")</f>
        <v>McCormack, Brian Cornelius</v>
      </c>
      <c r="B302" s="25" t="s">
        <v>3391</v>
      </c>
      <c r="C302" s="24" t="s">
        <v>3392</v>
      </c>
      <c r="D302" s="24" t="s">
        <v>3393</v>
      </c>
      <c r="E302" s="24" t="s">
        <v>29</v>
      </c>
      <c r="F302" s="24" t="s">
        <v>30</v>
      </c>
      <c r="G302" s="24" t="s">
        <v>31</v>
      </c>
      <c r="H302" s="24" t="s">
        <v>3394</v>
      </c>
      <c r="I302" s="24" t="s">
        <v>3395</v>
      </c>
      <c r="J302" s="24" t="s">
        <v>3396</v>
      </c>
      <c r="K302" s="24"/>
      <c r="L302" s="24" t="s">
        <v>36</v>
      </c>
      <c r="M302" s="15"/>
      <c r="N302" s="15"/>
      <c r="O302" s="15"/>
      <c r="P302" s="15" t="s">
        <v>1007</v>
      </c>
      <c r="Q302" s="15" t="s">
        <v>3397</v>
      </c>
      <c r="R302" s="15" t="s">
        <v>3398</v>
      </c>
      <c r="S302" s="24" t="s">
        <v>39</v>
      </c>
      <c r="T302" s="24" t="s">
        <v>39</v>
      </c>
      <c r="U302" s="24" t="s">
        <v>39</v>
      </c>
      <c r="V302" s="24" t="s">
        <v>39</v>
      </c>
      <c r="W302" s="24"/>
      <c r="X302" s="24"/>
      <c r="Y302" s="15"/>
      <c r="Z302" s="15"/>
      <c r="AA302" s="24"/>
      <c r="AB302" s="24"/>
      <c r="AC302" s="24"/>
      <c r="AD302" s="24"/>
      <c r="AE302" s="24"/>
      <c r="AF302" s="24"/>
      <c r="AG302" s="24"/>
      <c r="AH302" s="24"/>
    </row>
    <row r="303" spans="1:34" ht="105" x14ac:dyDescent="0.25">
      <c r="A303" s="24" t="str">
        <f>HYPERLINK("https://www.cpso.on.ca/DoctorDetails/Brian-David-Hodges/0046727-60705","Hodges, Brian David")</f>
        <v>Hodges, Brian David</v>
      </c>
      <c r="B303" s="25" t="s">
        <v>3399</v>
      </c>
      <c r="C303" s="24" t="s">
        <v>3323</v>
      </c>
      <c r="D303" s="24" t="s">
        <v>3400</v>
      </c>
      <c r="E303" s="24" t="s">
        <v>29</v>
      </c>
      <c r="F303" s="24" t="s">
        <v>30</v>
      </c>
      <c r="G303" s="24" t="s">
        <v>813</v>
      </c>
      <c r="H303" s="24" t="s">
        <v>3401</v>
      </c>
      <c r="I303" s="24" t="s">
        <v>3402</v>
      </c>
      <c r="J303" s="24" t="s">
        <v>3403</v>
      </c>
      <c r="K303" s="24" t="s">
        <v>3404</v>
      </c>
      <c r="L303" s="24" t="s">
        <v>52</v>
      </c>
      <c r="M303" s="15"/>
      <c r="N303" s="15"/>
      <c r="O303" s="15" t="s">
        <v>1867</v>
      </c>
      <c r="P303" s="15" t="s">
        <v>1007</v>
      </c>
      <c r="Q303" s="15" t="s">
        <v>3405</v>
      </c>
      <c r="R303" s="15" t="s">
        <v>3406</v>
      </c>
      <c r="S303" s="24" t="s">
        <v>39</v>
      </c>
      <c r="T303" s="24" t="s">
        <v>39</v>
      </c>
      <c r="U303" s="24" t="s">
        <v>39</v>
      </c>
      <c r="V303" s="24" t="s">
        <v>39</v>
      </c>
      <c r="W303" s="24" t="s">
        <v>3407</v>
      </c>
      <c r="X303" s="24" t="s">
        <v>3408</v>
      </c>
      <c r="Y303" s="15"/>
      <c r="Z303" s="15"/>
      <c r="AA303" s="24"/>
      <c r="AB303" s="24"/>
      <c r="AC303" s="24"/>
      <c r="AD303" s="24"/>
      <c r="AE303" s="24"/>
      <c r="AF303" s="24"/>
      <c r="AG303" s="24"/>
      <c r="AH303" s="24"/>
    </row>
    <row r="304" spans="1:34" ht="45" x14ac:dyDescent="0.25">
      <c r="A304" s="24" t="str">
        <f>HYPERLINK("https://www.cpso.on.ca/DoctorDetails/Brian-Gabriel-Furlong/0041989-55967","Furlong, Brian Gabriel")</f>
        <v>Furlong, Brian Gabriel</v>
      </c>
      <c r="B304" s="25" t="s">
        <v>3409</v>
      </c>
      <c r="C304" s="24" t="s">
        <v>3410</v>
      </c>
      <c r="D304" s="24" t="s">
        <v>3411</v>
      </c>
      <c r="E304" s="24" t="s">
        <v>29</v>
      </c>
      <c r="F304" s="24" t="s">
        <v>30</v>
      </c>
      <c r="G304" s="24" t="s">
        <v>31</v>
      </c>
      <c r="H304" s="24" t="s">
        <v>3412</v>
      </c>
      <c r="I304" s="24" t="s">
        <v>2614</v>
      </c>
      <c r="J304" s="24" t="s">
        <v>3413</v>
      </c>
      <c r="K304" s="24"/>
      <c r="L304" s="24" t="s">
        <v>152</v>
      </c>
      <c r="M304" s="15" t="s">
        <v>3414</v>
      </c>
      <c r="N304" s="15"/>
      <c r="O304" s="15" t="s">
        <v>1539</v>
      </c>
      <c r="P304" s="15" t="s">
        <v>2137</v>
      </c>
      <c r="Q304" s="15"/>
      <c r="R304" s="15" t="s">
        <v>3415</v>
      </c>
      <c r="S304" s="24" t="s">
        <v>39</v>
      </c>
      <c r="T304" s="24" t="s">
        <v>39</v>
      </c>
      <c r="U304" s="24" t="s">
        <v>39</v>
      </c>
      <c r="V304" s="24" t="s">
        <v>39</v>
      </c>
      <c r="W304" s="24"/>
      <c r="X304" s="24"/>
      <c r="Y304" s="15"/>
      <c r="Z304" s="15"/>
      <c r="AA304" s="24"/>
      <c r="AB304" s="24"/>
      <c r="AC304" s="24"/>
      <c r="AD304" s="24"/>
      <c r="AE304" s="24"/>
      <c r="AF304" s="24"/>
      <c r="AG304" s="24"/>
      <c r="AH304" s="24"/>
    </row>
    <row r="305" spans="1:34" ht="75" x14ac:dyDescent="0.25">
      <c r="A305" s="24" t="str">
        <f>HYPERLINK("https://www.cpso.on.ca/DoctorDetails/Brian-Kenneth-Macdonald/0038360-52336","Macdonald, Brian Kenneth")</f>
        <v>Macdonald, Brian Kenneth</v>
      </c>
      <c r="B305" s="25" t="s">
        <v>3416</v>
      </c>
      <c r="C305" s="24" t="s">
        <v>3417</v>
      </c>
      <c r="D305" s="24" t="s">
        <v>3418</v>
      </c>
      <c r="E305" s="24" t="s">
        <v>29</v>
      </c>
      <c r="F305" s="24" t="s">
        <v>30</v>
      </c>
      <c r="G305" s="24" t="s">
        <v>31</v>
      </c>
      <c r="H305" s="24" t="s">
        <v>3419</v>
      </c>
      <c r="I305" s="24" t="s">
        <v>3420</v>
      </c>
      <c r="J305" s="24" t="s">
        <v>3421</v>
      </c>
      <c r="K305" s="24" t="s">
        <v>3422</v>
      </c>
      <c r="L305" s="24" t="s">
        <v>340</v>
      </c>
      <c r="M305" s="15"/>
      <c r="N305" s="15"/>
      <c r="O305" s="15"/>
      <c r="P305" s="15" t="s">
        <v>3423</v>
      </c>
      <c r="Q305" s="15" t="s">
        <v>3424</v>
      </c>
      <c r="R305" s="15" t="s">
        <v>3425</v>
      </c>
      <c r="S305" s="24" t="s">
        <v>39</v>
      </c>
      <c r="T305" s="24" t="s">
        <v>39</v>
      </c>
      <c r="U305" s="24" t="s">
        <v>39</v>
      </c>
      <c r="V305" s="24" t="s">
        <v>39</v>
      </c>
      <c r="W305" s="24"/>
      <c r="X305" s="24"/>
      <c r="Y305" s="15"/>
      <c r="Z305" s="15"/>
      <c r="AA305" s="24"/>
      <c r="AB305" s="24"/>
      <c r="AC305" s="24"/>
      <c r="AD305" s="24"/>
      <c r="AE305" s="24"/>
      <c r="AF305" s="24"/>
      <c r="AG305" s="24"/>
      <c r="AH305" s="24"/>
    </row>
    <row r="306" spans="1:34" ht="75" x14ac:dyDescent="0.25">
      <c r="A306" s="24" t="str">
        <f>HYPERLINK("https://www.cpso.on.ca/DoctorDetails/Brian-Lynn-Snyder/0042899-56877","Snyder, Brian Lynn")</f>
        <v>Snyder, Brian Lynn</v>
      </c>
      <c r="B306" s="25" t="s">
        <v>3426</v>
      </c>
      <c r="C306" s="24" t="s">
        <v>3427</v>
      </c>
      <c r="D306" s="24" t="s">
        <v>3428</v>
      </c>
      <c r="E306" s="24" t="s">
        <v>29</v>
      </c>
      <c r="F306" s="24" t="s">
        <v>30</v>
      </c>
      <c r="G306" s="24" t="s">
        <v>31</v>
      </c>
      <c r="H306" s="24" t="s">
        <v>3429</v>
      </c>
      <c r="I306" s="24" t="s">
        <v>3430</v>
      </c>
      <c r="J306" s="24" t="s">
        <v>3431</v>
      </c>
      <c r="K306" s="24" t="s">
        <v>3432</v>
      </c>
      <c r="L306" s="24" t="s">
        <v>36</v>
      </c>
      <c r="M306" s="15"/>
      <c r="N306" s="15"/>
      <c r="O306" s="15"/>
      <c r="P306" s="15" t="s">
        <v>3433</v>
      </c>
      <c r="Q306" s="15" t="s">
        <v>3434</v>
      </c>
      <c r="R306" s="15" t="s">
        <v>3435</v>
      </c>
      <c r="S306" s="24" t="s">
        <v>39</v>
      </c>
      <c r="T306" s="24" t="s">
        <v>39</v>
      </c>
      <c r="U306" s="24" t="s">
        <v>39</v>
      </c>
      <c r="V306" s="24" t="s">
        <v>39</v>
      </c>
      <c r="W306" s="24"/>
      <c r="X306" s="24"/>
      <c r="Y306" s="15"/>
      <c r="Z306" s="15"/>
      <c r="AA306" s="24"/>
      <c r="AB306" s="24"/>
      <c r="AC306" s="24"/>
      <c r="AD306" s="24"/>
      <c r="AE306" s="24"/>
      <c r="AF306" s="24"/>
      <c r="AG306" s="24"/>
      <c r="AH306" s="24"/>
    </row>
    <row r="307" spans="1:34" ht="30" x14ac:dyDescent="0.25">
      <c r="A307" s="24" t="str">
        <f>HYPERLINK("https://www.cpso.on.ca/DoctorDetails/Brian-Patrick-OBrien/0039302-53278","O'Brien, Brian Patrick")</f>
        <v>O'Brien, Brian Patrick</v>
      </c>
      <c r="B307" s="25" t="s">
        <v>3436</v>
      </c>
      <c r="C307" s="24" t="s">
        <v>2000</v>
      </c>
      <c r="D307" s="24" t="s">
        <v>3437</v>
      </c>
      <c r="E307" s="24" t="s">
        <v>29</v>
      </c>
      <c r="F307" s="24" t="s">
        <v>30</v>
      </c>
      <c r="G307" s="24" t="s">
        <v>31</v>
      </c>
      <c r="H307" s="24" t="s">
        <v>3438</v>
      </c>
      <c r="I307" s="24" t="s">
        <v>3439</v>
      </c>
      <c r="J307" s="24" t="s">
        <v>3440</v>
      </c>
      <c r="K307" s="24" t="s">
        <v>3441</v>
      </c>
      <c r="L307" s="24" t="s">
        <v>84</v>
      </c>
      <c r="M307" s="15" t="s">
        <v>3442</v>
      </c>
      <c r="N307" s="15"/>
      <c r="O307" s="15" t="s">
        <v>549</v>
      </c>
      <c r="P307" s="15" t="s">
        <v>3443</v>
      </c>
      <c r="Q307" s="15"/>
      <c r="R307" s="15" t="s">
        <v>3444</v>
      </c>
      <c r="S307" s="24" t="s">
        <v>39</v>
      </c>
      <c r="T307" s="24" t="s">
        <v>39</v>
      </c>
      <c r="U307" s="24" t="s">
        <v>39</v>
      </c>
      <c r="V307" s="24" t="s">
        <v>39</v>
      </c>
      <c r="W307" s="24" t="s">
        <v>3445</v>
      </c>
      <c r="X307" s="24" t="s">
        <v>3446</v>
      </c>
      <c r="Y307" s="15" t="s">
        <v>3447</v>
      </c>
      <c r="Z307" s="15" t="s">
        <v>3448</v>
      </c>
      <c r="AA307" s="24"/>
      <c r="AB307" s="24"/>
      <c r="AC307" s="24"/>
      <c r="AD307" s="24"/>
      <c r="AE307" s="24"/>
      <c r="AF307" s="24"/>
      <c r="AG307" s="24"/>
      <c r="AH307" s="24"/>
    </row>
    <row r="308" spans="1:34" ht="45" x14ac:dyDescent="0.25">
      <c r="A308" s="24" t="str">
        <f>HYPERLINK("https://www.cpso.on.ca/DoctorDetails/Brian-Robert-Burke/0040378-54354","Burke, Brian Robert")</f>
        <v>Burke, Brian Robert</v>
      </c>
      <c r="B308" s="25" t="s">
        <v>3449</v>
      </c>
      <c r="C308" s="24" t="s">
        <v>3450</v>
      </c>
      <c r="D308" s="24" t="s">
        <v>3451</v>
      </c>
      <c r="E308" s="24" t="s">
        <v>29</v>
      </c>
      <c r="F308" s="24" t="s">
        <v>30</v>
      </c>
      <c r="G308" s="24" t="s">
        <v>31</v>
      </c>
      <c r="H308" s="24" t="s">
        <v>3452</v>
      </c>
      <c r="I308" s="24" t="s">
        <v>3453</v>
      </c>
      <c r="J308" s="24" t="s">
        <v>3454</v>
      </c>
      <c r="K308" s="24" t="s">
        <v>3455</v>
      </c>
      <c r="L308" s="24" t="s">
        <v>65</v>
      </c>
      <c r="M308" s="15"/>
      <c r="N308" s="15"/>
      <c r="O308" s="15" t="s">
        <v>380</v>
      </c>
      <c r="P308" s="15" t="s">
        <v>2908</v>
      </c>
      <c r="Q308" s="15" t="s">
        <v>3456</v>
      </c>
      <c r="R308" s="15" t="s">
        <v>3457</v>
      </c>
      <c r="S308" s="24" t="s">
        <v>39</v>
      </c>
      <c r="T308" s="24" t="s">
        <v>39</v>
      </c>
      <c r="U308" s="24" t="s">
        <v>39</v>
      </c>
      <c r="V308" s="24" t="s">
        <v>39</v>
      </c>
      <c r="W308" s="24" t="s">
        <v>3458</v>
      </c>
      <c r="X308" s="24" t="s">
        <v>3459</v>
      </c>
      <c r="Y308" s="15" t="s">
        <v>3460</v>
      </c>
      <c r="Z308" s="15" t="s">
        <v>3461</v>
      </c>
      <c r="AA308" s="24"/>
      <c r="AB308" s="24"/>
      <c r="AC308" s="24"/>
      <c r="AD308" s="24"/>
      <c r="AE308" s="24"/>
      <c r="AF308" s="24"/>
      <c r="AG308" s="24"/>
      <c r="AH308" s="24"/>
    </row>
    <row r="309" spans="1:34" ht="45" x14ac:dyDescent="0.25">
      <c r="A309" s="24" t="str">
        <f>HYPERLINK("https://www.cpso.on.ca/DoctorDetails/Brian-Scott-Reid/0045621-59599","Reid, Brian Scott")</f>
        <v>Reid, Brian Scott</v>
      </c>
      <c r="B309" s="25" t="s">
        <v>3462</v>
      </c>
      <c r="C309" s="24" t="s">
        <v>3463</v>
      </c>
      <c r="D309" s="24" t="s">
        <v>3464</v>
      </c>
      <c r="E309" s="24" t="s">
        <v>29</v>
      </c>
      <c r="F309" s="24" t="s">
        <v>30</v>
      </c>
      <c r="G309" s="24" t="s">
        <v>31</v>
      </c>
      <c r="H309" s="24" t="s">
        <v>3465</v>
      </c>
      <c r="I309" s="24" t="s">
        <v>3466</v>
      </c>
      <c r="J309" s="24" t="s">
        <v>3467</v>
      </c>
      <c r="K309" s="24"/>
      <c r="L309" s="24" t="s">
        <v>135</v>
      </c>
      <c r="M309" s="15"/>
      <c r="N309" s="15"/>
      <c r="O309" s="15"/>
      <c r="P309" s="15" t="s">
        <v>3468</v>
      </c>
      <c r="Q309" s="15" t="s">
        <v>3469</v>
      </c>
      <c r="R309" s="15" t="s">
        <v>3470</v>
      </c>
      <c r="S309" s="24" t="s">
        <v>39</v>
      </c>
      <c r="T309" s="24" t="s">
        <v>39</v>
      </c>
      <c r="U309" s="24" t="s">
        <v>39</v>
      </c>
      <c r="V309" s="24" t="s">
        <v>39</v>
      </c>
      <c r="W309" s="24" t="s">
        <v>3471</v>
      </c>
      <c r="X309" s="24" t="s">
        <v>3472</v>
      </c>
      <c r="Y309" s="15" t="s">
        <v>3473</v>
      </c>
      <c r="Z309" s="15" t="s">
        <v>3474</v>
      </c>
      <c r="AA309" s="24"/>
      <c r="AB309" s="24"/>
      <c r="AC309" s="24"/>
      <c r="AD309" s="24"/>
      <c r="AE309" s="24"/>
      <c r="AF309" s="24"/>
      <c r="AG309" s="24"/>
      <c r="AH309" s="24"/>
    </row>
    <row r="310" spans="1:34" ht="60" x14ac:dyDescent="0.25">
      <c r="A310" s="24" t="str">
        <f>HYPERLINK("https://www.cpso.on.ca/DoctorDetails/Brian-Sheldon-Kirsh/0027003-31826","Kirsh, Brian Sheldon")</f>
        <v>Kirsh, Brian Sheldon</v>
      </c>
      <c r="B310" s="25" t="s">
        <v>3475</v>
      </c>
      <c r="C310" s="24" t="s">
        <v>3476</v>
      </c>
      <c r="D310" s="24" t="s">
        <v>3477</v>
      </c>
      <c r="E310" s="24" t="s">
        <v>29</v>
      </c>
      <c r="F310" s="24" t="s">
        <v>30</v>
      </c>
      <c r="G310" s="24" t="s">
        <v>31</v>
      </c>
      <c r="H310" s="24" t="s">
        <v>3478</v>
      </c>
      <c r="I310" s="24" t="s">
        <v>3479</v>
      </c>
      <c r="J310" s="24" t="s">
        <v>3480</v>
      </c>
      <c r="K310" s="24" t="s">
        <v>3481</v>
      </c>
      <c r="L310" s="24" t="s">
        <v>52</v>
      </c>
      <c r="M310" s="15"/>
      <c r="N310" s="15"/>
      <c r="O310" s="15" t="s">
        <v>3482</v>
      </c>
      <c r="P310" s="15" t="s">
        <v>303</v>
      </c>
      <c r="Q310" s="15" t="s">
        <v>3483</v>
      </c>
      <c r="R310" s="15" t="s">
        <v>3484</v>
      </c>
      <c r="S310" s="24" t="s">
        <v>39</v>
      </c>
      <c r="T310" s="24" t="s">
        <v>71</v>
      </c>
      <c r="U310" s="24" t="s">
        <v>39</v>
      </c>
      <c r="V310" s="24" t="s">
        <v>39</v>
      </c>
      <c r="W310" s="24" t="s">
        <v>3485</v>
      </c>
      <c r="X310" s="24" t="s">
        <v>3486</v>
      </c>
      <c r="Y310" s="15" t="s">
        <v>3487</v>
      </c>
      <c r="Z310" s="15" t="s">
        <v>3488</v>
      </c>
      <c r="AA310" s="24"/>
      <c r="AB310" s="24"/>
      <c r="AC310" s="24"/>
      <c r="AD310" s="24"/>
      <c r="AE310" s="24"/>
      <c r="AF310" s="24"/>
      <c r="AG310" s="24"/>
      <c r="AH310" s="24"/>
    </row>
    <row r="311" spans="1:34" x14ac:dyDescent="0.25">
      <c r="A311" s="24" t="str">
        <f>HYPERLINK("https://www.cpso.on.ca/DoctorDetails/Brian-Ticoll/0045145-59123","Ticoll, Brian")</f>
        <v>Ticoll, Brian</v>
      </c>
      <c r="B311" s="25" t="s">
        <v>3489</v>
      </c>
      <c r="C311" s="24" t="s">
        <v>3490</v>
      </c>
      <c r="D311" s="24" t="s">
        <v>3491</v>
      </c>
      <c r="E311" s="24" t="s">
        <v>29</v>
      </c>
      <c r="F311" s="24" t="s">
        <v>30</v>
      </c>
      <c r="G311" s="24" t="s">
        <v>3492</v>
      </c>
      <c r="H311" s="24" t="s">
        <v>3493</v>
      </c>
      <c r="I311" s="24" t="s">
        <v>3494</v>
      </c>
      <c r="J311" s="24" t="s">
        <v>3495</v>
      </c>
      <c r="K311" s="24" t="s">
        <v>3496</v>
      </c>
      <c r="L311" s="24" t="s">
        <v>36</v>
      </c>
      <c r="M311" s="15"/>
      <c r="N311" s="15"/>
      <c r="O311" s="15" t="s">
        <v>3497</v>
      </c>
      <c r="P311" s="15" t="s">
        <v>1007</v>
      </c>
      <c r="Q311" s="15" t="s">
        <v>3397</v>
      </c>
      <c r="R311" s="15" t="s">
        <v>3498</v>
      </c>
      <c r="S311" s="24" t="s">
        <v>39</v>
      </c>
      <c r="T311" s="24" t="s">
        <v>39</v>
      </c>
      <c r="U311" s="24" t="s">
        <v>39</v>
      </c>
      <c r="V311" s="24" t="s">
        <v>39</v>
      </c>
      <c r="W311" s="24" t="s">
        <v>3499</v>
      </c>
      <c r="X311" s="24" t="s">
        <v>3500</v>
      </c>
      <c r="Y311" s="15" t="s">
        <v>3501</v>
      </c>
      <c r="Z311" s="15" t="s">
        <v>3502</v>
      </c>
      <c r="AA311" s="24"/>
      <c r="AB311" s="24"/>
      <c r="AC311" s="24"/>
      <c r="AD311" s="24"/>
      <c r="AE311" s="24"/>
      <c r="AF311" s="24"/>
      <c r="AG311" s="24"/>
      <c r="AH311" s="24"/>
    </row>
    <row r="312" spans="1:34" ht="90" x14ac:dyDescent="0.25">
      <c r="A312" s="24" t="str">
        <f>HYPERLINK("https://www.cpso.on.ca/DoctorDetails/Briar-Allyn-Long/0140082-71670","Long, Briar Allyn")</f>
        <v>Long, Briar Allyn</v>
      </c>
      <c r="B312" s="25" t="s">
        <v>3503</v>
      </c>
      <c r="C312" s="24" t="s">
        <v>1862</v>
      </c>
      <c r="D312" s="24" t="s">
        <v>1863</v>
      </c>
      <c r="E312" s="24" t="s">
        <v>29</v>
      </c>
      <c r="F312" s="24" t="s">
        <v>47</v>
      </c>
      <c r="G312" s="24" t="s">
        <v>31</v>
      </c>
      <c r="H312" s="24" t="s">
        <v>1393</v>
      </c>
      <c r="I312" s="24" t="s">
        <v>3504</v>
      </c>
      <c r="J312" s="24" t="s">
        <v>3505</v>
      </c>
      <c r="K312" s="24"/>
      <c r="L312" s="24" t="s">
        <v>152</v>
      </c>
      <c r="M312" s="15"/>
      <c r="N312" s="15"/>
      <c r="O312" s="15"/>
      <c r="P312" s="15" t="s">
        <v>1868</v>
      </c>
      <c r="Q312" s="15" t="s">
        <v>3506</v>
      </c>
      <c r="R312" s="15" t="s">
        <v>1870</v>
      </c>
      <c r="S312" s="24" t="s">
        <v>39</v>
      </c>
      <c r="T312" s="24" t="s">
        <v>39</v>
      </c>
      <c r="U312" s="24" t="s">
        <v>39</v>
      </c>
      <c r="V312" s="24" t="s">
        <v>39</v>
      </c>
      <c r="W312" s="24"/>
      <c r="X312" s="24"/>
      <c r="Y312" s="15"/>
      <c r="Z312" s="15"/>
      <c r="AA312" s="24"/>
      <c r="AB312" s="24"/>
      <c r="AC312" s="24"/>
      <c r="AD312" s="24"/>
      <c r="AE312" s="24"/>
      <c r="AF312" s="24"/>
      <c r="AG312" s="24"/>
      <c r="AH312" s="24"/>
    </row>
    <row r="313" spans="1:34" ht="45" x14ac:dyDescent="0.25">
      <c r="A313" s="24" t="str">
        <f>HYPERLINK("https://www.cpso.on.ca/DoctorDetails/Brigitte-Lauren-van-Heerden/0323182-114670","van Heerden, Brigitte Lauren")</f>
        <v>van Heerden, Brigitte Lauren</v>
      </c>
      <c r="B313" s="25" t="s">
        <v>3507</v>
      </c>
      <c r="C313" s="24" t="s">
        <v>3508</v>
      </c>
      <c r="D313" s="24" t="s">
        <v>3509</v>
      </c>
      <c r="E313" s="24" t="s">
        <v>29</v>
      </c>
      <c r="F313" s="24" t="s">
        <v>47</v>
      </c>
      <c r="G313" s="24" t="s">
        <v>31</v>
      </c>
      <c r="H313" s="24" t="s">
        <v>3510</v>
      </c>
      <c r="I313" s="24" t="s">
        <v>3511</v>
      </c>
      <c r="J313" s="24"/>
      <c r="K313" s="24"/>
      <c r="L313" s="24" t="s">
        <v>52</v>
      </c>
      <c r="M313" s="15"/>
      <c r="N313" s="15"/>
      <c r="O313" s="15"/>
      <c r="P313" s="15" t="s">
        <v>3512</v>
      </c>
      <c r="Q313" s="15"/>
      <c r="R313" s="15" t="s">
        <v>3513</v>
      </c>
      <c r="S313" s="24" t="s">
        <v>71</v>
      </c>
      <c r="T313" s="24" t="s">
        <v>39</v>
      </c>
      <c r="U313" s="24" t="s">
        <v>39</v>
      </c>
      <c r="V313" s="24" t="s">
        <v>39</v>
      </c>
      <c r="W313" s="24"/>
      <c r="X313" s="24"/>
      <c r="Y313" s="15"/>
      <c r="Z313" s="15"/>
      <c r="AA313" s="24"/>
      <c r="AB313" s="24"/>
      <c r="AC313" s="24"/>
      <c r="AD313" s="24"/>
      <c r="AE313" s="24"/>
      <c r="AF313" s="24"/>
      <c r="AG313" s="24"/>
      <c r="AH313" s="24"/>
    </row>
    <row r="314" spans="1:34" ht="75" x14ac:dyDescent="0.25">
      <c r="A314" s="24" t="str">
        <f>HYPERLINK("https://www.cpso.on.ca/DoctorDetails/Brij-Bhushan-Gulati/0245140-90300","Gulati, Brij Bhushan")</f>
        <v>Gulati, Brij Bhushan</v>
      </c>
      <c r="B314" s="25" t="s">
        <v>3514</v>
      </c>
      <c r="C314" s="24" t="s">
        <v>3515</v>
      </c>
      <c r="D314" s="24" t="s">
        <v>3516</v>
      </c>
      <c r="E314" s="24" t="s">
        <v>29</v>
      </c>
      <c r="F314" s="24" t="s">
        <v>30</v>
      </c>
      <c r="G314" s="24" t="s">
        <v>691</v>
      </c>
      <c r="H314" s="24" t="s">
        <v>3517</v>
      </c>
      <c r="I314" s="24" t="s">
        <v>3518</v>
      </c>
      <c r="J314" s="24" t="s">
        <v>3519</v>
      </c>
      <c r="K314" s="24" t="s">
        <v>3520</v>
      </c>
      <c r="L314" s="24" t="s">
        <v>340</v>
      </c>
      <c r="M314" s="15"/>
      <c r="N314" s="15" t="s">
        <v>3521</v>
      </c>
      <c r="O314" s="15"/>
      <c r="P314" s="15" t="s">
        <v>3522</v>
      </c>
      <c r="Q314" s="15"/>
      <c r="R314" s="15" t="s">
        <v>3523</v>
      </c>
      <c r="S314" s="24" t="s">
        <v>71</v>
      </c>
      <c r="T314" s="24" t="s">
        <v>39</v>
      </c>
      <c r="U314" s="24" t="s">
        <v>39</v>
      </c>
      <c r="V314" s="24" t="s">
        <v>39</v>
      </c>
      <c r="W314" s="24" t="s">
        <v>3524</v>
      </c>
      <c r="X314" s="24" t="s">
        <v>3525</v>
      </c>
      <c r="Y314" s="15" t="s">
        <v>3526</v>
      </c>
      <c r="Z314" s="15" t="s">
        <v>3527</v>
      </c>
      <c r="AA314" s="24"/>
      <c r="AB314" s="24"/>
      <c r="AC314" s="24"/>
      <c r="AD314" s="24"/>
      <c r="AE314" s="24"/>
      <c r="AF314" s="24"/>
      <c r="AG314" s="24"/>
      <c r="AH314" s="24"/>
    </row>
    <row r="315" spans="1:34" ht="75" x14ac:dyDescent="0.25">
      <c r="A315" s="24" t="str">
        <f>HYPERLINK("https://www.cpso.on.ca/DoctorDetails/Brittany-Anne-Poynter/0219999-82521","Poynter, Brittany Anne")</f>
        <v>Poynter, Brittany Anne</v>
      </c>
      <c r="B315" s="25" t="s">
        <v>3528</v>
      </c>
      <c r="C315" s="24" t="s">
        <v>3529</v>
      </c>
      <c r="D315" s="24" t="s">
        <v>3530</v>
      </c>
      <c r="E315" s="24" t="s">
        <v>29</v>
      </c>
      <c r="F315" s="24" t="s">
        <v>47</v>
      </c>
      <c r="G315" s="24" t="s">
        <v>31</v>
      </c>
      <c r="H315" s="24" t="s">
        <v>2344</v>
      </c>
      <c r="I315" s="24" t="s">
        <v>3531</v>
      </c>
      <c r="J315" s="24" t="s">
        <v>3532</v>
      </c>
      <c r="K315" s="24" t="s">
        <v>3533</v>
      </c>
      <c r="L315" s="24" t="s">
        <v>52</v>
      </c>
      <c r="M315" s="15"/>
      <c r="N315" s="15"/>
      <c r="O315" s="15" t="s">
        <v>793</v>
      </c>
      <c r="P315" s="15" t="s">
        <v>2348</v>
      </c>
      <c r="Q315" s="15" t="s">
        <v>2349</v>
      </c>
      <c r="R315" s="15" t="s">
        <v>3534</v>
      </c>
      <c r="S315" s="24" t="s">
        <v>39</v>
      </c>
      <c r="T315" s="24" t="s">
        <v>39</v>
      </c>
      <c r="U315" s="24" t="s">
        <v>39</v>
      </c>
      <c r="V315" s="24" t="s">
        <v>39</v>
      </c>
      <c r="W315" s="24" t="s">
        <v>3535</v>
      </c>
      <c r="X315" s="24" t="s">
        <v>3536</v>
      </c>
      <c r="Y315" s="15" t="s">
        <v>3537</v>
      </c>
      <c r="Z315" s="15" t="s">
        <v>3538</v>
      </c>
      <c r="AA315" s="24"/>
      <c r="AB315" s="24"/>
      <c r="AC315" s="24"/>
      <c r="AD315" s="24"/>
      <c r="AE315" s="24"/>
      <c r="AF315" s="24"/>
      <c r="AG315" s="24"/>
      <c r="AH315" s="24"/>
    </row>
    <row r="316" spans="1:34" ht="105" x14ac:dyDescent="0.25">
      <c r="A316" s="24" t="str">
        <f>HYPERLINK("https://www.cpso.on.ca/DoctorDetails/Bruce-Conrad-Ballon/0052488-66452","Ballon, Bruce Conrad")</f>
        <v>Ballon, Bruce Conrad</v>
      </c>
      <c r="B316" s="25" t="s">
        <v>3539</v>
      </c>
      <c r="C316" s="24" t="s">
        <v>836</v>
      </c>
      <c r="D316" s="24" t="s">
        <v>837</v>
      </c>
      <c r="E316" s="24" t="s">
        <v>29</v>
      </c>
      <c r="F316" s="24" t="s">
        <v>30</v>
      </c>
      <c r="G316" s="24" t="s">
        <v>31</v>
      </c>
      <c r="H316" s="24" t="s">
        <v>3540</v>
      </c>
      <c r="I316" s="24" t="s">
        <v>3541</v>
      </c>
      <c r="J316" s="24" t="s">
        <v>3542</v>
      </c>
      <c r="K316" s="24"/>
      <c r="L316" s="24" t="s">
        <v>36</v>
      </c>
      <c r="M316" s="15" t="s">
        <v>3543</v>
      </c>
      <c r="N316" s="15" t="s">
        <v>3544</v>
      </c>
      <c r="O316" s="15" t="s">
        <v>3545</v>
      </c>
      <c r="P316" s="15" t="s">
        <v>303</v>
      </c>
      <c r="Q316" s="15" t="s">
        <v>3546</v>
      </c>
      <c r="R316" s="15" t="s">
        <v>844</v>
      </c>
      <c r="S316" s="24" t="s">
        <v>39</v>
      </c>
      <c r="T316" s="24" t="s">
        <v>39</v>
      </c>
      <c r="U316" s="24" t="s">
        <v>39</v>
      </c>
      <c r="V316" s="24" t="s">
        <v>39</v>
      </c>
      <c r="W316" s="24" t="s">
        <v>3547</v>
      </c>
      <c r="X316" s="24" t="s">
        <v>3548</v>
      </c>
      <c r="Y316" s="15" t="s">
        <v>3549</v>
      </c>
      <c r="Z316" s="15" t="s">
        <v>3550</v>
      </c>
      <c r="AA316" s="24"/>
      <c r="AB316" s="24"/>
      <c r="AC316" s="24"/>
      <c r="AD316" s="24"/>
      <c r="AE316" s="24"/>
      <c r="AF316" s="24"/>
      <c r="AG316" s="24"/>
      <c r="AH316" s="24"/>
    </row>
    <row r="317" spans="1:34" ht="60" x14ac:dyDescent="0.25">
      <c r="A317" s="24" t="str">
        <f>HYPERLINK("https://www.cpso.on.ca/DoctorDetails/Bruce-Godfrey-Pollock/0037731-51707","Pollock, Bruce Godfrey")</f>
        <v>Pollock, Bruce Godfrey</v>
      </c>
      <c r="B317" s="25" t="s">
        <v>3551</v>
      </c>
      <c r="C317" s="24" t="s">
        <v>3552</v>
      </c>
      <c r="D317" s="24" t="s">
        <v>3553</v>
      </c>
      <c r="E317" s="24" t="s">
        <v>29</v>
      </c>
      <c r="F317" s="24" t="s">
        <v>30</v>
      </c>
      <c r="G317" s="24" t="s">
        <v>31</v>
      </c>
      <c r="H317" s="24" t="s">
        <v>3478</v>
      </c>
      <c r="I317" s="24" t="s">
        <v>3554</v>
      </c>
      <c r="J317" s="24" t="s">
        <v>3555</v>
      </c>
      <c r="K317" s="24" t="s">
        <v>3556</v>
      </c>
      <c r="L317" s="24" t="s">
        <v>52</v>
      </c>
      <c r="M317" s="15"/>
      <c r="N317" s="15"/>
      <c r="O317" s="15" t="s">
        <v>3557</v>
      </c>
      <c r="P317" s="15" t="s">
        <v>316</v>
      </c>
      <c r="Q317" s="15" t="s">
        <v>3558</v>
      </c>
      <c r="R317" s="15" t="s">
        <v>3559</v>
      </c>
      <c r="S317" s="24" t="s">
        <v>39</v>
      </c>
      <c r="T317" s="24" t="s">
        <v>39</v>
      </c>
      <c r="U317" s="24" t="s">
        <v>39</v>
      </c>
      <c r="V317" s="24" t="s">
        <v>39</v>
      </c>
      <c r="W317" s="24"/>
      <c r="X317" s="24"/>
      <c r="Y317" s="15"/>
      <c r="Z317" s="15"/>
      <c r="AA317" s="24"/>
      <c r="AB317" s="24"/>
      <c r="AC317" s="24"/>
      <c r="AD317" s="24"/>
      <c r="AE317" s="24"/>
      <c r="AF317" s="24"/>
      <c r="AG317" s="24"/>
      <c r="AH317" s="24"/>
    </row>
    <row r="318" spans="1:34" ht="30" x14ac:dyDescent="0.25">
      <c r="A318" s="24" t="str">
        <f>HYPERLINK("https://www.cpso.on.ca/DoctorDetails/Bruce-Matthew-Sutton/0038525-52501","Sutton, Bruce Matthew")</f>
        <v>Sutton, Bruce Matthew</v>
      </c>
      <c r="B318" s="25" t="s">
        <v>3560</v>
      </c>
      <c r="C318" s="24" t="s">
        <v>3561</v>
      </c>
      <c r="D318" s="24" t="s">
        <v>3562</v>
      </c>
      <c r="E318" s="24" t="s">
        <v>29</v>
      </c>
      <c r="F318" s="24" t="s">
        <v>30</v>
      </c>
      <c r="G318" s="24" t="s">
        <v>31</v>
      </c>
      <c r="H318" s="24" t="s">
        <v>3563</v>
      </c>
      <c r="I318" s="24" t="s">
        <v>3564</v>
      </c>
      <c r="J318" s="24" t="s">
        <v>3565</v>
      </c>
      <c r="K318" s="24"/>
      <c r="L318" s="24" t="s">
        <v>52</v>
      </c>
      <c r="M318" s="15"/>
      <c r="N318" s="15"/>
      <c r="O318" s="15"/>
      <c r="P318" s="15" t="s">
        <v>868</v>
      </c>
      <c r="Q318" s="15"/>
      <c r="R318" s="15" t="s">
        <v>3566</v>
      </c>
      <c r="S318" s="24" t="s">
        <v>39</v>
      </c>
      <c r="T318" s="24" t="s">
        <v>39</v>
      </c>
      <c r="U318" s="24" t="s">
        <v>39</v>
      </c>
      <c r="V318" s="24" t="s">
        <v>39</v>
      </c>
      <c r="W318" s="24" t="s">
        <v>3567</v>
      </c>
      <c r="X318" s="24" t="s">
        <v>3568</v>
      </c>
      <c r="Y318" s="15" t="s">
        <v>3569</v>
      </c>
      <c r="Z318" s="15" t="s">
        <v>3570</v>
      </c>
      <c r="AA318" s="24"/>
      <c r="AB318" s="24"/>
      <c r="AC318" s="24"/>
      <c r="AD318" s="24"/>
      <c r="AE318" s="24"/>
      <c r="AF318" s="24"/>
      <c r="AG318" s="24"/>
      <c r="AH318" s="24"/>
    </row>
    <row r="319" spans="1:34" ht="30" x14ac:dyDescent="0.25">
      <c r="A319" s="24" t="str">
        <f>HYPERLINK("https://www.cpso.on.ca/DoctorDetails/Bukeka-Mandisa-Nkungu/0154137-72745","Nkungu, Bukeka Mandisa")</f>
        <v>Nkungu, Bukeka Mandisa</v>
      </c>
      <c r="B319" s="25" t="s">
        <v>3571</v>
      </c>
      <c r="C319" s="24" t="s">
        <v>3572</v>
      </c>
      <c r="D319" s="24" t="s">
        <v>3573</v>
      </c>
      <c r="E319" s="24" t="s">
        <v>29</v>
      </c>
      <c r="F319" s="24" t="s">
        <v>47</v>
      </c>
      <c r="G319" s="24" t="s">
        <v>3574</v>
      </c>
      <c r="H319" s="24" t="s">
        <v>3575</v>
      </c>
      <c r="I319" s="24" t="s">
        <v>3576</v>
      </c>
      <c r="J319" s="24" t="s">
        <v>3577</v>
      </c>
      <c r="K319" s="24" t="s">
        <v>3578</v>
      </c>
      <c r="L319" s="24" t="s">
        <v>52</v>
      </c>
      <c r="M319" s="15" t="s">
        <v>3579</v>
      </c>
      <c r="N319" s="15"/>
      <c r="O319" s="15" t="s">
        <v>1191</v>
      </c>
      <c r="P319" s="15" t="s">
        <v>3580</v>
      </c>
      <c r="Q319" s="15"/>
      <c r="R319" s="15" t="s">
        <v>3581</v>
      </c>
      <c r="S319" s="24" t="s">
        <v>39</v>
      </c>
      <c r="T319" s="24" t="s">
        <v>39</v>
      </c>
      <c r="U319" s="24" t="s">
        <v>39</v>
      </c>
      <c r="V319" s="24" t="s">
        <v>39</v>
      </c>
      <c r="W319" s="24" t="s">
        <v>3582</v>
      </c>
      <c r="X319" s="24" t="s">
        <v>3583</v>
      </c>
      <c r="Y319" s="15"/>
      <c r="Z319" s="15"/>
      <c r="AA319" s="24"/>
      <c r="AB319" s="24"/>
      <c r="AC319" s="24"/>
      <c r="AD319" s="24"/>
      <c r="AE319" s="24"/>
      <c r="AF319" s="24"/>
      <c r="AG319" s="24"/>
      <c r="AH319" s="24"/>
    </row>
    <row r="320" spans="1:34" ht="75" x14ac:dyDescent="0.25">
      <c r="A320" s="24" t="str">
        <f>HYPERLINK("https://www.cpso.on.ca/DoctorDetails/Caitlin-Dorothy-Taylor-McKeever/0257689-91360","McKeever, Caitlin Dorothy Taylor")</f>
        <v>McKeever, Caitlin Dorothy Taylor</v>
      </c>
      <c r="B320" s="25" t="s">
        <v>3584</v>
      </c>
      <c r="C320" s="24" t="s">
        <v>3585</v>
      </c>
      <c r="D320" s="24" t="s">
        <v>443</v>
      </c>
      <c r="E320" s="24" t="s">
        <v>29</v>
      </c>
      <c r="F320" s="24" t="s">
        <v>47</v>
      </c>
      <c r="G320" s="24" t="s">
        <v>813</v>
      </c>
      <c r="H320" s="24" t="s">
        <v>3586</v>
      </c>
      <c r="I320" s="24" t="s">
        <v>3587</v>
      </c>
      <c r="J320" s="24" t="s">
        <v>3588</v>
      </c>
      <c r="K320" s="24" t="s">
        <v>3589</v>
      </c>
      <c r="L320" s="24" t="s">
        <v>36</v>
      </c>
      <c r="M320" s="15"/>
      <c r="N320" s="15" t="s">
        <v>342</v>
      </c>
      <c r="O320" s="15" t="s">
        <v>3590</v>
      </c>
      <c r="P320" s="15" t="s">
        <v>449</v>
      </c>
      <c r="Q320" s="15" t="s">
        <v>450</v>
      </c>
      <c r="R320" s="15" t="s">
        <v>3591</v>
      </c>
      <c r="S320" s="24" t="s">
        <v>39</v>
      </c>
      <c r="T320" s="24" t="s">
        <v>39</v>
      </c>
      <c r="U320" s="24" t="s">
        <v>39</v>
      </c>
      <c r="V320" s="24" t="s">
        <v>39</v>
      </c>
      <c r="W320" s="24" t="s">
        <v>3592</v>
      </c>
      <c r="X320" s="24" t="s">
        <v>3593</v>
      </c>
      <c r="Y320" s="15" t="s">
        <v>3594</v>
      </c>
      <c r="Z320" s="15" t="s">
        <v>3595</v>
      </c>
      <c r="AA320" s="24"/>
      <c r="AB320" s="24"/>
      <c r="AC320" s="24"/>
      <c r="AD320" s="24"/>
      <c r="AE320" s="24"/>
      <c r="AF320" s="24"/>
      <c r="AG320" s="24"/>
      <c r="AH320" s="24"/>
    </row>
    <row r="321" spans="1:34" ht="90" x14ac:dyDescent="0.25">
      <c r="A321" s="24" t="str">
        <f>HYPERLINK("https://www.cpso.on.ca/DoctorDetails/Cameron-Lindsay-McGavin/0285720-100079","McGavin, Cameron Lindsay")</f>
        <v>McGavin, Cameron Lindsay</v>
      </c>
      <c r="B321" s="25" t="s">
        <v>3596</v>
      </c>
      <c r="C321" s="24" t="s">
        <v>3597</v>
      </c>
      <c r="D321" s="24" t="s">
        <v>3598</v>
      </c>
      <c r="E321" s="24" t="s">
        <v>29</v>
      </c>
      <c r="F321" s="24" t="s">
        <v>30</v>
      </c>
      <c r="G321" s="24" t="s">
        <v>31</v>
      </c>
      <c r="H321" s="24" t="s">
        <v>3599</v>
      </c>
      <c r="I321" s="24" t="s">
        <v>3600</v>
      </c>
      <c r="J321" s="24" t="s">
        <v>3601</v>
      </c>
      <c r="K321" s="24" t="s">
        <v>3602</v>
      </c>
      <c r="L321" s="24" t="s">
        <v>152</v>
      </c>
      <c r="M321" s="15"/>
      <c r="N321" s="15"/>
      <c r="O321" s="15"/>
      <c r="P321" s="15" t="s">
        <v>3603</v>
      </c>
      <c r="Q321" s="15"/>
      <c r="R321" s="15" t="s">
        <v>3604</v>
      </c>
      <c r="S321" s="24" t="s">
        <v>71</v>
      </c>
      <c r="T321" s="24" t="s">
        <v>39</v>
      </c>
      <c r="U321" s="24" t="s">
        <v>39</v>
      </c>
      <c r="V321" s="24" t="s">
        <v>39</v>
      </c>
      <c r="W321" s="24"/>
      <c r="X321" s="24"/>
      <c r="Y321" s="15"/>
      <c r="Z321" s="15"/>
      <c r="AA321" s="24"/>
      <c r="AB321" s="24"/>
      <c r="AC321" s="24"/>
      <c r="AD321" s="24"/>
      <c r="AE321" s="24"/>
      <c r="AF321" s="24"/>
      <c r="AG321" s="24"/>
      <c r="AH321" s="24"/>
    </row>
    <row r="322" spans="1:34" x14ac:dyDescent="0.25">
      <c r="A322" s="24" t="str">
        <f>HYPERLINK("https://www.cpso.on.ca/DoctorDetails/Cameron-Mckinnon-Stevenson/0010615-15385","Stevenson, Cameron Mckinnon")</f>
        <v>Stevenson, Cameron Mckinnon</v>
      </c>
      <c r="B322" s="25" t="s">
        <v>3605</v>
      </c>
      <c r="C322" s="24" t="s">
        <v>3606</v>
      </c>
      <c r="D322" s="24" t="s">
        <v>3607</v>
      </c>
      <c r="E322" s="24" t="s">
        <v>29</v>
      </c>
      <c r="F322" s="24" t="s">
        <v>30</v>
      </c>
      <c r="G322" s="24" t="s">
        <v>31</v>
      </c>
      <c r="H322" s="24" t="s">
        <v>3608</v>
      </c>
      <c r="I322" s="24" t="s">
        <v>3609</v>
      </c>
      <c r="J322" s="24" t="s">
        <v>3610</v>
      </c>
      <c r="K322" s="24" t="s">
        <v>3611</v>
      </c>
      <c r="L322" s="24" t="s">
        <v>340</v>
      </c>
      <c r="M322" s="15"/>
      <c r="N322" s="15"/>
      <c r="O322" s="15"/>
      <c r="P322" s="15" t="s">
        <v>3612</v>
      </c>
      <c r="Q322" s="15"/>
      <c r="R322" s="15" t="s">
        <v>3613</v>
      </c>
      <c r="S322" s="24" t="s">
        <v>39</v>
      </c>
      <c r="T322" s="24" t="s">
        <v>39</v>
      </c>
      <c r="U322" s="24" t="s">
        <v>39</v>
      </c>
      <c r="V322" s="24" t="s">
        <v>39</v>
      </c>
      <c r="W322" s="24"/>
      <c r="X322" s="24"/>
      <c r="Y322" s="15"/>
      <c r="Z322" s="15"/>
      <c r="AA322" s="24"/>
      <c r="AB322" s="24"/>
      <c r="AC322" s="24"/>
      <c r="AD322" s="24"/>
      <c r="AE322" s="24"/>
      <c r="AF322" s="24"/>
      <c r="AG322" s="24"/>
      <c r="AH322" s="24"/>
    </row>
    <row r="323" spans="1:34" ht="120" x14ac:dyDescent="0.25">
      <c r="A323" s="24" t="str">
        <f>HYPERLINK("https://www.cpso.on.ca/DoctorDetails/Cara-Andrea-Brown/0233067-84634","Brown, Cara Andrea")</f>
        <v>Brown, Cara Andrea</v>
      </c>
      <c r="B323" s="25" t="s">
        <v>3614</v>
      </c>
      <c r="C323" s="24" t="s">
        <v>647</v>
      </c>
      <c r="D323" s="24" t="s">
        <v>600</v>
      </c>
      <c r="E323" s="24" t="s">
        <v>29</v>
      </c>
      <c r="F323" s="24" t="s">
        <v>47</v>
      </c>
      <c r="G323" s="24" t="s">
        <v>31</v>
      </c>
      <c r="H323" s="24" t="s">
        <v>649</v>
      </c>
      <c r="I323" s="24" t="s">
        <v>3615</v>
      </c>
      <c r="J323" s="24" t="s">
        <v>3616</v>
      </c>
      <c r="K323" s="24" t="s">
        <v>3617</v>
      </c>
      <c r="L323" s="24" t="s">
        <v>52</v>
      </c>
      <c r="M323" s="15" t="s">
        <v>3618</v>
      </c>
      <c r="N323" s="15"/>
      <c r="O323" s="15" t="s">
        <v>1397</v>
      </c>
      <c r="P323" s="15" t="s">
        <v>272</v>
      </c>
      <c r="Q323" s="15" t="s">
        <v>3619</v>
      </c>
      <c r="R323" s="15" t="s">
        <v>3620</v>
      </c>
      <c r="S323" s="24" t="s">
        <v>39</v>
      </c>
      <c r="T323" s="24" t="s">
        <v>39</v>
      </c>
      <c r="U323" s="24" t="s">
        <v>39</v>
      </c>
      <c r="V323" s="24" t="s">
        <v>39</v>
      </c>
      <c r="W323" s="24"/>
      <c r="X323" s="24"/>
      <c r="Y323" s="15"/>
      <c r="Z323" s="15"/>
      <c r="AA323" s="24"/>
      <c r="AB323" s="24"/>
      <c r="AC323" s="24"/>
      <c r="AD323" s="24"/>
      <c r="AE323" s="24"/>
      <c r="AF323" s="24"/>
      <c r="AG323" s="24"/>
      <c r="AH323" s="24"/>
    </row>
    <row r="324" spans="1:34" ht="105" x14ac:dyDescent="0.25">
      <c r="A324" s="24" t="str">
        <f>HYPERLINK("https://www.cpso.on.ca/DoctorDetails/Cara-Lianne-Ooi/0250160-88367","Ooi, Cara Lianne")</f>
        <v>Ooi, Cara Lianne</v>
      </c>
      <c r="B324" s="25" t="s">
        <v>3621</v>
      </c>
      <c r="C324" s="24" t="s">
        <v>846</v>
      </c>
      <c r="D324" s="24" t="s">
        <v>443</v>
      </c>
      <c r="E324" s="24" t="s">
        <v>29</v>
      </c>
      <c r="F324" s="24" t="s">
        <v>47</v>
      </c>
      <c r="G324" s="24" t="s">
        <v>31</v>
      </c>
      <c r="H324" s="24" t="s">
        <v>268</v>
      </c>
      <c r="I324" s="24" t="s">
        <v>3622</v>
      </c>
      <c r="J324" s="24" t="s">
        <v>300</v>
      </c>
      <c r="K324" s="24"/>
      <c r="L324" s="24" t="s">
        <v>52</v>
      </c>
      <c r="M324" s="15"/>
      <c r="N324" s="15"/>
      <c r="O324" s="15" t="s">
        <v>121</v>
      </c>
      <c r="P324" s="15" t="s">
        <v>3623</v>
      </c>
      <c r="Q324" s="15" t="s">
        <v>3624</v>
      </c>
      <c r="R324" s="15" t="s">
        <v>3625</v>
      </c>
      <c r="S324" s="24" t="s">
        <v>39</v>
      </c>
      <c r="T324" s="24" t="s">
        <v>39</v>
      </c>
      <c r="U324" s="24" t="s">
        <v>39</v>
      </c>
      <c r="V324" s="24" t="s">
        <v>39</v>
      </c>
      <c r="W324" s="24" t="s">
        <v>3626</v>
      </c>
      <c r="X324" s="24" t="s">
        <v>3627</v>
      </c>
      <c r="Y324" s="15" t="s">
        <v>3628</v>
      </c>
      <c r="Z324" s="15" t="s">
        <v>3629</v>
      </c>
      <c r="AA324" s="24"/>
      <c r="AB324" s="24"/>
      <c r="AC324" s="24"/>
      <c r="AD324" s="24"/>
      <c r="AE324" s="24"/>
      <c r="AF324" s="24"/>
      <c r="AG324" s="24"/>
      <c r="AH324" s="24"/>
    </row>
    <row r="325" spans="1:34" ht="45" x14ac:dyDescent="0.25">
      <c r="A325" s="24" t="str">
        <f>HYPERLINK("https://www.cpso.on.ca/DoctorDetails/Carl-Douglas-Ripley/0037758-51734","Ripley, Carl Douglas")</f>
        <v>Ripley, Carl Douglas</v>
      </c>
      <c r="B325" s="25" t="s">
        <v>3630</v>
      </c>
      <c r="C325" s="24" t="s">
        <v>3631</v>
      </c>
      <c r="D325" s="24" t="s">
        <v>3632</v>
      </c>
      <c r="E325" s="24" t="s">
        <v>29</v>
      </c>
      <c r="F325" s="24" t="s">
        <v>30</v>
      </c>
      <c r="G325" s="24" t="s">
        <v>31</v>
      </c>
      <c r="H325" s="24" t="s">
        <v>3633</v>
      </c>
      <c r="I325" s="24" t="s">
        <v>708</v>
      </c>
      <c r="J325" s="24" t="s">
        <v>3634</v>
      </c>
      <c r="K325" s="24" t="s">
        <v>3635</v>
      </c>
      <c r="L325" s="24" t="s">
        <v>84</v>
      </c>
      <c r="M325" s="15"/>
      <c r="N325" s="15"/>
      <c r="O325" s="15" t="s">
        <v>498</v>
      </c>
      <c r="P325" s="15" t="s">
        <v>3636</v>
      </c>
      <c r="Q325" s="15"/>
      <c r="R325" s="15" t="s">
        <v>3637</v>
      </c>
      <c r="S325" s="24" t="s">
        <v>39</v>
      </c>
      <c r="T325" s="24" t="s">
        <v>39</v>
      </c>
      <c r="U325" s="24" t="s">
        <v>39</v>
      </c>
      <c r="V325" s="24" t="s">
        <v>39</v>
      </c>
      <c r="W325" s="24" t="s">
        <v>3638</v>
      </c>
      <c r="X325" s="24" t="s">
        <v>3639</v>
      </c>
      <c r="Y325" s="15" t="s">
        <v>3640</v>
      </c>
      <c r="Z325" s="15" t="s">
        <v>2554</v>
      </c>
      <c r="AA325" s="24"/>
      <c r="AB325" s="24"/>
      <c r="AC325" s="24"/>
      <c r="AD325" s="24"/>
      <c r="AE325" s="24"/>
      <c r="AF325" s="24"/>
      <c r="AG325" s="24"/>
      <c r="AH325" s="24"/>
    </row>
    <row r="326" spans="1:34" ht="75" x14ac:dyDescent="0.25">
      <c r="A326" s="24" t="str">
        <f>HYPERLINK("https://www.cpso.on.ca/DoctorDetails/Carla-Diane-Edwards/0172611-75134","Edwards, Carla Diane")</f>
        <v>Edwards, Carla Diane</v>
      </c>
      <c r="B326" s="25" t="s">
        <v>3641</v>
      </c>
      <c r="C326" s="24" t="s">
        <v>3642</v>
      </c>
      <c r="D326" s="24" t="s">
        <v>1234</v>
      </c>
      <c r="E326" s="24" t="s">
        <v>29</v>
      </c>
      <c r="F326" s="24" t="s">
        <v>47</v>
      </c>
      <c r="G326" s="24" t="s">
        <v>31</v>
      </c>
      <c r="H326" s="24" t="s">
        <v>3643</v>
      </c>
      <c r="I326" s="24" t="s">
        <v>3644</v>
      </c>
      <c r="J326" s="24" t="s">
        <v>3645</v>
      </c>
      <c r="K326" s="24" t="s">
        <v>3646</v>
      </c>
      <c r="L326" s="24" t="s">
        <v>152</v>
      </c>
      <c r="M326" s="15" t="s">
        <v>3647</v>
      </c>
      <c r="N326" s="15"/>
      <c r="O326" s="15"/>
      <c r="P326" s="15" t="s">
        <v>1239</v>
      </c>
      <c r="Q326" s="15" t="s">
        <v>3648</v>
      </c>
      <c r="R326" s="15" t="s">
        <v>3649</v>
      </c>
      <c r="S326" s="24" t="s">
        <v>39</v>
      </c>
      <c r="T326" s="24" t="s">
        <v>39</v>
      </c>
      <c r="U326" s="24" t="s">
        <v>39</v>
      </c>
      <c r="V326" s="24" t="s">
        <v>39</v>
      </c>
      <c r="W326" s="24" t="s">
        <v>3650</v>
      </c>
      <c r="X326" s="24" t="s">
        <v>3651</v>
      </c>
      <c r="Y326" s="15" t="s">
        <v>3652</v>
      </c>
      <c r="Z326" s="15" t="s">
        <v>3653</v>
      </c>
      <c r="AA326" s="24"/>
      <c r="AB326" s="24"/>
      <c r="AC326" s="24"/>
      <c r="AD326" s="24"/>
      <c r="AE326" s="24"/>
      <c r="AF326" s="24"/>
      <c r="AG326" s="24"/>
      <c r="AH326" s="24"/>
    </row>
    <row r="327" spans="1:34" ht="75" x14ac:dyDescent="0.25">
      <c r="A327" s="24" t="str">
        <f>HYPERLINK("https://www.cpso.on.ca/DoctorDetails/Carla-Susana-Garcia/0169093-74966","Garcia, Carla Susana")</f>
        <v>Garcia, Carla Susana</v>
      </c>
      <c r="B327" s="25" t="s">
        <v>3654</v>
      </c>
      <c r="C327" s="24" t="s">
        <v>3642</v>
      </c>
      <c r="D327" s="24" t="s">
        <v>1234</v>
      </c>
      <c r="E327" s="24" t="s">
        <v>29</v>
      </c>
      <c r="F327" s="24" t="s">
        <v>47</v>
      </c>
      <c r="G327" s="24" t="s">
        <v>31</v>
      </c>
      <c r="H327" s="24" t="s">
        <v>3655</v>
      </c>
      <c r="I327" s="24" t="s">
        <v>3656</v>
      </c>
      <c r="J327" s="24" t="s">
        <v>3657</v>
      </c>
      <c r="K327" s="24" t="s">
        <v>3658</v>
      </c>
      <c r="L327" s="24" t="s">
        <v>52</v>
      </c>
      <c r="M327" s="15"/>
      <c r="N327" s="15"/>
      <c r="O327" s="15" t="s">
        <v>487</v>
      </c>
      <c r="P327" s="15" t="s">
        <v>1239</v>
      </c>
      <c r="Q327" s="15" t="s">
        <v>3659</v>
      </c>
      <c r="R327" s="15" t="s">
        <v>3649</v>
      </c>
      <c r="S327" s="24" t="s">
        <v>39</v>
      </c>
      <c r="T327" s="24" t="s">
        <v>39</v>
      </c>
      <c r="U327" s="24" t="s">
        <v>39</v>
      </c>
      <c r="V327" s="24" t="s">
        <v>39</v>
      </c>
      <c r="W327" s="24"/>
      <c r="X327" s="24"/>
      <c r="Y327" s="15"/>
      <c r="Z327" s="15"/>
      <c r="AA327" s="24"/>
      <c r="AB327" s="24"/>
      <c r="AC327" s="24"/>
      <c r="AD327" s="24"/>
      <c r="AE327" s="24"/>
      <c r="AF327" s="24"/>
      <c r="AG327" s="24"/>
      <c r="AH327" s="24"/>
    </row>
    <row r="328" spans="1:34" ht="75" x14ac:dyDescent="0.25">
      <c r="A328" s="24" t="str">
        <f>HYPERLINK("https://www.cpso.on.ca/DoctorDetails/Carlos-David-Eijansantos-Lalonde/0221345-82540","Lalonde, Carlos David Eijansantos")</f>
        <v>Lalonde, Carlos David Eijansantos</v>
      </c>
      <c r="B328" s="25" t="s">
        <v>3660</v>
      </c>
      <c r="C328" s="24" t="s">
        <v>2342</v>
      </c>
      <c r="D328" s="24" t="s">
        <v>2343</v>
      </c>
      <c r="E328" s="24" t="s">
        <v>29</v>
      </c>
      <c r="F328" s="24" t="s">
        <v>30</v>
      </c>
      <c r="G328" s="24" t="s">
        <v>31</v>
      </c>
      <c r="H328" s="24" t="s">
        <v>1756</v>
      </c>
      <c r="I328" s="24" t="s">
        <v>2614</v>
      </c>
      <c r="J328" s="24" t="s">
        <v>3661</v>
      </c>
      <c r="K328" s="24"/>
      <c r="L328" s="24" t="s">
        <v>152</v>
      </c>
      <c r="M328" s="15"/>
      <c r="N328" s="15"/>
      <c r="O328" s="15" t="s">
        <v>1539</v>
      </c>
      <c r="P328" s="15" t="s">
        <v>2348</v>
      </c>
      <c r="Q328" s="15" t="s">
        <v>3662</v>
      </c>
      <c r="R328" s="15" t="s">
        <v>2350</v>
      </c>
      <c r="S328" s="24" t="s">
        <v>39</v>
      </c>
      <c r="T328" s="24" t="s">
        <v>39</v>
      </c>
      <c r="U328" s="24" t="s">
        <v>39</v>
      </c>
      <c r="V328" s="24" t="s">
        <v>39</v>
      </c>
      <c r="W328" s="24" t="s">
        <v>3663</v>
      </c>
      <c r="X328" s="24" t="s">
        <v>3664</v>
      </c>
      <c r="Y328" s="15" t="s">
        <v>3665</v>
      </c>
      <c r="Z328" s="15" t="s">
        <v>3666</v>
      </c>
      <c r="AA328" s="24"/>
      <c r="AB328" s="24"/>
      <c r="AC328" s="24"/>
      <c r="AD328" s="24"/>
      <c r="AE328" s="24"/>
      <c r="AF328" s="24"/>
      <c r="AG328" s="24"/>
      <c r="AH328" s="24"/>
    </row>
    <row r="329" spans="1:34" ht="30" x14ac:dyDescent="0.25">
      <c r="A329" s="24" t="str">
        <f>HYPERLINK("https://www.cpso.on.ca/DoctorDetails/Carlos-Reid-Featherston/0026455-31278","Featherston, Carlos Reid")</f>
        <v>Featherston, Carlos Reid</v>
      </c>
      <c r="B329" s="25" t="s">
        <v>3667</v>
      </c>
      <c r="C329" s="24" t="s">
        <v>3668</v>
      </c>
      <c r="D329" s="24" t="s">
        <v>3669</v>
      </c>
      <c r="E329" s="24" t="s">
        <v>29</v>
      </c>
      <c r="F329" s="24" t="s">
        <v>30</v>
      </c>
      <c r="G329" s="24" t="s">
        <v>115</v>
      </c>
      <c r="H329" s="24" t="s">
        <v>3670</v>
      </c>
      <c r="I329" s="24" t="s">
        <v>3671</v>
      </c>
      <c r="J329" s="24" t="s">
        <v>3672</v>
      </c>
      <c r="K329" s="24" t="s">
        <v>3673</v>
      </c>
      <c r="L329" s="24" t="s">
        <v>84</v>
      </c>
      <c r="M329" s="15"/>
      <c r="N329" s="15"/>
      <c r="O329" s="15"/>
      <c r="P329" s="15" t="s">
        <v>2459</v>
      </c>
      <c r="Q329" s="15"/>
      <c r="R329" s="15" t="s">
        <v>3674</v>
      </c>
      <c r="S329" s="24" t="s">
        <v>39</v>
      </c>
      <c r="T329" s="24" t="s">
        <v>39</v>
      </c>
      <c r="U329" s="24" t="s">
        <v>39</v>
      </c>
      <c r="V329" s="24" t="s">
        <v>39</v>
      </c>
      <c r="W329" s="24"/>
      <c r="X329" s="24"/>
      <c r="Y329" s="15"/>
      <c r="Z329" s="15"/>
      <c r="AA329" s="24"/>
      <c r="AB329" s="24"/>
      <c r="AC329" s="24"/>
      <c r="AD329" s="24"/>
      <c r="AE329" s="24"/>
      <c r="AF329" s="24"/>
      <c r="AG329" s="24"/>
      <c r="AH329" s="24"/>
    </row>
    <row r="330" spans="1:34" ht="45" x14ac:dyDescent="0.25">
      <c r="A330" s="24" t="str">
        <f>HYPERLINK("https://www.cpso.on.ca/DoctorDetails/Carlos-Willy-GalarragaCarrero/0036632-50608","Galarraga-Carrero, Carlos Willy")</f>
        <v>Galarraga-Carrero, Carlos Willy</v>
      </c>
      <c r="B330" s="25" t="s">
        <v>3675</v>
      </c>
      <c r="C330" s="24" t="s">
        <v>3676</v>
      </c>
      <c r="D330" s="24" t="s">
        <v>3677</v>
      </c>
      <c r="E330" s="24" t="s">
        <v>29</v>
      </c>
      <c r="F330" s="24" t="s">
        <v>30</v>
      </c>
      <c r="G330" s="24" t="s">
        <v>115</v>
      </c>
      <c r="H330" s="24" t="s">
        <v>3678</v>
      </c>
      <c r="I330" s="24" t="s">
        <v>3679</v>
      </c>
      <c r="J330" s="24" t="s">
        <v>3680</v>
      </c>
      <c r="K330" s="24" t="s">
        <v>3681</v>
      </c>
      <c r="L330" s="24" t="s">
        <v>152</v>
      </c>
      <c r="M330" s="15" t="s">
        <v>3682</v>
      </c>
      <c r="N330" s="15"/>
      <c r="O330" s="15"/>
      <c r="P330" s="15" t="s">
        <v>1877</v>
      </c>
      <c r="Q330" s="15"/>
      <c r="R330" s="15" t="s">
        <v>3683</v>
      </c>
      <c r="S330" s="24" t="s">
        <v>39</v>
      </c>
      <c r="T330" s="24" t="s">
        <v>39</v>
      </c>
      <c r="U330" s="24" t="s">
        <v>39</v>
      </c>
      <c r="V330" s="24" t="s">
        <v>39</v>
      </c>
      <c r="W330" s="24" t="s">
        <v>3684</v>
      </c>
      <c r="X330" s="24" t="s">
        <v>3685</v>
      </c>
      <c r="Y330" s="15" t="s">
        <v>3686</v>
      </c>
      <c r="Z330" s="15" t="s">
        <v>3687</v>
      </c>
      <c r="AA330" s="24"/>
      <c r="AB330" s="24"/>
      <c r="AC330" s="24"/>
      <c r="AD330" s="24"/>
      <c r="AE330" s="24"/>
      <c r="AF330" s="24"/>
      <c r="AG330" s="24"/>
      <c r="AH330" s="24"/>
    </row>
    <row r="331" spans="1:34" ht="75" x14ac:dyDescent="0.25">
      <c r="A331" s="24" t="str">
        <f>HYPERLINK("https://www.cpso.on.ca/DoctorDetails/Carmen-Elizabeth-Wiebe/0143351-71463","Wiebe, Carmen Elizabeth")</f>
        <v>Wiebe, Carmen Elizabeth</v>
      </c>
      <c r="B331" s="25" t="s">
        <v>3688</v>
      </c>
      <c r="C331" s="24" t="s">
        <v>1390</v>
      </c>
      <c r="D331" s="24" t="s">
        <v>1391</v>
      </c>
      <c r="E331" s="24" t="s">
        <v>29</v>
      </c>
      <c r="F331" s="24" t="s">
        <v>47</v>
      </c>
      <c r="G331" s="24" t="s">
        <v>31</v>
      </c>
      <c r="H331" s="24" t="s">
        <v>3689</v>
      </c>
      <c r="I331" s="24" t="s">
        <v>3690</v>
      </c>
      <c r="J331" s="24" t="s">
        <v>3691</v>
      </c>
      <c r="K331" s="24" t="s">
        <v>3692</v>
      </c>
      <c r="L331" s="24" t="s">
        <v>52</v>
      </c>
      <c r="M331" s="15"/>
      <c r="N331" s="15"/>
      <c r="O331" s="15" t="s">
        <v>3557</v>
      </c>
      <c r="P331" s="15" t="s">
        <v>1398</v>
      </c>
      <c r="Q331" s="15" t="s">
        <v>3693</v>
      </c>
      <c r="R331" s="15" t="s">
        <v>1400</v>
      </c>
      <c r="S331" s="24" t="s">
        <v>39</v>
      </c>
      <c r="T331" s="24" t="s">
        <v>39</v>
      </c>
      <c r="U331" s="24" t="s">
        <v>39</v>
      </c>
      <c r="V331" s="24" t="s">
        <v>39</v>
      </c>
      <c r="W331" s="24"/>
      <c r="X331" s="24"/>
      <c r="Y331" s="15"/>
      <c r="Z331" s="15"/>
      <c r="AA331" s="24"/>
      <c r="AB331" s="24"/>
      <c r="AC331" s="24"/>
      <c r="AD331" s="24"/>
      <c r="AE331" s="24"/>
      <c r="AF331" s="24"/>
      <c r="AG331" s="24"/>
      <c r="AH331" s="24"/>
    </row>
    <row r="332" spans="1:34" ht="60" x14ac:dyDescent="0.25">
      <c r="A332" s="24" t="str">
        <f>HYPERLINK("https://www.cpso.on.ca/DoctorDetails/Carmen-Rose-Meakin/0206180-79930","Meakin, Carmen Rose")</f>
        <v>Meakin, Carmen Rose</v>
      </c>
      <c r="B332" s="25" t="s">
        <v>3694</v>
      </c>
      <c r="C332" s="24" t="s">
        <v>3695</v>
      </c>
      <c r="D332" s="24" t="s">
        <v>3696</v>
      </c>
      <c r="E332" s="24" t="s">
        <v>29</v>
      </c>
      <c r="F332" s="24" t="s">
        <v>47</v>
      </c>
      <c r="G332" s="24" t="s">
        <v>31</v>
      </c>
      <c r="H332" s="24" t="s">
        <v>3697</v>
      </c>
      <c r="I332" s="24" t="s">
        <v>107</v>
      </c>
      <c r="J332" s="24"/>
      <c r="K332" s="24"/>
      <c r="L332" s="24"/>
      <c r="M332" s="15"/>
      <c r="N332" s="15" t="s">
        <v>3698</v>
      </c>
      <c r="O332" s="15"/>
      <c r="P332" s="15" t="s">
        <v>2348</v>
      </c>
      <c r="Q332" s="15" t="s">
        <v>3699</v>
      </c>
      <c r="R332" s="15" t="s">
        <v>3700</v>
      </c>
      <c r="S332" s="24" t="s">
        <v>39</v>
      </c>
      <c r="T332" s="24" t="s">
        <v>39</v>
      </c>
      <c r="U332" s="24" t="s">
        <v>39</v>
      </c>
      <c r="V332" s="24" t="s">
        <v>39</v>
      </c>
      <c r="W332" s="24"/>
      <c r="X332" s="24"/>
      <c r="Y332" s="15"/>
      <c r="Z332" s="15"/>
      <c r="AA332" s="24"/>
      <c r="AB332" s="24"/>
      <c r="AC332" s="24"/>
      <c r="AD332" s="24"/>
      <c r="AE332" s="24"/>
      <c r="AF332" s="24"/>
      <c r="AG332" s="24"/>
      <c r="AH332" s="24"/>
    </row>
    <row r="333" spans="1:34" ht="75" x14ac:dyDescent="0.25">
      <c r="A333" s="24" t="str">
        <f>HYPERLINK("https://www.cpso.on.ca/DoctorDetails/Carol-Althea-McDaniel/0289390-102192","McDaniel, Carol Althea")</f>
        <v>McDaniel, Carol Althea</v>
      </c>
      <c r="B333" s="25" t="s">
        <v>3701</v>
      </c>
      <c r="C333" s="24" t="s">
        <v>3702</v>
      </c>
      <c r="D333" s="24" t="s">
        <v>3703</v>
      </c>
      <c r="E333" s="24" t="s">
        <v>29</v>
      </c>
      <c r="F333" s="24" t="s">
        <v>47</v>
      </c>
      <c r="G333" s="24" t="s">
        <v>31</v>
      </c>
      <c r="H333" s="24" t="s">
        <v>3704</v>
      </c>
      <c r="I333" s="24" t="s">
        <v>3705</v>
      </c>
      <c r="J333" s="24" t="s">
        <v>3706</v>
      </c>
      <c r="K333" s="24" t="s">
        <v>3707</v>
      </c>
      <c r="L333" s="24" t="s">
        <v>135</v>
      </c>
      <c r="M333" s="15"/>
      <c r="N333" s="15" t="s">
        <v>3708</v>
      </c>
      <c r="O333" s="15" t="s">
        <v>3709</v>
      </c>
      <c r="P333" s="15" t="s">
        <v>3710</v>
      </c>
      <c r="Q333" s="15"/>
      <c r="R333" s="15" t="s">
        <v>3711</v>
      </c>
      <c r="S333" s="24" t="s">
        <v>71</v>
      </c>
      <c r="T333" s="24" t="s">
        <v>39</v>
      </c>
      <c r="U333" s="24" t="s">
        <v>39</v>
      </c>
      <c r="V333" s="24" t="s">
        <v>39</v>
      </c>
      <c r="W333" s="24" t="s">
        <v>3712</v>
      </c>
      <c r="X333" s="24" t="s">
        <v>3713</v>
      </c>
      <c r="Y333" s="15" t="s">
        <v>3714</v>
      </c>
      <c r="Z333" s="15" t="s">
        <v>3715</v>
      </c>
      <c r="AA333" s="24"/>
      <c r="AB333" s="24"/>
      <c r="AC333" s="24"/>
      <c r="AD333" s="24"/>
      <c r="AE333" s="24"/>
      <c r="AF333" s="24"/>
      <c r="AG333" s="24"/>
      <c r="AH333" s="24"/>
    </row>
    <row r="334" spans="1:34" ht="30" x14ac:dyDescent="0.25">
      <c r="A334" s="24" t="str">
        <f>HYPERLINK("https://www.cpso.on.ca/DoctorDetails/Carol-Anne-Husband/0036833-50809","Husband, Carol Anne")</f>
        <v>Husband, Carol Anne</v>
      </c>
      <c r="B334" s="25" t="s">
        <v>3716</v>
      </c>
      <c r="C334" s="24" t="s">
        <v>3717</v>
      </c>
      <c r="D334" s="24" t="s">
        <v>3718</v>
      </c>
      <c r="E334" s="24" t="s">
        <v>29</v>
      </c>
      <c r="F334" s="24" t="s">
        <v>47</v>
      </c>
      <c r="G334" s="24" t="s">
        <v>31</v>
      </c>
      <c r="H334" s="24" t="s">
        <v>3719</v>
      </c>
      <c r="I334" s="24" t="s">
        <v>3671</v>
      </c>
      <c r="J334" s="24" t="s">
        <v>3720</v>
      </c>
      <c r="K334" s="24"/>
      <c r="L334" s="24" t="s">
        <v>84</v>
      </c>
      <c r="M334" s="15"/>
      <c r="N334" s="15"/>
      <c r="O334" s="15"/>
      <c r="P334" s="15" t="s">
        <v>3636</v>
      </c>
      <c r="Q334" s="15"/>
      <c r="R334" s="15" t="s">
        <v>3721</v>
      </c>
      <c r="S334" s="24" t="s">
        <v>39</v>
      </c>
      <c r="T334" s="24" t="s">
        <v>39</v>
      </c>
      <c r="U334" s="24" t="s">
        <v>39</v>
      </c>
      <c r="V334" s="24" t="s">
        <v>39</v>
      </c>
      <c r="W334" s="24" t="s">
        <v>3722</v>
      </c>
      <c r="X334" s="24" t="s">
        <v>3723</v>
      </c>
      <c r="Y334" s="15"/>
      <c r="Z334" s="15"/>
      <c r="AA334" s="24"/>
      <c r="AB334" s="24"/>
      <c r="AC334" s="24"/>
      <c r="AD334" s="24"/>
      <c r="AE334" s="24"/>
      <c r="AF334" s="24"/>
      <c r="AG334" s="24"/>
      <c r="AH334" s="24"/>
    </row>
    <row r="335" spans="1:34" ht="90" x14ac:dyDescent="0.25">
      <c r="A335" s="24" t="str">
        <f>HYPERLINK("https://www.cpso.on.ca/DoctorDetails/Carol-Kar-Loong-Tse/0280830-98802","Tse, Carol Kar Loong")</f>
        <v>Tse, Carol Kar Loong</v>
      </c>
      <c r="B335" s="25" t="s">
        <v>3724</v>
      </c>
      <c r="C335" s="24" t="s">
        <v>544</v>
      </c>
      <c r="D335" s="24" t="s">
        <v>545</v>
      </c>
      <c r="E335" s="24" t="s">
        <v>29</v>
      </c>
      <c r="F335" s="24" t="s">
        <v>47</v>
      </c>
      <c r="G335" s="24" t="s">
        <v>31</v>
      </c>
      <c r="H335" s="24" t="s">
        <v>3725</v>
      </c>
      <c r="I335" s="24" t="s">
        <v>3726</v>
      </c>
      <c r="J335" s="24" t="s">
        <v>3588</v>
      </c>
      <c r="K335" s="24" t="s">
        <v>3727</v>
      </c>
      <c r="L335" s="24" t="s">
        <v>36</v>
      </c>
      <c r="M335" s="15"/>
      <c r="N335" s="15"/>
      <c r="O335" s="15" t="s">
        <v>3590</v>
      </c>
      <c r="P335" s="15" t="s">
        <v>550</v>
      </c>
      <c r="Q335" s="15" t="s">
        <v>3728</v>
      </c>
      <c r="R335" s="15" t="s">
        <v>3729</v>
      </c>
      <c r="S335" s="24" t="s">
        <v>39</v>
      </c>
      <c r="T335" s="24" t="s">
        <v>39</v>
      </c>
      <c r="U335" s="24" t="s">
        <v>39</v>
      </c>
      <c r="V335" s="24" t="s">
        <v>39</v>
      </c>
      <c r="W335" s="24" t="s">
        <v>3730</v>
      </c>
      <c r="X335" s="24" t="s">
        <v>3731</v>
      </c>
      <c r="Y335" s="15" t="s">
        <v>3732</v>
      </c>
      <c r="Z335" s="15" t="s">
        <v>3733</v>
      </c>
      <c r="AA335" s="24"/>
      <c r="AB335" s="24"/>
      <c r="AC335" s="24"/>
      <c r="AD335" s="24"/>
      <c r="AE335" s="24"/>
      <c r="AF335" s="24"/>
      <c r="AG335" s="24"/>
      <c r="AH335" s="24"/>
    </row>
    <row r="336" spans="1:34" ht="30" x14ac:dyDescent="0.25">
      <c r="A336" s="24" t="str">
        <f>HYPERLINK("https://www.cpso.on.ca/DoctorDetails/Carol-Marian-Parlow/0037383-51359","Parlow, Carol Marian")</f>
        <v>Parlow, Carol Marian</v>
      </c>
      <c r="B336" s="25" t="s">
        <v>3734</v>
      </c>
      <c r="C336" s="24" t="s">
        <v>3735</v>
      </c>
      <c r="D336" s="24" t="s">
        <v>3736</v>
      </c>
      <c r="E336" s="24" t="s">
        <v>29</v>
      </c>
      <c r="F336" s="24" t="s">
        <v>47</v>
      </c>
      <c r="G336" s="24" t="s">
        <v>31</v>
      </c>
      <c r="H336" s="24" t="s">
        <v>3737</v>
      </c>
      <c r="I336" s="24" t="s">
        <v>3738</v>
      </c>
      <c r="J336" s="24" t="s">
        <v>3739</v>
      </c>
      <c r="K336" s="24"/>
      <c r="L336" s="24" t="s">
        <v>36</v>
      </c>
      <c r="M336" s="15"/>
      <c r="N336" s="15"/>
      <c r="O336" s="15"/>
      <c r="P336" s="15" t="s">
        <v>2864</v>
      </c>
      <c r="Q336" s="15"/>
      <c r="R336" s="15" t="s">
        <v>3740</v>
      </c>
      <c r="S336" s="24" t="s">
        <v>39</v>
      </c>
      <c r="T336" s="24" t="s">
        <v>39</v>
      </c>
      <c r="U336" s="24" t="s">
        <v>39</v>
      </c>
      <c r="V336" s="24" t="s">
        <v>39</v>
      </c>
      <c r="W336" s="24" t="s">
        <v>3741</v>
      </c>
      <c r="X336" s="24" t="s">
        <v>3742</v>
      </c>
      <c r="Y336" s="15" t="s">
        <v>3743</v>
      </c>
      <c r="Z336" s="15" t="s">
        <v>3744</v>
      </c>
      <c r="AA336" s="24"/>
      <c r="AB336" s="24"/>
      <c r="AC336" s="24"/>
      <c r="AD336" s="24"/>
      <c r="AE336" s="24"/>
      <c r="AF336" s="24"/>
      <c r="AG336" s="24"/>
      <c r="AH336" s="24"/>
    </row>
    <row r="337" spans="1:34" ht="30" x14ac:dyDescent="0.25">
      <c r="A337" s="24" t="str">
        <f>HYPERLINK("https://www.cpso.on.ca/DoctorDetails/Carole-Ann-Cohen/0036295-50271","Cohen, Carole Ann")</f>
        <v>Cohen, Carole Ann</v>
      </c>
      <c r="B337" s="25" t="s">
        <v>3745</v>
      </c>
      <c r="C337" s="24" t="s">
        <v>3746</v>
      </c>
      <c r="D337" s="24" t="s">
        <v>2860</v>
      </c>
      <c r="E337" s="24" t="s">
        <v>29</v>
      </c>
      <c r="F337" s="24" t="s">
        <v>47</v>
      </c>
      <c r="G337" s="24" t="s">
        <v>31</v>
      </c>
      <c r="H337" s="24" t="s">
        <v>1417</v>
      </c>
      <c r="I337" s="24" t="s">
        <v>3747</v>
      </c>
      <c r="J337" s="24" t="s">
        <v>3748</v>
      </c>
      <c r="K337" s="24" t="s">
        <v>3749</v>
      </c>
      <c r="L337" s="24" t="s">
        <v>52</v>
      </c>
      <c r="M337" s="15"/>
      <c r="N337" s="15"/>
      <c r="O337" s="15" t="s">
        <v>1397</v>
      </c>
      <c r="P337" s="15" t="s">
        <v>2250</v>
      </c>
      <c r="Q337" s="15"/>
      <c r="R337" s="15" t="s">
        <v>3750</v>
      </c>
      <c r="S337" s="24" t="s">
        <v>39</v>
      </c>
      <c r="T337" s="24" t="s">
        <v>39</v>
      </c>
      <c r="U337" s="24" t="s">
        <v>39</v>
      </c>
      <c r="V337" s="24" t="s">
        <v>39</v>
      </c>
      <c r="W337" s="24" t="s">
        <v>3751</v>
      </c>
      <c r="X337" s="24" t="s">
        <v>3752</v>
      </c>
      <c r="Y337" s="15" t="s">
        <v>3753</v>
      </c>
      <c r="Z337" s="15" t="s">
        <v>3754</v>
      </c>
      <c r="AA337" s="24"/>
      <c r="AB337" s="24"/>
      <c r="AC337" s="24"/>
      <c r="AD337" s="24"/>
      <c r="AE337" s="24"/>
      <c r="AF337" s="24"/>
      <c r="AG337" s="24"/>
      <c r="AH337" s="24"/>
    </row>
    <row r="338" spans="1:34" ht="120" x14ac:dyDescent="0.25">
      <c r="A338" s="24" t="str">
        <f>HYPERLINK("https://www.cpso.on.ca/DoctorDetails/Carole-Annie-Lazaro/0274353-95298","Lazaro, Carole Annie")</f>
        <v>Lazaro, Carole Annie</v>
      </c>
      <c r="B338" s="25" t="s">
        <v>3755</v>
      </c>
      <c r="C338" s="24" t="s">
        <v>1266</v>
      </c>
      <c r="D338" s="24" t="s">
        <v>545</v>
      </c>
      <c r="E338" s="24" t="s">
        <v>29</v>
      </c>
      <c r="F338" s="24" t="s">
        <v>47</v>
      </c>
      <c r="G338" s="24" t="s">
        <v>31</v>
      </c>
      <c r="H338" s="24" t="s">
        <v>3756</v>
      </c>
      <c r="I338" s="24" t="s">
        <v>1409</v>
      </c>
      <c r="J338" s="24" t="s">
        <v>3757</v>
      </c>
      <c r="K338" s="24" t="s">
        <v>3758</v>
      </c>
      <c r="L338" s="24" t="s">
        <v>340</v>
      </c>
      <c r="M338" s="15"/>
      <c r="N338" s="15"/>
      <c r="O338" s="15" t="s">
        <v>2059</v>
      </c>
      <c r="P338" s="15" t="s">
        <v>973</v>
      </c>
      <c r="Q338" s="15" t="s">
        <v>3759</v>
      </c>
      <c r="R338" s="15" t="s">
        <v>3760</v>
      </c>
      <c r="S338" s="24" t="s">
        <v>39</v>
      </c>
      <c r="T338" s="24" t="s">
        <v>39</v>
      </c>
      <c r="U338" s="24" t="s">
        <v>39</v>
      </c>
      <c r="V338" s="24" t="s">
        <v>39</v>
      </c>
      <c r="W338" s="24"/>
      <c r="X338" s="24"/>
      <c r="Y338" s="15"/>
      <c r="Z338" s="15"/>
      <c r="AA338" s="24"/>
      <c r="AB338" s="24"/>
      <c r="AC338" s="24"/>
      <c r="AD338" s="24"/>
      <c r="AE338" s="24"/>
      <c r="AF338" s="24"/>
      <c r="AG338" s="24"/>
      <c r="AH338" s="24"/>
    </row>
    <row r="339" spans="1:34" ht="75" x14ac:dyDescent="0.25">
      <c r="A339" s="24" t="str">
        <f>HYPERLINK("https://www.cpso.on.ca/DoctorDetails/Carole-Dianne-Pittman/0143174-71610","Pittman, Carole Dianne")</f>
        <v>Pittman, Carole Dianne</v>
      </c>
      <c r="B339" s="25" t="s">
        <v>3761</v>
      </c>
      <c r="C339" s="24" t="s">
        <v>3762</v>
      </c>
      <c r="D339" s="24" t="s">
        <v>3763</v>
      </c>
      <c r="E339" s="24" t="s">
        <v>29</v>
      </c>
      <c r="F339" s="24" t="s">
        <v>47</v>
      </c>
      <c r="G339" s="24" t="s">
        <v>31</v>
      </c>
      <c r="H339" s="24" t="s">
        <v>2152</v>
      </c>
      <c r="I339" s="24" t="s">
        <v>3764</v>
      </c>
      <c r="J339" s="24" t="s">
        <v>3765</v>
      </c>
      <c r="K339" s="24" t="s">
        <v>3766</v>
      </c>
      <c r="L339" s="24" t="s">
        <v>152</v>
      </c>
      <c r="M339" s="15" t="s">
        <v>3767</v>
      </c>
      <c r="N339" s="15"/>
      <c r="O339" s="15" t="s">
        <v>3768</v>
      </c>
      <c r="P339" s="15" t="s">
        <v>1398</v>
      </c>
      <c r="Q339" s="15" t="s">
        <v>3769</v>
      </c>
      <c r="R339" s="15" t="s">
        <v>3770</v>
      </c>
      <c r="S339" s="24" t="s">
        <v>39</v>
      </c>
      <c r="T339" s="24" t="s">
        <v>39</v>
      </c>
      <c r="U339" s="24" t="s">
        <v>39</v>
      </c>
      <c r="V339" s="24" t="s">
        <v>39</v>
      </c>
      <c r="W339" s="24" t="s">
        <v>3771</v>
      </c>
      <c r="X339" s="24" t="s">
        <v>3772</v>
      </c>
      <c r="Y339" s="15" t="s">
        <v>3773</v>
      </c>
      <c r="Z339" s="15" t="s">
        <v>3774</v>
      </c>
      <c r="AA339" s="24"/>
      <c r="AB339" s="24"/>
      <c r="AC339" s="24"/>
      <c r="AD339" s="24"/>
      <c r="AE339" s="24"/>
      <c r="AF339" s="24"/>
      <c r="AG339" s="24"/>
      <c r="AH339" s="24"/>
    </row>
    <row r="340" spans="1:34" x14ac:dyDescent="0.25">
      <c r="A340" s="24" t="str">
        <f>HYPERLINK("https://www.cpso.on.ca/DoctorDetails/Carole-MenardButeau/0051981-65960","Menard-Buteau, Carole")</f>
        <v>Menard-Buteau, Carole</v>
      </c>
      <c r="B340" s="25" t="s">
        <v>3775</v>
      </c>
      <c r="C340" s="24" t="s">
        <v>3776</v>
      </c>
      <c r="D340" s="24" t="s">
        <v>3777</v>
      </c>
      <c r="E340" s="24" t="s">
        <v>29</v>
      </c>
      <c r="F340" s="24" t="s">
        <v>47</v>
      </c>
      <c r="G340" s="24" t="s">
        <v>813</v>
      </c>
      <c r="H340" s="24" t="s">
        <v>3778</v>
      </c>
      <c r="I340" s="24" t="s">
        <v>3779</v>
      </c>
      <c r="J340" s="24" t="s">
        <v>3780</v>
      </c>
      <c r="K340" s="24" t="s">
        <v>3781</v>
      </c>
      <c r="L340" s="24" t="s">
        <v>84</v>
      </c>
      <c r="M340" s="15"/>
      <c r="N340" s="15"/>
      <c r="O340" s="15"/>
      <c r="P340" s="15" t="s">
        <v>1842</v>
      </c>
      <c r="Q340" s="15"/>
      <c r="R340" s="15" t="s">
        <v>3782</v>
      </c>
      <c r="S340" s="24" t="s">
        <v>39</v>
      </c>
      <c r="T340" s="24" t="s">
        <v>39</v>
      </c>
      <c r="U340" s="24" t="s">
        <v>39</v>
      </c>
      <c r="V340" s="24" t="s">
        <v>39</v>
      </c>
      <c r="W340" s="24" t="s">
        <v>3783</v>
      </c>
      <c r="X340" s="24" t="s">
        <v>3784</v>
      </c>
      <c r="Y340" s="15" t="s">
        <v>3785</v>
      </c>
      <c r="Z340" s="15" t="s">
        <v>3786</v>
      </c>
      <c r="AA340" s="24"/>
      <c r="AB340" s="24"/>
      <c r="AC340" s="24"/>
      <c r="AD340" s="24"/>
      <c r="AE340" s="24"/>
      <c r="AF340" s="24"/>
      <c r="AG340" s="24"/>
      <c r="AH340" s="24"/>
    </row>
    <row r="341" spans="1:34" ht="150" x14ac:dyDescent="0.25">
      <c r="A341" s="24" t="str">
        <f>HYPERLINK("https://www.cpso.on.ca/DoctorDetails/Carole-Rolande-Marie-Tessier/0257588-91478","Tessier, Carole Rolande Marie")</f>
        <v>Tessier, Carole Rolande Marie</v>
      </c>
      <c r="B341" s="25" t="s">
        <v>3787</v>
      </c>
      <c r="C341" s="24" t="s">
        <v>3788</v>
      </c>
      <c r="D341" s="24" t="s">
        <v>3789</v>
      </c>
      <c r="E341" s="24" t="s">
        <v>29</v>
      </c>
      <c r="F341" s="24" t="s">
        <v>47</v>
      </c>
      <c r="G341" s="24" t="s">
        <v>813</v>
      </c>
      <c r="H341" s="24" t="s">
        <v>3790</v>
      </c>
      <c r="I341" s="24" t="s">
        <v>3791</v>
      </c>
      <c r="J341" s="24" t="s">
        <v>3792</v>
      </c>
      <c r="K341" s="24" t="s">
        <v>3793</v>
      </c>
      <c r="L341" s="24" t="s">
        <v>84</v>
      </c>
      <c r="M341" s="15" t="s">
        <v>3794</v>
      </c>
      <c r="N341" s="15" t="s">
        <v>710</v>
      </c>
      <c r="O341" s="15" t="s">
        <v>3795</v>
      </c>
      <c r="P341" s="15" t="s">
        <v>3796</v>
      </c>
      <c r="Q341" s="15" t="s">
        <v>3797</v>
      </c>
      <c r="R341" s="15" t="s">
        <v>3798</v>
      </c>
      <c r="S341" s="24" t="s">
        <v>39</v>
      </c>
      <c r="T341" s="24" t="s">
        <v>39</v>
      </c>
      <c r="U341" s="24" t="s">
        <v>39</v>
      </c>
      <c r="V341" s="24" t="s">
        <v>39</v>
      </c>
      <c r="W341" s="24" t="s">
        <v>3799</v>
      </c>
      <c r="X341" s="24" t="s">
        <v>3800</v>
      </c>
      <c r="Y341" s="15" t="s">
        <v>3801</v>
      </c>
      <c r="Z341" s="15" t="s">
        <v>3802</v>
      </c>
      <c r="AA341" s="24"/>
      <c r="AB341" s="24"/>
      <c r="AC341" s="24"/>
      <c r="AD341" s="24"/>
      <c r="AE341" s="24"/>
      <c r="AF341" s="24"/>
      <c r="AG341" s="24"/>
      <c r="AH341" s="24"/>
    </row>
    <row r="342" spans="1:34" x14ac:dyDescent="0.25">
      <c r="A342" s="24" t="str">
        <f>HYPERLINK("https://www.cpso.on.ca/DoctorDetails/Carolina-Johnston/0026565-31388","Johnston, Carolina")</f>
        <v>Johnston, Carolina</v>
      </c>
      <c r="B342" s="25" t="s">
        <v>3803</v>
      </c>
      <c r="C342" s="24" t="s">
        <v>3804</v>
      </c>
      <c r="D342" s="24" t="s">
        <v>3805</v>
      </c>
      <c r="E342" s="24" t="s">
        <v>29</v>
      </c>
      <c r="F342" s="24" t="s">
        <v>47</v>
      </c>
      <c r="G342" s="24" t="s">
        <v>31</v>
      </c>
      <c r="H342" s="24" t="s">
        <v>2982</v>
      </c>
      <c r="I342" s="24" t="s">
        <v>3806</v>
      </c>
      <c r="J342" s="24" t="s">
        <v>3807</v>
      </c>
      <c r="K342" s="24"/>
      <c r="L342" s="24" t="s">
        <v>52</v>
      </c>
      <c r="M342" s="15"/>
      <c r="N342" s="15"/>
      <c r="O342" s="15"/>
      <c r="P342" s="15" t="s">
        <v>2985</v>
      </c>
      <c r="Q342" s="15"/>
      <c r="R342" s="15" t="s">
        <v>3808</v>
      </c>
      <c r="S342" s="24" t="s">
        <v>39</v>
      </c>
      <c r="T342" s="24" t="s">
        <v>39</v>
      </c>
      <c r="U342" s="24" t="s">
        <v>39</v>
      </c>
      <c r="V342" s="24" t="s">
        <v>39</v>
      </c>
      <c r="W342" s="24" t="s">
        <v>3809</v>
      </c>
      <c r="X342" s="24" t="s">
        <v>3810</v>
      </c>
      <c r="Y342" s="15" t="s">
        <v>3811</v>
      </c>
      <c r="Z342" s="15" t="s">
        <v>3812</v>
      </c>
      <c r="AA342" s="24"/>
      <c r="AB342" s="24"/>
      <c r="AC342" s="24"/>
      <c r="AD342" s="24"/>
      <c r="AE342" s="24"/>
      <c r="AF342" s="24"/>
      <c r="AG342" s="24"/>
      <c r="AH342" s="24"/>
    </row>
    <row r="343" spans="1:34" ht="75" x14ac:dyDescent="0.25">
      <c r="A343" s="24" t="str">
        <f>HYPERLINK("https://www.cpso.on.ca/DoctorDetails/Caroline-Anne-King/0117260-70164","King, Caroline Anne")</f>
        <v>King, Caroline Anne</v>
      </c>
      <c r="B343" s="25" t="s">
        <v>3813</v>
      </c>
      <c r="C343" s="24" t="s">
        <v>2673</v>
      </c>
      <c r="D343" s="24" t="s">
        <v>2674</v>
      </c>
      <c r="E343" s="24" t="s">
        <v>29</v>
      </c>
      <c r="F343" s="24" t="s">
        <v>47</v>
      </c>
      <c r="G343" s="24" t="s">
        <v>31</v>
      </c>
      <c r="H343" s="24" t="s">
        <v>3814</v>
      </c>
      <c r="I343" s="24" t="s">
        <v>3815</v>
      </c>
      <c r="J343" s="24" t="s">
        <v>3816</v>
      </c>
      <c r="K343" s="24" t="s">
        <v>3817</v>
      </c>
      <c r="L343" s="24" t="s">
        <v>184</v>
      </c>
      <c r="M343" s="15"/>
      <c r="N343" s="15"/>
      <c r="O343" s="15" t="s">
        <v>3818</v>
      </c>
      <c r="P343" s="15" t="s">
        <v>2678</v>
      </c>
      <c r="Q343" s="15" t="s">
        <v>3819</v>
      </c>
      <c r="R343" s="15" t="s">
        <v>2680</v>
      </c>
      <c r="S343" s="24" t="s">
        <v>39</v>
      </c>
      <c r="T343" s="24" t="s">
        <v>39</v>
      </c>
      <c r="U343" s="24" t="s">
        <v>39</v>
      </c>
      <c r="V343" s="24" t="s">
        <v>39</v>
      </c>
      <c r="W343" s="24" t="s">
        <v>3820</v>
      </c>
      <c r="X343" s="24" t="s">
        <v>3821</v>
      </c>
      <c r="Y343" s="15" t="s">
        <v>3822</v>
      </c>
      <c r="Z343" s="15" t="s">
        <v>3823</v>
      </c>
      <c r="AA343" s="24"/>
      <c r="AB343" s="24"/>
      <c r="AC343" s="24"/>
      <c r="AD343" s="24"/>
      <c r="AE343" s="24"/>
      <c r="AF343" s="24"/>
      <c r="AG343" s="24"/>
      <c r="AH343" s="24"/>
    </row>
    <row r="344" spans="1:34" ht="105" x14ac:dyDescent="0.25">
      <c r="A344" s="24" t="str">
        <f>HYPERLINK("https://www.cpso.on.ca/DoctorDetails/Caroline-Dok-Kirshner/0042816-56794","Kirshner, Caroline Dok")</f>
        <v>Kirshner, Caroline Dok</v>
      </c>
      <c r="B344" s="25" t="s">
        <v>3824</v>
      </c>
      <c r="C344" s="24" t="s">
        <v>3427</v>
      </c>
      <c r="D344" s="24" t="s">
        <v>3825</v>
      </c>
      <c r="E344" s="24" t="s">
        <v>29</v>
      </c>
      <c r="F344" s="24" t="s">
        <v>47</v>
      </c>
      <c r="G344" s="24" t="s">
        <v>31</v>
      </c>
      <c r="H344" s="24" t="s">
        <v>3429</v>
      </c>
      <c r="I344" s="24" t="s">
        <v>3826</v>
      </c>
      <c r="J344" s="24" t="s">
        <v>3827</v>
      </c>
      <c r="K344" s="24"/>
      <c r="L344" s="24" t="s">
        <v>52</v>
      </c>
      <c r="M344" s="15"/>
      <c r="N344" s="15"/>
      <c r="O344" s="15"/>
      <c r="P344" s="15" t="s">
        <v>1033</v>
      </c>
      <c r="Q344" s="15" t="s">
        <v>3828</v>
      </c>
      <c r="R344" s="15" t="s">
        <v>3829</v>
      </c>
      <c r="S344" s="24" t="s">
        <v>39</v>
      </c>
      <c r="T344" s="24" t="s">
        <v>39</v>
      </c>
      <c r="U344" s="24" t="s">
        <v>39</v>
      </c>
      <c r="V344" s="24" t="s">
        <v>39</v>
      </c>
      <c r="W344" s="24"/>
      <c r="X344" s="24"/>
      <c r="Y344" s="15"/>
      <c r="Z344" s="15"/>
      <c r="AA344" s="24"/>
      <c r="AB344" s="24"/>
      <c r="AC344" s="24"/>
      <c r="AD344" s="24"/>
      <c r="AE344" s="24"/>
      <c r="AF344" s="24"/>
      <c r="AG344" s="24"/>
      <c r="AH344" s="24"/>
    </row>
    <row r="345" spans="1:34" ht="75" x14ac:dyDescent="0.25">
      <c r="A345" s="24" t="str">
        <f>HYPERLINK("https://www.cpso.on.ca/DoctorDetails/Caroline-MarieAndree-GerinLajoie/0057424-69012","Gerin-Lajoie, Caroline Marie-Andree")</f>
        <v>Gerin-Lajoie, Caroline Marie-Andree</v>
      </c>
      <c r="B345" s="25" t="s">
        <v>3830</v>
      </c>
      <c r="C345" s="24" t="s">
        <v>3831</v>
      </c>
      <c r="D345" s="24" t="s">
        <v>214</v>
      </c>
      <c r="E345" s="24" t="s">
        <v>29</v>
      </c>
      <c r="F345" s="24" t="s">
        <v>47</v>
      </c>
      <c r="G345" s="24" t="s">
        <v>813</v>
      </c>
      <c r="H345" s="24" t="s">
        <v>3832</v>
      </c>
      <c r="I345" s="24" t="s">
        <v>3833</v>
      </c>
      <c r="J345" s="24" t="s">
        <v>3834</v>
      </c>
      <c r="K345" s="24" t="s">
        <v>3835</v>
      </c>
      <c r="L345" s="24" t="s">
        <v>84</v>
      </c>
      <c r="M345" s="15" t="s">
        <v>3836</v>
      </c>
      <c r="N345" s="15"/>
      <c r="O345" s="15" t="s">
        <v>3837</v>
      </c>
      <c r="P345" s="15" t="s">
        <v>1343</v>
      </c>
      <c r="Q345" s="15" t="s">
        <v>3838</v>
      </c>
      <c r="R345" s="15" t="s">
        <v>3839</v>
      </c>
      <c r="S345" s="24" t="s">
        <v>39</v>
      </c>
      <c r="T345" s="24" t="s">
        <v>39</v>
      </c>
      <c r="U345" s="24" t="s">
        <v>39</v>
      </c>
      <c r="V345" s="24" t="s">
        <v>39</v>
      </c>
      <c r="W345" s="24" t="s">
        <v>3840</v>
      </c>
      <c r="X345" s="24" t="s">
        <v>3841</v>
      </c>
      <c r="Y345" s="15" t="s">
        <v>3842</v>
      </c>
      <c r="Z345" s="15" t="s">
        <v>3843</v>
      </c>
      <c r="AA345" s="24"/>
      <c r="AB345" s="24"/>
      <c r="AC345" s="24"/>
      <c r="AD345" s="24"/>
      <c r="AE345" s="24"/>
      <c r="AF345" s="24"/>
      <c r="AG345" s="24"/>
      <c r="AH345" s="24"/>
    </row>
    <row r="346" spans="1:34" ht="135" x14ac:dyDescent="0.25">
      <c r="A346" s="24" t="str">
        <f>HYPERLINK("https://www.cpso.on.ca/DoctorDetails/Carolyn-Chandra-Lane-Stark/0266241-93282","Stark, Carolyn Chandra Lane")</f>
        <v>Stark, Carolyn Chandra Lane</v>
      </c>
      <c r="B346" s="25" t="s">
        <v>3844</v>
      </c>
      <c r="C346" s="24" t="s">
        <v>3845</v>
      </c>
      <c r="D346" s="24" t="s">
        <v>3846</v>
      </c>
      <c r="E346" s="24" t="s">
        <v>29</v>
      </c>
      <c r="F346" s="24" t="s">
        <v>47</v>
      </c>
      <c r="G346" s="24" t="s">
        <v>31</v>
      </c>
      <c r="H346" s="24" t="s">
        <v>1699</v>
      </c>
      <c r="I346" s="24" t="s">
        <v>3847</v>
      </c>
      <c r="J346" s="24" t="s">
        <v>3848</v>
      </c>
      <c r="K346" s="24"/>
      <c r="L346" s="24" t="s">
        <v>3849</v>
      </c>
      <c r="M346" s="15"/>
      <c r="N346" s="15" t="s">
        <v>1370</v>
      </c>
      <c r="O346" s="15" t="s">
        <v>2315</v>
      </c>
      <c r="P346" s="15" t="s">
        <v>3850</v>
      </c>
      <c r="Q346" s="15" t="s">
        <v>3851</v>
      </c>
      <c r="R346" s="15" t="s">
        <v>3852</v>
      </c>
      <c r="S346" s="24" t="s">
        <v>39</v>
      </c>
      <c r="T346" s="24" t="s">
        <v>39</v>
      </c>
      <c r="U346" s="24" t="s">
        <v>39</v>
      </c>
      <c r="V346" s="24" t="s">
        <v>39</v>
      </c>
      <c r="W346" s="24"/>
      <c r="X346" s="24"/>
      <c r="Y346" s="15"/>
      <c r="Z346" s="15"/>
      <c r="AA346" s="24"/>
      <c r="AB346" s="24"/>
      <c r="AC346" s="24"/>
      <c r="AD346" s="24"/>
      <c r="AE346" s="24"/>
      <c r="AF346" s="24"/>
      <c r="AG346" s="24"/>
      <c r="AH346" s="24"/>
    </row>
    <row r="347" spans="1:34" ht="30" x14ac:dyDescent="0.25">
      <c r="A347" s="24" t="str">
        <f>HYPERLINK("https://www.cpso.on.ca/DoctorDetails/Carolyn-Jean-Robertson/0037903-51879","Robertson, Carolyn Jean")</f>
        <v>Robertson, Carolyn Jean</v>
      </c>
      <c r="B347" s="25" t="s">
        <v>3853</v>
      </c>
      <c r="C347" s="24" t="s">
        <v>3746</v>
      </c>
      <c r="D347" s="24" t="s">
        <v>3854</v>
      </c>
      <c r="E347" s="24" t="s">
        <v>29</v>
      </c>
      <c r="F347" s="24" t="s">
        <v>47</v>
      </c>
      <c r="G347" s="24" t="s">
        <v>31</v>
      </c>
      <c r="H347" s="24" t="s">
        <v>3737</v>
      </c>
      <c r="I347" s="24" t="s">
        <v>3855</v>
      </c>
      <c r="J347" s="24" t="s">
        <v>3856</v>
      </c>
      <c r="K347" s="24"/>
      <c r="L347" s="24" t="s">
        <v>52</v>
      </c>
      <c r="M347" s="15"/>
      <c r="N347" s="15"/>
      <c r="O347" s="15"/>
      <c r="P347" s="15" t="s">
        <v>3857</v>
      </c>
      <c r="Q347" s="15"/>
      <c r="R347" s="15" t="s">
        <v>3858</v>
      </c>
      <c r="S347" s="24" t="s">
        <v>39</v>
      </c>
      <c r="T347" s="24" t="s">
        <v>39</v>
      </c>
      <c r="U347" s="24" t="s">
        <v>39</v>
      </c>
      <c r="V347" s="24" t="s">
        <v>39</v>
      </c>
      <c r="W347" s="24" t="s">
        <v>3859</v>
      </c>
      <c r="X347" s="24" t="s">
        <v>3860</v>
      </c>
      <c r="Y347" s="15" t="s">
        <v>3861</v>
      </c>
      <c r="Z347" s="15" t="s">
        <v>3862</v>
      </c>
      <c r="AA347" s="24"/>
      <c r="AB347" s="24"/>
      <c r="AC347" s="24"/>
      <c r="AD347" s="24"/>
      <c r="AE347" s="24"/>
      <c r="AF347" s="24"/>
      <c r="AG347" s="24"/>
      <c r="AH347" s="24"/>
    </row>
    <row r="348" spans="1:34" ht="75" x14ac:dyDescent="0.25">
      <c r="A348" s="24" t="str">
        <f>HYPERLINK("https://www.cpso.on.ca/DoctorDetails/Carolyn-Jean-Whitty/0250299-88876","Whitty, Carolyn Jean")</f>
        <v>Whitty, Carolyn Jean</v>
      </c>
      <c r="B348" s="25" t="s">
        <v>3863</v>
      </c>
      <c r="C348" s="24" t="s">
        <v>846</v>
      </c>
      <c r="D348" s="24" t="s">
        <v>600</v>
      </c>
      <c r="E348" s="24" t="s">
        <v>29</v>
      </c>
      <c r="F348" s="24" t="s">
        <v>47</v>
      </c>
      <c r="G348" s="24" t="s">
        <v>31</v>
      </c>
      <c r="H348" s="24" t="s">
        <v>3864</v>
      </c>
      <c r="I348" s="24" t="s">
        <v>3865</v>
      </c>
      <c r="J348" s="24" t="s">
        <v>3866</v>
      </c>
      <c r="K348" s="24" t="s">
        <v>3867</v>
      </c>
      <c r="L348" s="24" t="s">
        <v>52</v>
      </c>
      <c r="M348" s="15"/>
      <c r="N348" s="15"/>
      <c r="O348" s="15" t="s">
        <v>3868</v>
      </c>
      <c r="P348" s="15" t="s">
        <v>272</v>
      </c>
      <c r="Q348" s="15" t="s">
        <v>273</v>
      </c>
      <c r="R348" s="15" t="s">
        <v>853</v>
      </c>
      <c r="S348" s="24" t="s">
        <v>39</v>
      </c>
      <c r="T348" s="24" t="s">
        <v>39</v>
      </c>
      <c r="U348" s="24" t="s">
        <v>39</v>
      </c>
      <c r="V348" s="24" t="s">
        <v>39</v>
      </c>
      <c r="W348" s="24" t="s">
        <v>3869</v>
      </c>
      <c r="X348" s="24" t="s">
        <v>3870</v>
      </c>
      <c r="Y348" s="15" t="s">
        <v>3871</v>
      </c>
      <c r="Z348" s="15" t="s">
        <v>3872</v>
      </c>
      <c r="AA348" s="24"/>
      <c r="AB348" s="24"/>
      <c r="AC348" s="24"/>
      <c r="AD348" s="24"/>
      <c r="AE348" s="24"/>
      <c r="AF348" s="24"/>
      <c r="AG348" s="24"/>
      <c r="AH348" s="24"/>
    </row>
    <row r="349" spans="1:34" ht="30" x14ac:dyDescent="0.25">
      <c r="A349" s="24" t="str">
        <f>HYPERLINK("https://www.cpso.on.ca/DoctorDetails/Carolyn-Marie-Boulos/0040524-54500","Boulos, Carolyn Marie")</f>
        <v>Boulos, Carolyn Marie</v>
      </c>
      <c r="B349" s="25" t="s">
        <v>3873</v>
      </c>
      <c r="C349" s="24" t="s">
        <v>704</v>
      </c>
      <c r="D349" s="24" t="s">
        <v>3874</v>
      </c>
      <c r="E349" s="24" t="s">
        <v>29</v>
      </c>
      <c r="F349" s="24" t="s">
        <v>47</v>
      </c>
      <c r="G349" s="24" t="s">
        <v>31</v>
      </c>
      <c r="H349" s="24" t="s">
        <v>3875</v>
      </c>
      <c r="I349" s="24" t="s">
        <v>3876</v>
      </c>
      <c r="J349" s="24" t="s">
        <v>3877</v>
      </c>
      <c r="K349" s="24"/>
      <c r="L349" s="24" t="s">
        <v>52</v>
      </c>
      <c r="M349" s="15" t="s">
        <v>3878</v>
      </c>
      <c r="N349" s="15"/>
      <c r="O349" s="15" t="s">
        <v>3879</v>
      </c>
      <c r="P349" s="15" t="s">
        <v>3857</v>
      </c>
      <c r="Q349" s="15" t="s">
        <v>2921</v>
      </c>
      <c r="R349" s="15" t="s">
        <v>3880</v>
      </c>
      <c r="S349" s="24" t="s">
        <v>39</v>
      </c>
      <c r="T349" s="24" t="s">
        <v>39</v>
      </c>
      <c r="U349" s="24" t="s">
        <v>39</v>
      </c>
      <c r="V349" s="24" t="s">
        <v>39</v>
      </c>
      <c r="W349" s="24"/>
      <c r="X349" s="24"/>
      <c r="Y349" s="15"/>
      <c r="Z349" s="15"/>
      <c r="AA349" s="24"/>
      <c r="AB349" s="24"/>
      <c r="AC349" s="24"/>
      <c r="AD349" s="24"/>
      <c r="AE349" s="24"/>
      <c r="AF349" s="24"/>
      <c r="AG349" s="24"/>
      <c r="AH349" s="24"/>
    </row>
    <row r="350" spans="1:34" ht="30" x14ac:dyDescent="0.25">
      <c r="A350" s="24" t="str">
        <f>HYPERLINK("https://www.cpso.on.ca/DoctorDetails/Carolyn-May-Woogh/0023716-28508","Woogh, Carolyn May")</f>
        <v>Woogh, Carolyn May</v>
      </c>
      <c r="B350" s="25" t="s">
        <v>3881</v>
      </c>
      <c r="C350" s="24" t="s">
        <v>3882</v>
      </c>
      <c r="D350" s="24" t="s">
        <v>3883</v>
      </c>
      <c r="E350" s="24" t="s">
        <v>29</v>
      </c>
      <c r="F350" s="24" t="s">
        <v>47</v>
      </c>
      <c r="G350" s="24" t="s">
        <v>31</v>
      </c>
      <c r="H350" s="24" t="s">
        <v>3884</v>
      </c>
      <c r="I350" s="24" t="s">
        <v>3885</v>
      </c>
      <c r="J350" s="24" t="s">
        <v>3886</v>
      </c>
      <c r="K350" s="24"/>
      <c r="L350" s="24" t="s">
        <v>340</v>
      </c>
      <c r="M350" s="15"/>
      <c r="N350" s="15"/>
      <c r="O350" s="15"/>
      <c r="P350" s="15" t="s">
        <v>3887</v>
      </c>
      <c r="Q350" s="15"/>
      <c r="R350" s="15" t="s">
        <v>3888</v>
      </c>
      <c r="S350" s="24" t="s">
        <v>39</v>
      </c>
      <c r="T350" s="24" t="s">
        <v>39</v>
      </c>
      <c r="U350" s="24" t="s">
        <v>39</v>
      </c>
      <c r="V350" s="24" t="s">
        <v>39</v>
      </c>
      <c r="W350" s="24"/>
      <c r="X350" s="24"/>
      <c r="Y350" s="15"/>
      <c r="Z350" s="15"/>
      <c r="AA350" s="24"/>
      <c r="AB350" s="24"/>
      <c r="AC350" s="24"/>
      <c r="AD350" s="24"/>
      <c r="AE350" s="24"/>
      <c r="AF350" s="24"/>
      <c r="AG350" s="24"/>
      <c r="AH350" s="24"/>
    </row>
    <row r="351" spans="1:34" ht="30" x14ac:dyDescent="0.25">
      <c r="A351" s="24" t="str">
        <f>HYPERLINK("https://www.cpso.on.ca/DoctorDetails/Carolyne-Ann-Campbell/0048662-62640","Campbell, Carolyne Ann")</f>
        <v>Campbell, Carolyne Ann</v>
      </c>
      <c r="B351" s="25" t="s">
        <v>3889</v>
      </c>
      <c r="C351" s="24" t="s">
        <v>3890</v>
      </c>
      <c r="D351" s="24" t="s">
        <v>3891</v>
      </c>
      <c r="E351" s="24" t="s">
        <v>29</v>
      </c>
      <c r="F351" s="24" t="s">
        <v>47</v>
      </c>
      <c r="G351" s="24" t="s">
        <v>31</v>
      </c>
      <c r="H351" s="24" t="s">
        <v>3892</v>
      </c>
      <c r="I351" s="24" t="s">
        <v>3893</v>
      </c>
      <c r="J351" s="24" t="s">
        <v>3894</v>
      </c>
      <c r="K351" s="24"/>
      <c r="L351" s="24" t="s">
        <v>84</v>
      </c>
      <c r="M351" s="15"/>
      <c r="N351" s="15"/>
      <c r="O351" s="15"/>
      <c r="P351" s="15" t="s">
        <v>3895</v>
      </c>
      <c r="Q351" s="15" t="s">
        <v>3896</v>
      </c>
      <c r="R351" s="15" t="s">
        <v>3897</v>
      </c>
      <c r="S351" s="24" t="s">
        <v>39</v>
      </c>
      <c r="T351" s="24" t="s">
        <v>39</v>
      </c>
      <c r="U351" s="24" t="s">
        <v>39</v>
      </c>
      <c r="V351" s="24" t="s">
        <v>39</v>
      </c>
      <c r="W351" s="24"/>
      <c r="X351" s="24"/>
      <c r="Y351" s="15"/>
      <c r="Z351" s="15"/>
      <c r="AA351" s="24"/>
      <c r="AB351" s="24"/>
      <c r="AC351" s="24"/>
      <c r="AD351" s="24"/>
      <c r="AE351" s="24"/>
      <c r="AF351" s="24"/>
      <c r="AG351" s="24"/>
      <c r="AH351" s="24"/>
    </row>
    <row r="352" spans="1:34" ht="60" x14ac:dyDescent="0.25">
      <c r="A352" s="24" t="str">
        <f>HYPERLINK("https://www.cpso.on.ca/DoctorDetails/Casimiro-Jose-Cabrera-Abreu/0264389-94420","Cabrera Abreu, Casimiro Jose")</f>
        <v>Cabrera Abreu, Casimiro Jose</v>
      </c>
      <c r="B352" s="25" t="s">
        <v>3898</v>
      </c>
      <c r="C352" s="24" t="s">
        <v>3899</v>
      </c>
      <c r="D352" s="24" t="s">
        <v>3900</v>
      </c>
      <c r="E352" s="24" t="s">
        <v>29</v>
      </c>
      <c r="F352" s="24" t="s">
        <v>30</v>
      </c>
      <c r="G352" s="24" t="s">
        <v>115</v>
      </c>
      <c r="H352" s="24" t="s">
        <v>3901</v>
      </c>
      <c r="I352" s="24" t="s">
        <v>3902</v>
      </c>
      <c r="J352" s="24" t="s">
        <v>3903</v>
      </c>
      <c r="K352" s="24"/>
      <c r="L352" s="24" t="s">
        <v>340</v>
      </c>
      <c r="M352" s="15"/>
      <c r="N352" s="15"/>
      <c r="O352" s="15" t="s">
        <v>1122</v>
      </c>
      <c r="P352" s="15" t="s">
        <v>3904</v>
      </c>
      <c r="Q352" s="15"/>
      <c r="R352" s="15" t="s">
        <v>3905</v>
      </c>
      <c r="S352" s="24" t="s">
        <v>71</v>
      </c>
      <c r="T352" s="24" t="s">
        <v>39</v>
      </c>
      <c r="U352" s="24" t="s">
        <v>39</v>
      </c>
      <c r="V352" s="24" t="s">
        <v>39</v>
      </c>
      <c r="W352" s="24" t="s">
        <v>3906</v>
      </c>
      <c r="X352" s="24" t="s">
        <v>3907</v>
      </c>
      <c r="Y352" s="15" t="s">
        <v>3908</v>
      </c>
      <c r="Z352" s="15" t="s">
        <v>3909</v>
      </c>
      <c r="AA352" s="24" t="s">
        <v>3910</v>
      </c>
      <c r="AB352" s="24" t="s">
        <v>3911</v>
      </c>
      <c r="AC352" s="24" t="s">
        <v>3912</v>
      </c>
      <c r="AD352" s="15" t="s">
        <v>3913</v>
      </c>
      <c r="AE352" s="24"/>
      <c r="AF352" s="24"/>
      <c r="AG352" s="24"/>
      <c r="AH352" s="24"/>
    </row>
    <row r="353" spans="1:34" ht="60" x14ac:dyDescent="0.25">
      <c r="A353" s="24" t="str">
        <f>HYPERLINK("https://www.cpso.on.ca/DoctorDetails/Catalina-Lopez-de-Lara-Gutierrez/0283681-99543","Lopez de Lara Gutierrez, Catalina")</f>
        <v>Lopez de Lara Gutierrez, Catalina</v>
      </c>
      <c r="B353" s="25" t="s">
        <v>3914</v>
      </c>
      <c r="C353" s="24" t="s">
        <v>3915</v>
      </c>
      <c r="D353" s="24" t="s">
        <v>3916</v>
      </c>
      <c r="E353" s="24" t="s">
        <v>29</v>
      </c>
      <c r="F353" s="24" t="s">
        <v>47</v>
      </c>
      <c r="G353" s="24" t="s">
        <v>115</v>
      </c>
      <c r="H353" s="24" t="s">
        <v>3917</v>
      </c>
      <c r="I353" s="24" t="s">
        <v>3918</v>
      </c>
      <c r="J353" s="24" t="s">
        <v>3919</v>
      </c>
      <c r="K353" s="24" t="s">
        <v>3920</v>
      </c>
      <c r="L353" s="24" t="s">
        <v>52</v>
      </c>
      <c r="M353" s="15"/>
      <c r="N353" s="15"/>
      <c r="O353" s="15" t="s">
        <v>3921</v>
      </c>
      <c r="P353" s="15" t="s">
        <v>3922</v>
      </c>
      <c r="Q353" s="15" t="s">
        <v>3923</v>
      </c>
      <c r="R353" s="15" t="s">
        <v>3924</v>
      </c>
      <c r="S353" s="24" t="s">
        <v>39</v>
      </c>
      <c r="T353" s="24" t="s">
        <v>39</v>
      </c>
      <c r="U353" s="24" t="s">
        <v>39</v>
      </c>
      <c r="V353" s="24" t="s">
        <v>39</v>
      </c>
      <c r="W353" s="24" t="s">
        <v>3925</v>
      </c>
      <c r="X353" s="24" t="s">
        <v>3926</v>
      </c>
      <c r="Y353" s="15" t="s">
        <v>3927</v>
      </c>
      <c r="Z353" s="15" t="s">
        <v>3928</v>
      </c>
      <c r="AA353" s="24"/>
      <c r="AB353" s="24"/>
      <c r="AC353" s="24"/>
      <c r="AD353" s="24"/>
      <c r="AE353" s="24"/>
      <c r="AF353" s="24"/>
      <c r="AG353" s="24"/>
      <c r="AH353" s="24"/>
    </row>
    <row r="354" spans="1:34" ht="75" x14ac:dyDescent="0.25">
      <c r="A354" s="24" t="str">
        <f>HYPERLINK("https://www.cpso.on.ca/DoctorDetails/Catharine-Jane-Munn/0057821-69409","Munn, Catharine Jane")</f>
        <v>Munn, Catharine Jane</v>
      </c>
      <c r="B354" s="25" t="s">
        <v>3929</v>
      </c>
      <c r="C354" s="24" t="s">
        <v>3930</v>
      </c>
      <c r="D354" s="24" t="s">
        <v>3931</v>
      </c>
      <c r="E354" s="24" t="s">
        <v>29</v>
      </c>
      <c r="F354" s="24" t="s">
        <v>47</v>
      </c>
      <c r="G354" s="24" t="s">
        <v>31</v>
      </c>
      <c r="H354" s="24" t="s">
        <v>3932</v>
      </c>
      <c r="I354" s="24" t="s">
        <v>3933</v>
      </c>
      <c r="J354" s="24" t="s">
        <v>3934</v>
      </c>
      <c r="K354" s="24" t="s">
        <v>3935</v>
      </c>
      <c r="L354" s="24" t="s">
        <v>184</v>
      </c>
      <c r="M354" s="15"/>
      <c r="N354" s="15"/>
      <c r="O354" s="15" t="s">
        <v>1135</v>
      </c>
      <c r="P354" s="15" t="s">
        <v>1343</v>
      </c>
      <c r="Q354" s="15" t="s">
        <v>3936</v>
      </c>
      <c r="R354" s="15" t="s">
        <v>3937</v>
      </c>
      <c r="S354" s="24" t="s">
        <v>39</v>
      </c>
      <c r="T354" s="24" t="s">
        <v>39</v>
      </c>
      <c r="U354" s="24" t="s">
        <v>39</v>
      </c>
      <c r="V354" s="24" t="s">
        <v>39</v>
      </c>
      <c r="W354" s="24" t="s">
        <v>3938</v>
      </c>
      <c r="X354" s="24" t="s">
        <v>3939</v>
      </c>
      <c r="Y354" s="15" t="s">
        <v>3940</v>
      </c>
      <c r="Z354" s="15" t="s">
        <v>3941</v>
      </c>
      <c r="AA354" s="24"/>
      <c r="AB354" s="24"/>
      <c r="AC354" s="24"/>
      <c r="AD354" s="24"/>
      <c r="AE354" s="24"/>
      <c r="AF354" s="24"/>
      <c r="AG354" s="24"/>
      <c r="AH354" s="24"/>
    </row>
    <row r="355" spans="1:34" ht="75" x14ac:dyDescent="0.25">
      <c r="A355" s="24" t="str">
        <f>HYPERLINK("https://www.cpso.on.ca/DoctorDetails/Catherine-Ann-Michiko-Heike/0046739-60717","Heike, Catherine Ann Michiko")</f>
        <v>Heike, Catherine Ann Michiko</v>
      </c>
      <c r="B355" s="25" t="s">
        <v>3942</v>
      </c>
      <c r="C355" s="24" t="s">
        <v>3323</v>
      </c>
      <c r="D355" s="24" t="s">
        <v>3943</v>
      </c>
      <c r="E355" s="24" t="s">
        <v>29</v>
      </c>
      <c r="F355" s="24" t="s">
        <v>47</v>
      </c>
      <c r="G355" s="24" t="s">
        <v>31</v>
      </c>
      <c r="H355" s="24" t="s">
        <v>767</v>
      </c>
      <c r="I355" s="24" t="s">
        <v>3944</v>
      </c>
      <c r="J355" s="24" t="s">
        <v>3945</v>
      </c>
      <c r="K355" s="24"/>
      <c r="L355" s="24" t="s">
        <v>52</v>
      </c>
      <c r="M355" s="15"/>
      <c r="N355" s="15"/>
      <c r="O355" s="15"/>
      <c r="P355" s="15" t="s">
        <v>1007</v>
      </c>
      <c r="Q355" s="15" t="s">
        <v>3328</v>
      </c>
      <c r="R355" s="15" t="s">
        <v>3946</v>
      </c>
      <c r="S355" s="24" t="s">
        <v>39</v>
      </c>
      <c r="T355" s="24" t="s">
        <v>39</v>
      </c>
      <c r="U355" s="24" t="s">
        <v>39</v>
      </c>
      <c r="V355" s="24" t="s">
        <v>39</v>
      </c>
      <c r="W355" s="24"/>
      <c r="X355" s="24"/>
      <c r="Y355" s="15"/>
      <c r="Z355" s="15"/>
      <c r="AA355" s="24"/>
      <c r="AB355" s="24"/>
      <c r="AC355" s="24"/>
      <c r="AD355" s="24"/>
      <c r="AE355" s="24"/>
      <c r="AF355" s="24"/>
      <c r="AG355" s="24"/>
      <c r="AH355" s="24"/>
    </row>
    <row r="356" spans="1:34" ht="75" x14ac:dyDescent="0.25">
      <c r="A356" s="24" t="str">
        <f>HYPERLINK("https://www.cpso.on.ca/DoctorDetails/Catherine-Benes/0051697-65676","Benes, Catherine")</f>
        <v>Benes, Catherine</v>
      </c>
      <c r="B356" s="25" t="s">
        <v>3947</v>
      </c>
      <c r="C356" s="24" t="s">
        <v>1908</v>
      </c>
      <c r="D356" s="24" t="s">
        <v>3948</v>
      </c>
      <c r="E356" s="24" t="s">
        <v>29</v>
      </c>
      <c r="F356" s="24" t="s">
        <v>47</v>
      </c>
      <c r="G356" s="24" t="s">
        <v>813</v>
      </c>
      <c r="H356" s="24" t="s">
        <v>3949</v>
      </c>
      <c r="I356" s="24" t="s">
        <v>3950</v>
      </c>
      <c r="J356" s="24" t="s">
        <v>3951</v>
      </c>
      <c r="K356" s="24" t="s">
        <v>3952</v>
      </c>
      <c r="L356" s="24" t="s">
        <v>52</v>
      </c>
      <c r="M356" s="15" t="s">
        <v>3953</v>
      </c>
      <c r="N356" s="15"/>
      <c r="O356" s="15" t="s">
        <v>1784</v>
      </c>
      <c r="P356" s="15" t="s">
        <v>3954</v>
      </c>
      <c r="Q356" s="15" t="s">
        <v>3955</v>
      </c>
      <c r="R356" s="15" t="s">
        <v>3956</v>
      </c>
      <c r="S356" s="24" t="s">
        <v>39</v>
      </c>
      <c r="T356" s="24" t="s">
        <v>39</v>
      </c>
      <c r="U356" s="24" t="s">
        <v>39</v>
      </c>
      <c r="V356" s="24" t="s">
        <v>39</v>
      </c>
      <c r="W356" s="24" t="s">
        <v>3957</v>
      </c>
      <c r="X356" s="24" t="s">
        <v>3958</v>
      </c>
      <c r="Y356" s="15" t="s">
        <v>3959</v>
      </c>
      <c r="Z356" s="15" t="s">
        <v>3960</v>
      </c>
      <c r="AA356" s="24"/>
      <c r="AB356" s="24"/>
      <c r="AC356" s="24"/>
      <c r="AD356" s="24"/>
      <c r="AE356" s="24"/>
      <c r="AF356" s="24"/>
      <c r="AG356" s="24"/>
      <c r="AH356" s="24"/>
    </row>
    <row r="357" spans="1:34" ht="60" x14ac:dyDescent="0.25">
      <c r="A357" s="24" t="str">
        <f>HYPERLINK("https://www.cpso.on.ca/DoctorDetails/Catherine-Boucher/0045372-59350","Boucher, Catherine")</f>
        <v>Boucher, Catherine</v>
      </c>
      <c r="B357" s="25" t="s">
        <v>3961</v>
      </c>
      <c r="C357" s="24" t="s">
        <v>3962</v>
      </c>
      <c r="D357" s="24" t="s">
        <v>3963</v>
      </c>
      <c r="E357" s="24" t="s">
        <v>29</v>
      </c>
      <c r="F357" s="24" t="s">
        <v>47</v>
      </c>
      <c r="G357" s="24" t="s">
        <v>813</v>
      </c>
      <c r="H357" s="24" t="s">
        <v>3964</v>
      </c>
      <c r="I357" s="24" t="s">
        <v>3965</v>
      </c>
      <c r="J357" s="24" t="s">
        <v>3966</v>
      </c>
      <c r="K357" s="24" t="s">
        <v>3967</v>
      </c>
      <c r="L357" s="24"/>
      <c r="M357" s="15"/>
      <c r="N357" s="15" t="s">
        <v>3968</v>
      </c>
      <c r="O357" s="15"/>
      <c r="P357" s="15" t="s">
        <v>3969</v>
      </c>
      <c r="Q357" s="15" t="s">
        <v>3970</v>
      </c>
      <c r="R357" s="15" t="s">
        <v>3971</v>
      </c>
      <c r="S357" s="24" t="s">
        <v>39</v>
      </c>
      <c r="T357" s="24" t="s">
        <v>39</v>
      </c>
      <c r="U357" s="24" t="s">
        <v>39</v>
      </c>
      <c r="V357" s="24" t="s">
        <v>39</v>
      </c>
      <c r="W357" s="24"/>
      <c r="X357" s="24"/>
      <c r="Y357" s="15"/>
      <c r="Z357" s="15"/>
      <c r="AA357" s="24"/>
      <c r="AB357" s="24"/>
      <c r="AC357" s="24"/>
      <c r="AD357" s="24"/>
      <c r="AE357" s="24"/>
      <c r="AF357" s="24"/>
      <c r="AG357" s="24"/>
      <c r="AH357" s="24"/>
    </row>
    <row r="358" spans="1:34" ht="135" x14ac:dyDescent="0.25">
      <c r="A358" s="24" t="str">
        <f>HYPERLINK("https://www.cpso.on.ca/DoctorDetails/Catherine-Dorothy-Mann/0117054-70376","Mann, Catherine Dorothy")</f>
        <v>Mann, Catherine Dorothy</v>
      </c>
      <c r="B358" s="25" t="s">
        <v>3972</v>
      </c>
      <c r="C358" s="24" t="s">
        <v>3973</v>
      </c>
      <c r="D358" s="24" t="s">
        <v>3974</v>
      </c>
      <c r="E358" s="24" t="s">
        <v>3975</v>
      </c>
      <c r="F358" s="24" t="s">
        <v>47</v>
      </c>
      <c r="G358" s="24" t="s">
        <v>31</v>
      </c>
      <c r="H358" s="24" t="s">
        <v>1107</v>
      </c>
      <c r="I358" s="24" t="s">
        <v>3976</v>
      </c>
      <c r="J358" s="24" t="s">
        <v>3977</v>
      </c>
      <c r="K358" s="24" t="s">
        <v>3978</v>
      </c>
      <c r="L358" s="24" t="s">
        <v>84</v>
      </c>
      <c r="M358" s="15"/>
      <c r="N358" s="15"/>
      <c r="O358" s="15" t="s">
        <v>3979</v>
      </c>
      <c r="P358" s="15" t="s">
        <v>1111</v>
      </c>
      <c r="Q358" s="15" t="s">
        <v>3980</v>
      </c>
      <c r="R358" s="15" t="s">
        <v>3981</v>
      </c>
      <c r="S358" s="24" t="s">
        <v>39</v>
      </c>
      <c r="T358" s="24" t="s">
        <v>39</v>
      </c>
      <c r="U358" s="24" t="s">
        <v>39</v>
      </c>
      <c r="V358" s="24" t="s">
        <v>39</v>
      </c>
      <c r="W358" s="24"/>
      <c r="X358" s="24"/>
      <c r="Y358" s="15"/>
      <c r="Z358" s="15"/>
      <c r="AA358" s="24"/>
      <c r="AB358" s="24"/>
      <c r="AC358" s="24"/>
      <c r="AD358" s="24"/>
      <c r="AE358" s="24"/>
      <c r="AF358" s="24"/>
      <c r="AG358" s="24"/>
      <c r="AH358" s="24"/>
    </row>
    <row r="359" spans="1:34" ht="105" x14ac:dyDescent="0.25">
      <c r="A359" s="24" t="str">
        <f>HYPERLINK("https://www.cpso.on.ca/DoctorDetails/Catherine-Eva-Krasnik/0232711-85546","Krasnik, Catherine Eva")</f>
        <v>Krasnik, Catherine Eva</v>
      </c>
      <c r="B359" s="25" t="s">
        <v>3982</v>
      </c>
      <c r="C359" s="24" t="s">
        <v>3983</v>
      </c>
      <c r="D359" s="24" t="s">
        <v>3984</v>
      </c>
      <c r="E359" s="24" t="s">
        <v>29</v>
      </c>
      <c r="F359" s="24" t="s">
        <v>47</v>
      </c>
      <c r="G359" s="24" t="s">
        <v>3985</v>
      </c>
      <c r="H359" s="24" t="s">
        <v>2613</v>
      </c>
      <c r="I359" s="24" t="s">
        <v>3986</v>
      </c>
      <c r="J359" s="24" t="s">
        <v>3987</v>
      </c>
      <c r="K359" s="24"/>
      <c r="L359" s="24" t="s">
        <v>184</v>
      </c>
      <c r="M359" s="15" t="s">
        <v>3988</v>
      </c>
      <c r="N359" s="15" t="s">
        <v>3989</v>
      </c>
      <c r="O359" s="15" t="s">
        <v>3990</v>
      </c>
      <c r="P359" s="15" t="s">
        <v>3991</v>
      </c>
      <c r="Q359" s="15" t="s">
        <v>3992</v>
      </c>
      <c r="R359" s="15" t="s">
        <v>3993</v>
      </c>
      <c r="S359" s="24" t="s">
        <v>39</v>
      </c>
      <c r="T359" s="24" t="s">
        <v>39</v>
      </c>
      <c r="U359" s="24" t="s">
        <v>39</v>
      </c>
      <c r="V359" s="24" t="s">
        <v>39</v>
      </c>
      <c r="W359" s="24" t="s">
        <v>3994</v>
      </c>
      <c r="X359" s="24" t="s">
        <v>3995</v>
      </c>
      <c r="Y359" s="15" t="s">
        <v>3996</v>
      </c>
      <c r="Z359" s="15" t="s">
        <v>3997</v>
      </c>
      <c r="AA359" s="24"/>
      <c r="AB359" s="24"/>
      <c r="AC359" s="24"/>
      <c r="AD359" s="24"/>
      <c r="AE359" s="24"/>
      <c r="AF359" s="24"/>
      <c r="AG359" s="24"/>
      <c r="AH359" s="24"/>
    </row>
    <row r="360" spans="1:34" ht="30" x14ac:dyDescent="0.25">
      <c r="A360" s="24" t="str">
        <f>HYPERLINK("https://www.cpso.on.ca/DoctorDetails/Catherine-Lucy-Mancini/0038028-52004","Mancini, Catherine Lucy")</f>
        <v>Mancini, Catherine Lucy</v>
      </c>
      <c r="B360" s="25" t="s">
        <v>3998</v>
      </c>
      <c r="C360" s="24" t="s">
        <v>3676</v>
      </c>
      <c r="D360" s="24" t="s">
        <v>2247</v>
      </c>
      <c r="E360" s="24" t="s">
        <v>3999</v>
      </c>
      <c r="F360" s="24" t="s">
        <v>47</v>
      </c>
      <c r="G360" s="24" t="s">
        <v>31</v>
      </c>
      <c r="H360" s="24" t="s">
        <v>4000</v>
      </c>
      <c r="I360" s="24" t="s">
        <v>4001</v>
      </c>
      <c r="J360" s="24" t="s">
        <v>1134</v>
      </c>
      <c r="K360" s="24" t="s">
        <v>725</v>
      </c>
      <c r="L360" s="24" t="s">
        <v>184</v>
      </c>
      <c r="M360" s="15"/>
      <c r="N360" s="15"/>
      <c r="O360" s="15" t="s">
        <v>4002</v>
      </c>
      <c r="P360" s="15" t="s">
        <v>122</v>
      </c>
      <c r="Q360" s="15"/>
      <c r="R360" s="15" t="s">
        <v>4003</v>
      </c>
      <c r="S360" s="24" t="s">
        <v>39</v>
      </c>
      <c r="T360" s="24" t="s">
        <v>39</v>
      </c>
      <c r="U360" s="24" t="s">
        <v>39</v>
      </c>
      <c r="V360" s="24" t="s">
        <v>39</v>
      </c>
      <c r="W360" s="24"/>
      <c r="X360" s="24"/>
      <c r="Y360" s="15"/>
      <c r="Z360" s="15"/>
      <c r="AA360" s="24"/>
      <c r="AB360" s="24"/>
      <c r="AC360" s="24"/>
      <c r="AD360" s="24"/>
      <c r="AE360" s="24"/>
      <c r="AF360" s="24"/>
      <c r="AG360" s="24"/>
      <c r="AH360" s="24"/>
    </row>
    <row r="361" spans="1:34" ht="45" x14ac:dyDescent="0.25">
      <c r="A361" s="24" t="str">
        <f>HYPERLINK("https://www.cpso.on.ca/DoctorDetails/Catherine-Mary-Braidek/0047941-61919","Braidek, Catherine Mary")</f>
        <v>Braidek, Catherine Mary</v>
      </c>
      <c r="B361" s="25" t="s">
        <v>4004</v>
      </c>
      <c r="C361" s="24" t="s">
        <v>4005</v>
      </c>
      <c r="D361" s="24" t="s">
        <v>4006</v>
      </c>
      <c r="E361" s="24" t="s">
        <v>29</v>
      </c>
      <c r="F361" s="24" t="s">
        <v>47</v>
      </c>
      <c r="G361" s="24" t="s">
        <v>31</v>
      </c>
      <c r="H361" s="24" t="s">
        <v>4007</v>
      </c>
      <c r="I361" s="24" t="s">
        <v>4008</v>
      </c>
      <c r="J361" s="24" t="s">
        <v>4009</v>
      </c>
      <c r="K361" s="24" t="s">
        <v>1613</v>
      </c>
      <c r="L361" s="24" t="s">
        <v>84</v>
      </c>
      <c r="M361" s="15"/>
      <c r="N361" s="15"/>
      <c r="O361" s="15" t="s">
        <v>4010</v>
      </c>
      <c r="P361" s="15" t="s">
        <v>4011</v>
      </c>
      <c r="Q361" s="15" t="s">
        <v>4012</v>
      </c>
      <c r="R361" s="15" t="s">
        <v>4013</v>
      </c>
      <c r="S361" s="24" t="s">
        <v>39</v>
      </c>
      <c r="T361" s="24" t="s">
        <v>39</v>
      </c>
      <c r="U361" s="24" t="s">
        <v>39</v>
      </c>
      <c r="V361" s="24" t="s">
        <v>39</v>
      </c>
      <c r="W361" s="24" t="s">
        <v>4014</v>
      </c>
      <c r="X361" s="24" t="s">
        <v>4015</v>
      </c>
      <c r="Y361" s="15"/>
      <c r="Z361" s="15"/>
      <c r="AA361" s="24"/>
      <c r="AB361" s="24"/>
      <c r="AC361" s="24"/>
      <c r="AD361" s="24"/>
      <c r="AE361" s="24"/>
      <c r="AF361" s="24"/>
      <c r="AG361" s="24"/>
      <c r="AH361" s="24"/>
    </row>
    <row r="362" spans="1:34" ht="45" x14ac:dyDescent="0.25">
      <c r="A362" s="24" t="str">
        <f>HYPERLINK("https://www.cpso.on.ca/DoctorDetails/Catherine-Mary-Renee-Fitzpatrick/0147096-71980","Fitzpatrick, Catherine Mary Renee")</f>
        <v>Fitzpatrick, Catherine Mary Renee</v>
      </c>
      <c r="B362" s="25" t="s">
        <v>4016</v>
      </c>
      <c r="C362" s="24" t="s">
        <v>4017</v>
      </c>
      <c r="D362" s="24" t="s">
        <v>4018</v>
      </c>
      <c r="E362" s="24" t="s">
        <v>29</v>
      </c>
      <c r="F362" s="24" t="s">
        <v>47</v>
      </c>
      <c r="G362" s="24" t="s">
        <v>31</v>
      </c>
      <c r="H362" s="24" t="s">
        <v>4019</v>
      </c>
      <c r="I362" s="24" t="s">
        <v>4020</v>
      </c>
      <c r="J362" s="24" t="s">
        <v>4021</v>
      </c>
      <c r="K362" s="24"/>
      <c r="L362" s="24" t="s">
        <v>340</v>
      </c>
      <c r="M362" s="15" t="s">
        <v>4022</v>
      </c>
      <c r="N362" s="15"/>
      <c r="O362" s="15" t="s">
        <v>1914</v>
      </c>
      <c r="P362" s="15" t="s">
        <v>4023</v>
      </c>
      <c r="Q362" s="15"/>
      <c r="R362" s="15" t="s">
        <v>4024</v>
      </c>
      <c r="S362" s="24" t="s">
        <v>39</v>
      </c>
      <c r="T362" s="24" t="s">
        <v>39</v>
      </c>
      <c r="U362" s="24" t="s">
        <v>39</v>
      </c>
      <c r="V362" s="24" t="s">
        <v>39</v>
      </c>
      <c r="W362" s="24" t="s">
        <v>4025</v>
      </c>
      <c r="X362" s="24" t="s">
        <v>2961</v>
      </c>
      <c r="Y362" s="15" t="s">
        <v>4026</v>
      </c>
      <c r="Z362" s="15" t="s">
        <v>4027</v>
      </c>
      <c r="AA362" s="24"/>
      <c r="AB362" s="24"/>
      <c r="AC362" s="24"/>
      <c r="AD362" s="24"/>
      <c r="AE362" s="24"/>
      <c r="AF362" s="24"/>
      <c r="AG362" s="24"/>
      <c r="AH362" s="24"/>
    </row>
    <row r="363" spans="1:34" ht="105" x14ac:dyDescent="0.25">
      <c r="A363" s="24" t="str">
        <f>HYPERLINK("https://www.cpso.on.ca/DoctorDetails/Cathi-Susan-Borsook/0029005-33828","Borsook, Cathi Susan")</f>
        <v>Borsook, Cathi Susan</v>
      </c>
      <c r="B363" s="25" t="s">
        <v>4028</v>
      </c>
      <c r="C363" s="24" t="s">
        <v>4029</v>
      </c>
      <c r="D363" s="24" t="s">
        <v>4030</v>
      </c>
      <c r="E363" s="24" t="s">
        <v>29</v>
      </c>
      <c r="F363" s="24" t="s">
        <v>47</v>
      </c>
      <c r="G363" s="24" t="s">
        <v>31</v>
      </c>
      <c r="H363" s="24" t="s">
        <v>3478</v>
      </c>
      <c r="I363" s="24" t="s">
        <v>4031</v>
      </c>
      <c r="J363" s="24" t="s">
        <v>4032</v>
      </c>
      <c r="K363" s="24" t="s">
        <v>4033</v>
      </c>
      <c r="L363" s="24" t="s">
        <v>52</v>
      </c>
      <c r="M363" s="15"/>
      <c r="N363" s="15"/>
      <c r="O363" s="15"/>
      <c r="P363" s="15" t="s">
        <v>2484</v>
      </c>
      <c r="Q363" s="15" t="s">
        <v>4034</v>
      </c>
      <c r="R363" s="15" t="s">
        <v>4035</v>
      </c>
      <c r="S363" s="24" t="s">
        <v>39</v>
      </c>
      <c r="T363" s="24" t="s">
        <v>39</v>
      </c>
      <c r="U363" s="24" t="s">
        <v>39</v>
      </c>
      <c r="V363" s="24" t="s">
        <v>39</v>
      </c>
      <c r="W363" s="24"/>
      <c r="X363" s="24"/>
      <c r="Y363" s="15"/>
      <c r="Z363" s="15"/>
      <c r="AA363" s="24"/>
      <c r="AB363" s="24"/>
      <c r="AC363" s="24"/>
      <c r="AD363" s="24"/>
      <c r="AE363" s="24"/>
      <c r="AF363" s="24"/>
      <c r="AG363" s="24"/>
      <c r="AH363" s="24"/>
    </row>
    <row r="364" spans="1:34" ht="90" x14ac:dyDescent="0.25">
      <c r="A364" s="24" t="str">
        <f>HYPERLINK("https://www.cpso.on.ca/DoctorDetails/Cathy-Susan-KaplanskyGold/0043013-56991","Kaplansky-Gold, Cathy Susan")</f>
        <v>Kaplansky-Gold, Cathy Susan</v>
      </c>
      <c r="B364" s="25" t="s">
        <v>4036</v>
      </c>
      <c r="C364" s="24" t="s">
        <v>4037</v>
      </c>
      <c r="D364" s="24" t="s">
        <v>4038</v>
      </c>
      <c r="E364" s="24" t="s">
        <v>29</v>
      </c>
      <c r="F364" s="24" t="s">
        <v>47</v>
      </c>
      <c r="G364" s="24" t="s">
        <v>31</v>
      </c>
      <c r="H364" s="24" t="s">
        <v>4039</v>
      </c>
      <c r="I364" s="24" t="s">
        <v>107</v>
      </c>
      <c r="J364" s="24"/>
      <c r="K364" s="24"/>
      <c r="L364" s="24"/>
      <c r="M364" s="15"/>
      <c r="N364" s="15"/>
      <c r="O364" s="15"/>
      <c r="P364" s="15" t="s">
        <v>2293</v>
      </c>
      <c r="Q364" s="15" t="s">
        <v>4040</v>
      </c>
      <c r="R364" s="15" t="s">
        <v>4041</v>
      </c>
      <c r="S364" s="24" t="s">
        <v>39</v>
      </c>
      <c r="T364" s="24" t="s">
        <v>39</v>
      </c>
      <c r="U364" s="24" t="s">
        <v>39</v>
      </c>
      <c r="V364" s="24" t="s">
        <v>39</v>
      </c>
      <c r="W364" s="24"/>
      <c r="X364" s="24"/>
      <c r="Y364" s="15"/>
      <c r="Z364" s="15"/>
      <c r="AA364" s="24"/>
      <c r="AB364" s="24"/>
      <c r="AC364" s="24"/>
      <c r="AD364" s="24"/>
      <c r="AE364" s="24"/>
      <c r="AF364" s="24"/>
      <c r="AG364" s="24"/>
      <c r="AH364" s="24"/>
    </row>
    <row r="365" spans="1:34" ht="30" x14ac:dyDescent="0.25">
      <c r="A365" s="24" t="str">
        <f>HYPERLINK("https://www.cpso.on.ca/DoctorDetails/Cecilia-Marino/0306671-108347","Marino, Cecilia")</f>
        <v>Marino, Cecilia</v>
      </c>
      <c r="B365" s="25" t="s">
        <v>4042</v>
      </c>
      <c r="C365" s="24" t="s">
        <v>4043</v>
      </c>
      <c r="D365" s="24" t="s">
        <v>4044</v>
      </c>
      <c r="E365" s="24" t="s">
        <v>29</v>
      </c>
      <c r="F365" s="24" t="s">
        <v>47</v>
      </c>
      <c r="G365" s="24" t="s">
        <v>706</v>
      </c>
      <c r="H365" s="24" t="s">
        <v>4045</v>
      </c>
      <c r="I365" s="24" t="s">
        <v>4046</v>
      </c>
      <c r="J365" s="24" t="s">
        <v>1262</v>
      </c>
      <c r="K365" s="24"/>
      <c r="L365" s="24" t="s">
        <v>52</v>
      </c>
      <c r="M365" s="15"/>
      <c r="N365" s="15" t="s">
        <v>4047</v>
      </c>
      <c r="O365" s="15" t="s">
        <v>981</v>
      </c>
      <c r="P365" s="15" t="s">
        <v>4048</v>
      </c>
      <c r="Q365" s="15"/>
      <c r="R365" s="15" t="s">
        <v>4049</v>
      </c>
      <c r="S365" s="24" t="s">
        <v>71</v>
      </c>
      <c r="T365" s="24" t="s">
        <v>39</v>
      </c>
      <c r="U365" s="24" t="s">
        <v>39</v>
      </c>
      <c r="V365" s="24" t="s">
        <v>39</v>
      </c>
      <c r="W365" s="24" t="s">
        <v>4050</v>
      </c>
      <c r="X365" s="24" t="s">
        <v>4051</v>
      </c>
      <c r="Y365" s="15" t="s">
        <v>4052</v>
      </c>
      <c r="Z365" s="15" t="s">
        <v>4053</v>
      </c>
      <c r="AA365" s="24"/>
      <c r="AB365" s="24"/>
      <c r="AC365" s="24"/>
      <c r="AD365" s="24"/>
      <c r="AE365" s="24"/>
      <c r="AF365" s="24"/>
      <c r="AG365" s="24"/>
      <c r="AH365" s="24"/>
    </row>
    <row r="366" spans="1:34" ht="75" x14ac:dyDescent="0.25">
      <c r="A366" s="24" t="str">
        <f>HYPERLINK("https://www.cpso.on.ca/DoctorDetails/Cedric-Sebastian-Gabilondo/0273239-96170","Gabilondo, Cedric Sebastian")</f>
        <v>Gabilondo, Cedric Sebastian</v>
      </c>
      <c r="B366" s="25" t="s">
        <v>4054</v>
      </c>
      <c r="C366" s="24" t="s">
        <v>1266</v>
      </c>
      <c r="D366" s="24" t="s">
        <v>967</v>
      </c>
      <c r="E366" s="24" t="s">
        <v>29</v>
      </c>
      <c r="F366" s="24" t="s">
        <v>30</v>
      </c>
      <c r="G366" s="24" t="s">
        <v>115</v>
      </c>
      <c r="H366" s="24" t="s">
        <v>4055</v>
      </c>
      <c r="I366" s="24" t="s">
        <v>4056</v>
      </c>
      <c r="J366" s="24" t="s">
        <v>4057</v>
      </c>
      <c r="K366" s="24" t="s">
        <v>1190</v>
      </c>
      <c r="L366" s="24" t="s">
        <v>52</v>
      </c>
      <c r="M366" s="15"/>
      <c r="N366" s="15"/>
      <c r="O366" s="15" t="s">
        <v>1191</v>
      </c>
      <c r="P366" s="15" t="s">
        <v>973</v>
      </c>
      <c r="Q366" s="15" t="s">
        <v>4058</v>
      </c>
      <c r="R366" s="15" t="s">
        <v>4059</v>
      </c>
      <c r="S366" s="24" t="s">
        <v>39</v>
      </c>
      <c r="T366" s="24" t="s">
        <v>39</v>
      </c>
      <c r="U366" s="24" t="s">
        <v>39</v>
      </c>
      <c r="V366" s="24" t="s">
        <v>39</v>
      </c>
      <c r="W366" s="24" t="s">
        <v>4060</v>
      </c>
      <c r="X366" s="24" t="s">
        <v>4061</v>
      </c>
      <c r="Y366" s="15" t="s">
        <v>4062</v>
      </c>
      <c r="Z366" s="15" t="s">
        <v>4063</v>
      </c>
      <c r="AA366" s="24"/>
      <c r="AB366" s="24"/>
      <c r="AC366" s="24"/>
      <c r="AD366" s="24"/>
      <c r="AE366" s="24"/>
      <c r="AF366" s="24"/>
      <c r="AG366" s="24"/>
      <c r="AH366" s="24"/>
    </row>
    <row r="367" spans="1:34" ht="240" x14ac:dyDescent="0.25">
      <c r="A367" s="24" t="str">
        <f>HYPERLINK("https://www.cpso.on.ca/DoctorDetails/Celeste-Jean-Thirlwell/0169386-76629","Thirlwell, Celeste Jean")</f>
        <v>Thirlwell, Celeste Jean</v>
      </c>
      <c r="B367" s="25" t="s">
        <v>4064</v>
      </c>
      <c r="C367" s="24" t="s">
        <v>4065</v>
      </c>
      <c r="D367" s="24" t="s">
        <v>4066</v>
      </c>
      <c r="E367" s="24" t="s">
        <v>29</v>
      </c>
      <c r="F367" s="24" t="s">
        <v>47</v>
      </c>
      <c r="G367" s="24" t="s">
        <v>2047</v>
      </c>
      <c r="H367" s="24" t="s">
        <v>4067</v>
      </c>
      <c r="I367" s="24" t="s">
        <v>4068</v>
      </c>
      <c r="J367" s="24" t="s">
        <v>4069</v>
      </c>
      <c r="K367" s="24" t="s">
        <v>4070</v>
      </c>
      <c r="L367" s="24" t="s">
        <v>52</v>
      </c>
      <c r="M367" s="15" t="s">
        <v>4071</v>
      </c>
      <c r="N367" s="15"/>
      <c r="O367" s="15"/>
      <c r="P367" s="15" t="s">
        <v>154</v>
      </c>
      <c r="Q367" s="15" t="s">
        <v>4072</v>
      </c>
      <c r="R367" s="15" t="s">
        <v>4073</v>
      </c>
      <c r="S367" s="24" t="s">
        <v>39</v>
      </c>
      <c r="T367" s="24" t="s">
        <v>39</v>
      </c>
      <c r="U367" s="24" t="s">
        <v>39</v>
      </c>
      <c r="V367" s="24" t="s">
        <v>39</v>
      </c>
      <c r="W367" s="24" t="s">
        <v>4074</v>
      </c>
      <c r="X367" s="24" t="s">
        <v>4075</v>
      </c>
      <c r="Y367" s="15" t="s">
        <v>4076</v>
      </c>
      <c r="Z367" s="15" t="s">
        <v>4077</v>
      </c>
      <c r="AA367" s="24"/>
      <c r="AB367" s="24"/>
      <c r="AC367" s="24"/>
      <c r="AD367" s="24"/>
      <c r="AE367" s="24"/>
      <c r="AF367" s="24"/>
      <c r="AG367" s="24"/>
      <c r="AH367" s="24"/>
    </row>
    <row r="368" spans="1:34" ht="90" x14ac:dyDescent="0.25">
      <c r="A368" s="24" t="str">
        <f>HYPERLINK("https://www.cpso.on.ca/DoctorDetails/Cerasela-Elena-Betlen/0243502-87450","Betlen, Cerasela Elena")</f>
        <v>Betlen, Cerasela Elena</v>
      </c>
      <c r="B368" s="25" t="s">
        <v>4078</v>
      </c>
      <c r="C368" s="24" t="s">
        <v>4079</v>
      </c>
      <c r="D368" s="24" t="s">
        <v>1594</v>
      </c>
      <c r="E368" s="24" t="s">
        <v>29</v>
      </c>
      <c r="F368" s="24" t="s">
        <v>47</v>
      </c>
      <c r="G368" s="24" t="s">
        <v>923</v>
      </c>
      <c r="H368" s="24" t="s">
        <v>4080</v>
      </c>
      <c r="I368" s="24" t="s">
        <v>4081</v>
      </c>
      <c r="J368" s="24" t="s">
        <v>1690</v>
      </c>
      <c r="K368" s="24" t="s">
        <v>4082</v>
      </c>
      <c r="L368" s="24" t="s">
        <v>36</v>
      </c>
      <c r="M368" s="15"/>
      <c r="N368" s="15"/>
      <c r="O368" s="15" t="s">
        <v>1691</v>
      </c>
      <c r="P368" s="15" t="s">
        <v>1074</v>
      </c>
      <c r="Q368" s="15" t="s">
        <v>1601</v>
      </c>
      <c r="R368" s="15" t="s">
        <v>4083</v>
      </c>
      <c r="S368" s="24" t="s">
        <v>39</v>
      </c>
      <c r="T368" s="24" t="s">
        <v>39</v>
      </c>
      <c r="U368" s="24" t="s">
        <v>39</v>
      </c>
      <c r="V368" s="24" t="s">
        <v>39</v>
      </c>
      <c r="W368" s="24" t="s">
        <v>4084</v>
      </c>
      <c r="X368" s="24" t="s">
        <v>1590</v>
      </c>
      <c r="Y368" s="15" t="s">
        <v>4085</v>
      </c>
      <c r="Z368" s="15" t="s">
        <v>4086</v>
      </c>
      <c r="AA368" s="24"/>
      <c r="AB368" s="24"/>
      <c r="AC368" s="24"/>
      <c r="AD368" s="24"/>
      <c r="AE368" s="24"/>
      <c r="AF368" s="24"/>
      <c r="AG368" s="24"/>
      <c r="AH368" s="24"/>
    </row>
    <row r="369" spans="1:34" ht="75" x14ac:dyDescent="0.25">
      <c r="A369" s="24" t="str">
        <f>HYPERLINK("https://www.cpso.on.ca/DoctorDetails/Cesar-Pantaleon-Garcia/0051727-65706","Garcia, Cesar Pantaleon")</f>
        <v>Garcia, Cesar Pantaleon</v>
      </c>
      <c r="B369" s="25" t="s">
        <v>4087</v>
      </c>
      <c r="C369" s="24" t="s">
        <v>4088</v>
      </c>
      <c r="D369" s="24" t="s">
        <v>3963</v>
      </c>
      <c r="E369" s="24" t="s">
        <v>29</v>
      </c>
      <c r="F369" s="24" t="s">
        <v>30</v>
      </c>
      <c r="G369" s="24" t="s">
        <v>2624</v>
      </c>
      <c r="H369" s="24" t="s">
        <v>4089</v>
      </c>
      <c r="I369" s="24" t="s">
        <v>4090</v>
      </c>
      <c r="J369" s="24" t="s">
        <v>4091</v>
      </c>
      <c r="K369" s="24" t="s">
        <v>4092</v>
      </c>
      <c r="L369" s="24" t="s">
        <v>36</v>
      </c>
      <c r="M369" s="15" t="s">
        <v>4093</v>
      </c>
      <c r="N369" s="15"/>
      <c r="O369" s="15" t="s">
        <v>4094</v>
      </c>
      <c r="P369" s="15" t="s">
        <v>2125</v>
      </c>
      <c r="Q369" s="15" t="s">
        <v>4095</v>
      </c>
      <c r="R369" s="15" t="s">
        <v>4096</v>
      </c>
      <c r="S369" s="24" t="s">
        <v>39</v>
      </c>
      <c r="T369" s="24" t="s">
        <v>39</v>
      </c>
      <c r="U369" s="24" t="s">
        <v>39</v>
      </c>
      <c r="V369" s="24" t="s">
        <v>39</v>
      </c>
      <c r="W369" s="24" t="s">
        <v>4097</v>
      </c>
      <c r="X369" s="24" t="s">
        <v>4098</v>
      </c>
      <c r="Y369" s="15" t="s">
        <v>4099</v>
      </c>
      <c r="Z369" s="15" t="s">
        <v>4100</v>
      </c>
      <c r="AA369" s="24"/>
      <c r="AB369" s="24"/>
      <c r="AC369" s="24"/>
      <c r="AD369" s="24"/>
      <c r="AE369" s="24"/>
      <c r="AF369" s="24"/>
      <c r="AG369" s="24"/>
      <c r="AH369" s="24"/>
    </row>
    <row r="370" spans="1:34" x14ac:dyDescent="0.25">
      <c r="A370" s="24" t="str">
        <f>HYPERLINK("https://www.cpso.on.ca/DoctorDetails/Chakrabarty-Laxmanrao-Pole/0042345-56323","Pole, Chakrabarty Laxmanrao")</f>
        <v>Pole, Chakrabarty Laxmanrao</v>
      </c>
      <c r="B370" s="25" t="s">
        <v>4101</v>
      </c>
      <c r="C370" s="24" t="s">
        <v>4102</v>
      </c>
      <c r="D370" s="24" t="s">
        <v>3451</v>
      </c>
      <c r="E370" s="24" t="s">
        <v>29</v>
      </c>
      <c r="F370" s="24" t="s">
        <v>30</v>
      </c>
      <c r="G370" s="24" t="s">
        <v>4103</v>
      </c>
      <c r="H370" s="24" t="s">
        <v>4104</v>
      </c>
      <c r="I370" s="24" t="s">
        <v>4105</v>
      </c>
      <c r="J370" s="24" t="s">
        <v>4106</v>
      </c>
      <c r="K370" s="24" t="s">
        <v>4107</v>
      </c>
      <c r="L370" s="24"/>
      <c r="M370" s="15"/>
      <c r="N370" s="15" t="s">
        <v>1370</v>
      </c>
      <c r="O370" s="15"/>
      <c r="P370" s="15" t="s">
        <v>4108</v>
      </c>
      <c r="Q370" s="15"/>
      <c r="R370" s="15" t="s">
        <v>4109</v>
      </c>
      <c r="S370" s="24" t="s">
        <v>39</v>
      </c>
      <c r="T370" s="24" t="s">
        <v>39</v>
      </c>
      <c r="U370" s="24" t="s">
        <v>39</v>
      </c>
      <c r="V370" s="24" t="s">
        <v>39</v>
      </c>
      <c r="W370" s="24"/>
      <c r="X370" s="24"/>
      <c r="Y370" s="15"/>
      <c r="Z370" s="15"/>
      <c r="AA370" s="24"/>
      <c r="AB370" s="24"/>
      <c r="AC370" s="24"/>
      <c r="AD370" s="24"/>
      <c r="AE370" s="24"/>
      <c r="AF370" s="24"/>
      <c r="AG370" s="24"/>
      <c r="AH370" s="24"/>
    </row>
    <row r="371" spans="1:34" ht="45" x14ac:dyDescent="0.25">
      <c r="A371" s="24" t="str">
        <f>HYPERLINK("https://www.cpso.on.ca/DoctorDetails/Chandlee-Camille-Dickey/0325956-117049","Dickey, Chandlee Camille")</f>
        <v>Dickey, Chandlee Camille</v>
      </c>
      <c r="B371" s="25" t="s">
        <v>4110</v>
      </c>
      <c r="C371" s="24" t="s">
        <v>4111</v>
      </c>
      <c r="D371" s="24" t="s">
        <v>4112</v>
      </c>
      <c r="E371" s="24" t="s">
        <v>29</v>
      </c>
      <c r="F371" s="24" t="s">
        <v>47</v>
      </c>
      <c r="G371" s="24" t="s">
        <v>31</v>
      </c>
      <c r="H371" s="24" t="s">
        <v>4113</v>
      </c>
      <c r="I371" s="24" t="s">
        <v>4114</v>
      </c>
      <c r="J371" s="24" t="s">
        <v>4115</v>
      </c>
      <c r="K371" s="24"/>
      <c r="L371" s="24" t="s">
        <v>135</v>
      </c>
      <c r="M371" s="15"/>
      <c r="N371" s="15"/>
      <c r="O371" s="15"/>
      <c r="P371" s="15" t="s">
        <v>4116</v>
      </c>
      <c r="Q371" s="15"/>
      <c r="R371" s="15" t="s">
        <v>4117</v>
      </c>
      <c r="S371" s="24" t="s">
        <v>71</v>
      </c>
      <c r="T371" s="24" t="s">
        <v>39</v>
      </c>
      <c r="U371" s="24" t="s">
        <v>39</v>
      </c>
      <c r="V371" s="24" t="s">
        <v>39</v>
      </c>
      <c r="W371" s="24"/>
      <c r="X371" s="24"/>
      <c r="Y371" s="15"/>
      <c r="Z371" s="15"/>
      <c r="AA371" s="24"/>
      <c r="AB371" s="24"/>
      <c r="AC371" s="24"/>
      <c r="AD371" s="24"/>
      <c r="AE371" s="24"/>
      <c r="AF371" s="24"/>
      <c r="AG371" s="24"/>
      <c r="AH371" s="24"/>
    </row>
    <row r="372" spans="1:34" ht="75" x14ac:dyDescent="0.25">
      <c r="A372" s="24" t="str">
        <f>HYPERLINK("https://www.cpso.on.ca/DoctorDetails/Chantal-Irene-Whelan/0041714-55690","Whelan, Chantal Irene")</f>
        <v>Whelan, Chantal Irene</v>
      </c>
      <c r="B372" s="25" t="s">
        <v>4118</v>
      </c>
      <c r="C372" s="24" t="s">
        <v>2902</v>
      </c>
      <c r="D372" s="24" t="s">
        <v>4119</v>
      </c>
      <c r="E372" s="24" t="s">
        <v>29</v>
      </c>
      <c r="F372" s="24" t="s">
        <v>47</v>
      </c>
      <c r="G372" s="24" t="s">
        <v>813</v>
      </c>
      <c r="H372" s="24" t="s">
        <v>2904</v>
      </c>
      <c r="I372" s="24" t="s">
        <v>4120</v>
      </c>
      <c r="J372" s="24" t="s">
        <v>4121</v>
      </c>
      <c r="K372" s="24" t="s">
        <v>4122</v>
      </c>
      <c r="L372" s="24" t="s">
        <v>84</v>
      </c>
      <c r="M372" s="15"/>
      <c r="N372" s="15"/>
      <c r="O372" s="15" t="s">
        <v>3289</v>
      </c>
      <c r="P372" s="15" t="s">
        <v>2908</v>
      </c>
      <c r="Q372" s="15" t="s">
        <v>4123</v>
      </c>
      <c r="R372" s="15" t="s">
        <v>4124</v>
      </c>
      <c r="S372" s="24" t="s">
        <v>39</v>
      </c>
      <c r="T372" s="24" t="s">
        <v>39</v>
      </c>
      <c r="U372" s="24" t="s">
        <v>39</v>
      </c>
      <c r="V372" s="24" t="s">
        <v>39</v>
      </c>
      <c r="W372" s="24"/>
      <c r="X372" s="24"/>
      <c r="Y372" s="15"/>
      <c r="Z372" s="15"/>
      <c r="AA372" s="24"/>
      <c r="AB372" s="24"/>
      <c r="AC372" s="24"/>
      <c r="AD372" s="24"/>
      <c r="AE372" s="24"/>
      <c r="AF372" s="24"/>
      <c r="AG372" s="24"/>
      <c r="AH372" s="24"/>
    </row>
    <row r="373" spans="1:34" ht="165" x14ac:dyDescent="0.25">
      <c r="A373" s="24" t="str">
        <f>HYPERLINK("https://www.cpso.on.ca/DoctorDetails/Chanthirasekaram-Seyone/0050839-64818","Seyone, Chanthirasekaram")</f>
        <v>Seyone, Chanthirasekaram</v>
      </c>
      <c r="B373" s="25" t="s">
        <v>4125</v>
      </c>
      <c r="C373" s="24" t="s">
        <v>4126</v>
      </c>
      <c r="D373" s="24" t="s">
        <v>4127</v>
      </c>
      <c r="E373" s="24" t="s">
        <v>29</v>
      </c>
      <c r="F373" s="24" t="s">
        <v>30</v>
      </c>
      <c r="G373" s="24" t="s">
        <v>2255</v>
      </c>
      <c r="H373" s="24" t="s">
        <v>4128</v>
      </c>
      <c r="I373" s="24" t="s">
        <v>4129</v>
      </c>
      <c r="J373" s="24" t="s">
        <v>4130</v>
      </c>
      <c r="K373" s="24" t="s">
        <v>4131</v>
      </c>
      <c r="L373" s="24" t="s">
        <v>36</v>
      </c>
      <c r="M373" s="15" t="s">
        <v>4132</v>
      </c>
      <c r="N373" s="15"/>
      <c r="O373" s="15" t="s">
        <v>4133</v>
      </c>
      <c r="P373" s="15" t="s">
        <v>4134</v>
      </c>
      <c r="Q373" s="15" t="s">
        <v>4135</v>
      </c>
      <c r="R373" s="15" t="s">
        <v>4136</v>
      </c>
      <c r="S373" s="24" t="s">
        <v>39</v>
      </c>
      <c r="T373" s="24" t="s">
        <v>39</v>
      </c>
      <c r="U373" s="24" t="s">
        <v>39</v>
      </c>
      <c r="V373" s="24" t="s">
        <v>39</v>
      </c>
      <c r="W373" s="24" t="s">
        <v>4137</v>
      </c>
      <c r="X373" s="24" t="s">
        <v>4138</v>
      </c>
      <c r="Y373" s="15" t="s">
        <v>4139</v>
      </c>
      <c r="Z373" s="15" t="s">
        <v>4140</v>
      </c>
      <c r="AA373" s="24"/>
      <c r="AB373" s="24"/>
      <c r="AC373" s="24"/>
      <c r="AD373" s="24"/>
      <c r="AE373" s="24"/>
      <c r="AF373" s="24"/>
      <c r="AG373" s="24"/>
      <c r="AH373" s="24"/>
    </row>
    <row r="374" spans="1:34" ht="75" x14ac:dyDescent="0.25">
      <c r="A374" s="24" t="str">
        <f>HYPERLINK("https://www.cpso.on.ca/DoctorDetails/Charles-Ayensu-OheneDarkoh/0254724-90435","Ohene-Darkoh, Charles Ayensu")</f>
        <v>Ohene-Darkoh, Charles Ayensu</v>
      </c>
      <c r="B374" s="25" t="s">
        <v>4141</v>
      </c>
      <c r="C374" s="24" t="s">
        <v>4142</v>
      </c>
      <c r="D374" s="24" t="s">
        <v>4143</v>
      </c>
      <c r="E374" s="24" t="s">
        <v>29</v>
      </c>
      <c r="F374" s="24" t="s">
        <v>30</v>
      </c>
      <c r="G374" s="24" t="s">
        <v>556</v>
      </c>
      <c r="H374" s="24" t="s">
        <v>4144</v>
      </c>
      <c r="I374" s="24" t="s">
        <v>4145</v>
      </c>
      <c r="J374" s="24" t="s">
        <v>1378</v>
      </c>
      <c r="K374" s="24"/>
      <c r="L374" s="24" t="s">
        <v>36</v>
      </c>
      <c r="M374" s="15" t="s">
        <v>4146</v>
      </c>
      <c r="N374" s="15" t="s">
        <v>4147</v>
      </c>
      <c r="O374" s="15" t="s">
        <v>4148</v>
      </c>
      <c r="P374" s="15" t="s">
        <v>4149</v>
      </c>
      <c r="Q374" s="15"/>
      <c r="R374" s="15" t="s">
        <v>4150</v>
      </c>
      <c r="S374" s="24" t="s">
        <v>39</v>
      </c>
      <c r="T374" s="24" t="s">
        <v>39</v>
      </c>
      <c r="U374" s="24" t="s">
        <v>39</v>
      </c>
      <c r="V374" s="24" t="s">
        <v>39</v>
      </c>
      <c r="W374" s="24" t="s">
        <v>4151</v>
      </c>
      <c r="X374" s="24" t="s">
        <v>4152</v>
      </c>
      <c r="Y374" s="15" t="s">
        <v>4153</v>
      </c>
      <c r="Z374" s="15" t="s">
        <v>4154</v>
      </c>
      <c r="AA374" s="24"/>
      <c r="AB374" s="24"/>
      <c r="AC374" s="24"/>
      <c r="AD374" s="24"/>
      <c r="AE374" s="24"/>
      <c r="AF374" s="24"/>
      <c r="AG374" s="24"/>
      <c r="AH374" s="24"/>
    </row>
    <row r="375" spans="1:34" ht="30" x14ac:dyDescent="0.25">
      <c r="A375" s="24" t="str">
        <f>HYPERLINK("https://www.cpso.on.ca/DoctorDetails/Charles-Henry-Chamberlaine/0024137-28959","Chamberlaine, Charles Henry")</f>
        <v>Chamberlaine, Charles Henry</v>
      </c>
      <c r="B375" s="25" t="s">
        <v>4155</v>
      </c>
      <c r="C375" s="24" t="s">
        <v>4156</v>
      </c>
      <c r="D375" s="24" t="s">
        <v>4157</v>
      </c>
      <c r="E375" s="24" t="s">
        <v>29</v>
      </c>
      <c r="F375" s="24" t="s">
        <v>30</v>
      </c>
      <c r="G375" s="24" t="s">
        <v>31</v>
      </c>
      <c r="H375" s="24" t="s">
        <v>722</v>
      </c>
      <c r="I375" s="24" t="s">
        <v>4158</v>
      </c>
      <c r="J375" s="24" t="s">
        <v>3118</v>
      </c>
      <c r="K375" s="24" t="s">
        <v>3119</v>
      </c>
      <c r="L375" s="24" t="s">
        <v>135</v>
      </c>
      <c r="M375" s="15"/>
      <c r="N375" s="15"/>
      <c r="O375" s="15"/>
      <c r="P375" s="15" t="s">
        <v>727</v>
      </c>
      <c r="Q375" s="15"/>
      <c r="R375" s="15" t="s">
        <v>4159</v>
      </c>
      <c r="S375" s="24" t="s">
        <v>39</v>
      </c>
      <c r="T375" s="24" t="s">
        <v>39</v>
      </c>
      <c r="U375" s="24" t="s">
        <v>39</v>
      </c>
      <c r="V375" s="24" t="s">
        <v>39</v>
      </c>
      <c r="W375" s="24" t="s">
        <v>4160</v>
      </c>
      <c r="X375" s="24" t="s">
        <v>4161</v>
      </c>
      <c r="Y375" s="15" t="s">
        <v>4162</v>
      </c>
      <c r="Z375" s="15" t="s">
        <v>4163</v>
      </c>
      <c r="AA375" s="24"/>
      <c r="AB375" s="24"/>
      <c r="AC375" s="24"/>
      <c r="AD375" s="24"/>
      <c r="AE375" s="24"/>
      <c r="AF375" s="24"/>
      <c r="AG375" s="24"/>
      <c r="AH375" s="24"/>
    </row>
    <row r="376" spans="1:34" ht="60" x14ac:dyDescent="0.25">
      <c r="A376" s="24" t="str">
        <f>HYPERLINK("https://www.cpso.on.ca/DoctorDetails/Charles-Patrick-Byrne/0039218-53194","Byrne, Charles Patrick")</f>
        <v>Byrne, Charles Patrick</v>
      </c>
      <c r="B376" s="25" t="s">
        <v>4164</v>
      </c>
      <c r="C376" s="24" t="s">
        <v>4165</v>
      </c>
      <c r="D376" s="24" t="s">
        <v>4166</v>
      </c>
      <c r="E376" s="24" t="s">
        <v>29</v>
      </c>
      <c r="F376" s="24" t="s">
        <v>30</v>
      </c>
      <c r="G376" s="24" t="s">
        <v>31</v>
      </c>
      <c r="H376" s="24" t="s">
        <v>4167</v>
      </c>
      <c r="I376" s="24" t="s">
        <v>4168</v>
      </c>
      <c r="J376" s="24" t="s">
        <v>4169</v>
      </c>
      <c r="K376" s="24" t="s">
        <v>4170</v>
      </c>
      <c r="L376" s="24"/>
      <c r="M376" s="15"/>
      <c r="N376" s="15" t="s">
        <v>4171</v>
      </c>
      <c r="O376" s="15"/>
      <c r="P376" s="15" t="s">
        <v>785</v>
      </c>
      <c r="Q376" s="15" t="s">
        <v>4172</v>
      </c>
      <c r="R376" s="15" t="s">
        <v>4173</v>
      </c>
      <c r="S376" s="24" t="s">
        <v>39</v>
      </c>
      <c r="T376" s="24" t="s">
        <v>39</v>
      </c>
      <c r="U376" s="24" t="s">
        <v>39</v>
      </c>
      <c r="V376" s="24" t="s">
        <v>39</v>
      </c>
      <c r="W376" s="24"/>
      <c r="X376" s="24"/>
      <c r="Y376" s="15"/>
      <c r="Z376" s="15"/>
      <c r="AA376" s="24"/>
      <c r="AB376" s="24"/>
      <c r="AC376" s="24"/>
      <c r="AD376" s="24"/>
      <c r="AE376" s="24"/>
      <c r="AF376" s="24"/>
      <c r="AG376" s="24"/>
      <c r="AH376" s="24"/>
    </row>
    <row r="377" spans="1:34" ht="90" x14ac:dyDescent="0.25">
      <c r="A377" s="24" t="str">
        <f>HYPERLINK("https://www.cpso.on.ca/DoctorDetails/Charles-William-Bruce-Menchions/0040243-54219","Menchions, Charles William Bruce")</f>
        <v>Menchions, Charles William Bruce</v>
      </c>
      <c r="B377" s="25" t="s">
        <v>4174</v>
      </c>
      <c r="C377" s="24" t="s">
        <v>3450</v>
      </c>
      <c r="D377" s="24" t="s">
        <v>4175</v>
      </c>
      <c r="E377" s="24" t="s">
        <v>29</v>
      </c>
      <c r="F377" s="24" t="s">
        <v>30</v>
      </c>
      <c r="G377" s="24" t="s">
        <v>31</v>
      </c>
      <c r="H377" s="24" t="s">
        <v>3563</v>
      </c>
      <c r="I377" s="24" t="s">
        <v>4176</v>
      </c>
      <c r="J377" s="24" t="s">
        <v>4177</v>
      </c>
      <c r="K377" s="24" t="s">
        <v>4178</v>
      </c>
      <c r="L377" s="24" t="s">
        <v>52</v>
      </c>
      <c r="M377" s="15" t="s">
        <v>4179</v>
      </c>
      <c r="N377" s="15"/>
      <c r="O377" s="15" t="s">
        <v>4180</v>
      </c>
      <c r="P377" s="15" t="s">
        <v>1094</v>
      </c>
      <c r="Q377" s="15" t="s">
        <v>4181</v>
      </c>
      <c r="R377" s="15" t="s">
        <v>4182</v>
      </c>
      <c r="S377" s="24" t="s">
        <v>39</v>
      </c>
      <c r="T377" s="24" t="s">
        <v>39</v>
      </c>
      <c r="U377" s="24" t="s">
        <v>39</v>
      </c>
      <c r="V377" s="24" t="s">
        <v>39</v>
      </c>
      <c r="W377" s="24"/>
      <c r="X377" s="24"/>
      <c r="Y377" s="15"/>
      <c r="Z377" s="15"/>
      <c r="AA377" s="24"/>
      <c r="AB377" s="24"/>
      <c r="AC377" s="24"/>
      <c r="AD377" s="24"/>
      <c r="AE377" s="24"/>
      <c r="AF377" s="24"/>
      <c r="AG377" s="24"/>
      <c r="AH377" s="24"/>
    </row>
    <row r="378" spans="1:34" ht="75" x14ac:dyDescent="0.25">
      <c r="A378" s="24" t="str">
        <f>HYPERLINK("https://www.cpso.on.ca/DoctorDetails/Chekkera-Motaiya-Shammi/0047925-61903","Shammi, Chekkera Motaiya")</f>
        <v>Shammi, Chekkera Motaiya</v>
      </c>
      <c r="B378" s="25" t="s">
        <v>4183</v>
      </c>
      <c r="C378" s="24" t="s">
        <v>4184</v>
      </c>
      <c r="D378" s="24" t="s">
        <v>4185</v>
      </c>
      <c r="E378" s="24" t="s">
        <v>29</v>
      </c>
      <c r="F378" s="24" t="s">
        <v>30</v>
      </c>
      <c r="G378" s="24" t="s">
        <v>31</v>
      </c>
      <c r="H378" s="24" t="s">
        <v>4186</v>
      </c>
      <c r="I378" s="24" t="s">
        <v>4187</v>
      </c>
      <c r="J378" s="24" t="s">
        <v>4188</v>
      </c>
      <c r="K378" s="24"/>
      <c r="L378" s="24" t="s">
        <v>36</v>
      </c>
      <c r="M378" s="15"/>
      <c r="N378" s="15"/>
      <c r="O378" s="15" t="s">
        <v>4189</v>
      </c>
      <c r="P378" s="15" t="s">
        <v>3232</v>
      </c>
      <c r="Q378" s="15"/>
      <c r="R378" s="15" t="s">
        <v>4190</v>
      </c>
      <c r="S378" s="24" t="s">
        <v>39</v>
      </c>
      <c r="T378" s="24" t="s">
        <v>39</v>
      </c>
      <c r="U378" s="24" t="s">
        <v>39</v>
      </c>
      <c r="V378" s="24" t="s">
        <v>39</v>
      </c>
      <c r="W378" s="24"/>
      <c r="X378" s="24"/>
      <c r="Y378" s="15"/>
      <c r="Z378" s="15"/>
      <c r="AA378" s="24"/>
      <c r="AB378" s="24"/>
      <c r="AC378" s="24"/>
      <c r="AD378" s="24"/>
      <c r="AE378" s="24"/>
      <c r="AF378" s="24"/>
      <c r="AG378" s="24"/>
      <c r="AH378" s="24"/>
    </row>
    <row r="379" spans="1:34" ht="45" x14ac:dyDescent="0.25">
      <c r="A379" s="24" t="str">
        <f>HYPERLINK("https://www.cpso.on.ca/DoctorDetails/Cherie-Lynn-JonesHiscock/0142616-71041","Jones-Hiscock, Cherie Lynn")</f>
        <v>Jones-Hiscock, Cherie Lynn</v>
      </c>
      <c r="B379" s="25" t="s">
        <v>4191</v>
      </c>
      <c r="C379" s="24" t="s">
        <v>4192</v>
      </c>
      <c r="D379" s="24" t="s">
        <v>4193</v>
      </c>
      <c r="E379" s="24" t="s">
        <v>29</v>
      </c>
      <c r="F379" s="24" t="s">
        <v>47</v>
      </c>
      <c r="G379" s="24" t="s">
        <v>31</v>
      </c>
      <c r="H379" s="24" t="s">
        <v>4194</v>
      </c>
      <c r="I379" s="24" t="s">
        <v>4195</v>
      </c>
      <c r="J379" s="24" t="s">
        <v>4196</v>
      </c>
      <c r="K379" s="24" t="s">
        <v>4197</v>
      </c>
      <c r="L379" s="24" t="s">
        <v>340</v>
      </c>
      <c r="M379" s="15"/>
      <c r="N379" s="15"/>
      <c r="O379" s="15" t="s">
        <v>1122</v>
      </c>
      <c r="P379" s="15" t="s">
        <v>4198</v>
      </c>
      <c r="Q379" s="15" t="s">
        <v>4199</v>
      </c>
      <c r="R379" s="15" t="s">
        <v>4200</v>
      </c>
      <c r="S379" s="24" t="s">
        <v>39</v>
      </c>
      <c r="T379" s="24" t="s">
        <v>39</v>
      </c>
      <c r="U379" s="24" t="s">
        <v>39</v>
      </c>
      <c r="V379" s="24" t="s">
        <v>39</v>
      </c>
      <c r="W379" s="24"/>
      <c r="X379" s="24"/>
      <c r="Y379" s="15"/>
      <c r="Z379" s="15"/>
      <c r="AA379" s="24"/>
      <c r="AB379" s="24"/>
      <c r="AC379" s="24"/>
      <c r="AD379" s="24"/>
      <c r="AE379" s="24"/>
      <c r="AF379" s="24"/>
      <c r="AG379" s="24"/>
      <c r="AH379" s="24"/>
    </row>
    <row r="380" spans="1:34" ht="30" x14ac:dyDescent="0.25">
      <c r="A380" s="24" t="str">
        <f>HYPERLINK("https://www.cpso.on.ca/DoctorDetails/Cheryl-Ann-Zilli/0038170-52146","Zilli, Cheryl Ann")</f>
        <v>Zilli, Cheryl Ann</v>
      </c>
      <c r="B380" s="25" t="s">
        <v>4201</v>
      </c>
      <c r="C380" s="24" t="s">
        <v>3417</v>
      </c>
      <c r="D380" s="24" t="s">
        <v>3428</v>
      </c>
      <c r="E380" s="24" t="s">
        <v>29</v>
      </c>
      <c r="F380" s="24" t="s">
        <v>47</v>
      </c>
      <c r="G380" s="24" t="s">
        <v>31</v>
      </c>
      <c r="H380" s="24" t="s">
        <v>4000</v>
      </c>
      <c r="I380" s="24" t="s">
        <v>4202</v>
      </c>
      <c r="J380" s="24" t="s">
        <v>4203</v>
      </c>
      <c r="K380" s="24"/>
      <c r="L380" s="24" t="s">
        <v>135</v>
      </c>
      <c r="M380" s="15"/>
      <c r="N380" s="15"/>
      <c r="O380" s="15"/>
      <c r="P380" s="15" t="s">
        <v>3194</v>
      </c>
      <c r="Q380" s="15"/>
      <c r="R380" s="15" t="s">
        <v>4204</v>
      </c>
      <c r="S380" s="24" t="s">
        <v>39</v>
      </c>
      <c r="T380" s="24" t="s">
        <v>39</v>
      </c>
      <c r="U380" s="24" t="s">
        <v>39</v>
      </c>
      <c r="V380" s="24" t="s">
        <v>39</v>
      </c>
      <c r="W380" s="24" t="s">
        <v>4205</v>
      </c>
      <c r="X380" s="24" t="s">
        <v>4206</v>
      </c>
      <c r="Y380" s="15" t="s">
        <v>4207</v>
      </c>
      <c r="Z380" s="15" t="s">
        <v>4208</v>
      </c>
      <c r="AA380" s="24"/>
      <c r="AB380" s="24"/>
      <c r="AC380" s="24"/>
      <c r="AD380" s="24"/>
      <c r="AE380" s="24"/>
      <c r="AF380" s="24"/>
      <c r="AG380" s="24"/>
      <c r="AH380" s="24"/>
    </row>
    <row r="381" spans="1:34" ht="30" x14ac:dyDescent="0.25">
      <c r="A381" s="24" t="str">
        <f>HYPERLINK("https://www.cpso.on.ca/DoctorDetails/Cheryl-June-Rowe/0039211-53187","Rowe, Cheryl June")</f>
        <v>Rowe, Cheryl June</v>
      </c>
      <c r="B381" s="25" t="s">
        <v>4209</v>
      </c>
      <c r="C381" s="24" t="s">
        <v>2000</v>
      </c>
      <c r="D381" s="24" t="s">
        <v>4210</v>
      </c>
      <c r="E381" s="24" t="s">
        <v>29</v>
      </c>
      <c r="F381" s="24" t="s">
        <v>47</v>
      </c>
      <c r="G381" s="24" t="s">
        <v>31</v>
      </c>
      <c r="H381" s="24" t="s">
        <v>4211</v>
      </c>
      <c r="I381" s="24" t="s">
        <v>4212</v>
      </c>
      <c r="J381" s="24" t="s">
        <v>4213</v>
      </c>
      <c r="K381" s="24" t="s">
        <v>4214</v>
      </c>
      <c r="L381" s="24" t="s">
        <v>52</v>
      </c>
      <c r="M381" s="15"/>
      <c r="N381" s="15"/>
      <c r="O381" s="15" t="s">
        <v>219</v>
      </c>
      <c r="P381" s="15" t="s">
        <v>1924</v>
      </c>
      <c r="Q381" s="15"/>
      <c r="R381" s="15" t="s">
        <v>4215</v>
      </c>
      <c r="S381" s="24" t="s">
        <v>39</v>
      </c>
      <c r="T381" s="24" t="s">
        <v>39</v>
      </c>
      <c r="U381" s="24" t="s">
        <v>39</v>
      </c>
      <c r="V381" s="24" t="s">
        <v>39</v>
      </c>
      <c r="W381" s="24"/>
      <c r="X381" s="24"/>
      <c r="Y381" s="15"/>
      <c r="Z381" s="15"/>
      <c r="AA381" s="24"/>
      <c r="AB381" s="24"/>
      <c r="AC381" s="24"/>
      <c r="AD381" s="24"/>
      <c r="AE381" s="24"/>
      <c r="AF381" s="24"/>
      <c r="AG381" s="24"/>
      <c r="AH381" s="24"/>
    </row>
    <row r="382" spans="1:34" ht="75" x14ac:dyDescent="0.25">
      <c r="A382" s="24" t="str">
        <f>HYPERLINK("https://www.cpso.on.ca/DoctorDetails/Cheryl-Lynn-Oandasan/0052874-66838","Oandasan, Cheryl Lynn")</f>
        <v>Oandasan, Cheryl Lynn</v>
      </c>
      <c r="B382" s="25" t="s">
        <v>4216</v>
      </c>
      <c r="C382" s="24" t="s">
        <v>836</v>
      </c>
      <c r="D382" s="24" t="s">
        <v>837</v>
      </c>
      <c r="E382" s="24" t="s">
        <v>29</v>
      </c>
      <c r="F382" s="24" t="s">
        <v>47</v>
      </c>
      <c r="G382" s="24" t="s">
        <v>105</v>
      </c>
      <c r="H382" s="24" t="s">
        <v>3540</v>
      </c>
      <c r="I382" s="24" t="s">
        <v>4217</v>
      </c>
      <c r="J382" s="24" t="s">
        <v>4218</v>
      </c>
      <c r="K382" s="24"/>
      <c r="L382" s="24"/>
      <c r="M382" s="15" t="s">
        <v>4219</v>
      </c>
      <c r="N382" s="15" t="s">
        <v>4220</v>
      </c>
      <c r="O382" s="15"/>
      <c r="P382" s="15" t="s">
        <v>303</v>
      </c>
      <c r="Q382" s="15" t="s">
        <v>4221</v>
      </c>
      <c r="R382" s="15" t="s">
        <v>844</v>
      </c>
      <c r="S382" s="24" t="s">
        <v>39</v>
      </c>
      <c r="T382" s="24" t="s">
        <v>39</v>
      </c>
      <c r="U382" s="24" t="s">
        <v>39</v>
      </c>
      <c r="V382" s="24" t="s">
        <v>39</v>
      </c>
      <c r="W382" s="24"/>
      <c r="X382" s="24"/>
      <c r="Y382" s="15"/>
      <c r="Z382" s="15"/>
      <c r="AA382" s="24"/>
      <c r="AB382" s="24"/>
      <c r="AC382" s="24"/>
      <c r="AD382" s="24"/>
      <c r="AE382" s="24"/>
      <c r="AF382" s="24"/>
      <c r="AG382" s="24"/>
      <c r="AH382" s="24"/>
    </row>
    <row r="383" spans="1:34" ht="105" x14ac:dyDescent="0.25">
      <c r="A383" s="24" t="str">
        <f>HYPERLINK("https://www.cpso.on.ca/DoctorDetails/Cheryl-Lynn-Willsie/0257458-91695","Willsie, Cheryl Lynn")</f>
        <v>Willsie, Cheryl Lynn</v>
      </c>
      <c r="B383" s="25" t="s">
        <v>4222</v>
      </c>
      <c r="C383" s="24" t="s">
        <v>4223</v>
      </c>
      <c r="D383" s="24" t="s">
        <v>4224</v>
      </c>
      <c r="E383" s="24" t="s">
        <v>29</v>
      </c>
      <c r="F383" s="24" t="s">
        <v>47</v>
      </c>
      <c r="G383" s="24" t="s">
        <v>31</v>
      </c>
      <c r="H383" s="24" t="s">
        <v>4225</v>
      </c>
      <c r="I383" s="24" t="s">
        <v>4226</v>
      </c>
      <c r="J383" s="24" t="s">
        <v>4227</v>
      </c>
      <c r="K383" s="24"/>
      <c r="L383" s="24" t="s">
        <v>65</v>
      </c>
      <c r="M383" s="15"/>
      <c r="N383" s="15"/>
      <c r="O383" s="15" t="s">
        <v>4228</v>
      </c>
      <c r="P383" s="15" t="s">
        <v>449</v>
      </c>
      <c r="Q383" s="15" t="s">
        <v>4229</v>
      </c>
      <c r="R383" s="15" t="s">
        <v>4230</v>
      </c>
      <c r="S383" s="24" t="s">
        <v>39</v>
      </c>
      <c r="T383" s="24" t="s">
        <v>39</v>
      </c>
      <c r="U383" s="24" t="s">
        <v>39</v>
      </c>
      <c r="V383" s="24" t="s">
        <v>39</v>
      </c>
      <c r="W383" s="24"/>
      <c r="X383" s="24"/>
      <c r="Y383" s="15"/>
      <c r="Z383" s="15"/>
      <c r="AA383" s="24"/>
      <c r="AB383" s="24"/>
      <c r="AC383" s="24"/>
      <c r="AD383" s="24"/>
      <c r="AE383" s="24"/>
      <c r="AF383" s="24"/>
      <c r="AG383" s="24"/>
      <c r="AH383" s="24"/>
    </row>
    <row r="384" spans="1:34" ht="75" x14ac:dyDescent="0.25">
      <c r="A384" s="24" t="str">
        <f>HYPERLINK("https://www.cpso.on.ca/DoctorDetails/Chetana-Avinash-Kulkarni/0191324-77601","Kulkarni, Chetana Avinash")</f>
        <v>Kulkarni, Chetana Avinash</v>
      </c>
      <c r="B384" s="25" t="s">
        <v>4231</v>
      </c>
      <c r="C384" s="24" t="s">
        <v>4232</v>
      </c>
      <c r="D384" s="24" t="s">
        <v>4233</v>
      </c>
      <c r="E384" s="24" t="s">
        <v>29</v>
      </c>
      <c r="F384" s="24" t="s">
        <v>47</v>
      </c>
      <c r="G384" s="24" t="s">
        <v>4234</v>
      </c>
      <c r="H384" s="24" t="s">
        <v>1509</v>
      </c>
      <c r="I384" s="24" t="s">
        <v>4235</v>
      </c>
      <c r="J384" s="24" t="s">
        <v>4236</v>
      </c>
      <c r="K384" s="24"/>
      <c r="L384" s="24" t="s">
        <v>52</v>
      </c>
      <c r="M384" s="15"/>
      <c r="N384" s="15"/>
      <c r="O384" s="15" t="s">
        <v>121</v>
      </c>
      <c r="P384" s="15" t="s">
        <v>488</v>
      </c>
      <c r="Q384" s="15" t="s">
        <v>489</v>
      </c>
      <c r="R384" s="15" t="s">
        <v>4237</v>
      </c>
      <c r="S384" s="24" t="s">
        <v>39</v>
      </c>
      <c r="T384" s="24" t="s">
        <v>39</v>
      </c>
      <c r="U384" s="24" t="s">
        <v>39</v>
      </c>
      <c r="V384" s="24" t="s">
        <v>39</v>
      </c>
      <c r="W384" s="24" t="s">
        <v>4238</v>
      </c>
      <c r="X384" s="24" t="s">
        <v>4239</v>
      </c>
      <c r="Y384" s="15" t="s">
        <v>4240</v>
      </c>
      <c r="Z384" s="15" t="s">
        <v>4241</v>
      </c>
      <c r="AA384" s="24"/>
      <c r="AB384" s="24"/>
      <c r="AC384" s="24"/>
      <c r="AD384" s="24"/>
      <c r="AE384" s="24"/>
      <c r="AF384" s="24"/>
      <c r="AG384" s="24"/>
      <c r="AH384" s="24"/>
    </row>
    <row r="385" spans="1:34" ht="75" x14ac:dyDescent="0.25">
      <c r="A385" s="24" t="str">
        <f>HYPERLINK("https://www.cpso.on.ca/DoctorDetails/Chhavi-Kaushik/0303949-107784","Kaushik, Chhavi")</f>
        <v>Kaushik, Chhavi</v>
      </c>
      <c r="B385" s="25" t="s">
        <v>4242</v>
      </c>
      <c r="C385" s="24" t="s">
        <v>4243</v>
      </c>
      <c r="D385" s="24" t="s">
        <v>4244</v>
      </c>
      <c r="E385" s="24" t="s">
        <v>29</v>
      </c>
      <c r="F385" s="24" t="s">
        <v>47</v>
      </c>
      <c r="G385" s="24" t="s">
        <v>79</v>
      </c>
      <c r="H385" s="24" t="s">
        <v>4245</v>
      </c>
      <c r="I385" s="24" t="s">
        <v>4246</v>
      </c>
      <c r="J385" s="24" t="s">
        <v>4247</v>
      </c>
      <c r="K385" s="24"/>
      <c r="L385" s="24" t="s">
        <v>52</v>
      </c>
      <c r="M385" s="15" t="s">
        <v>4248</v>
      </c>
      <c r="N385" s="15" t="s">
        <v>2221</v>
      </c>
      <c r="O385" s="15"/>
      <c r="P385" s="15" t="s">
        <v>4249</v>
      </c>
      <c r="Q385" s="15" t="s">
        <v>4250</v>
      </c>
      <c r="R385" s="15" t="s">
        <v>4251</v>
      </c>
      <c r="S385" s="24" t="s">
        <v>71</v>
      </c>
      <c r="T385" s="24" t="s">
        <v>39</v>
      </c>
      <c r="U385" s="24" t="s">
        <v>39</v>
      </c>
      <c r="V385" s="24" t="s">
        <v>39</v>
      </c>
      <c r="W385" s="24" t="s">
        <v>4252</v>
      </c>
      <c r="X385" s="24" t="s">
        <v>4253</v>
      </c>
      <c r="Y385" s="15" t="s">
        <v>4254</v>
      </c>
      <c r="Z385" s="15" t="s">
        <v>4255</v>
      </c>
      <c r="AA385" s="24"/>
      <c r="AB385" s="24"/>
      <c r="AC385" s="24"/>
      <c r="AD385" s="24"/>
      <c r="AE385" s="24"/>
      <c r="AF385" s="24"/>
      <c r="AG385" s="24"/>
      <c r="AH385" s="24"/>
    </row>
    <row r="386" spans="1:34" ht="75" x14ac:dyDescent="0.25">
      <c r="A386" s="24" t="str">
        <f>HYPERLINK("https://www.cpso.on.ca/DoctorDetails/Chiachen-Cheng/0138928-71164","Cheng, Chiachen")</f>
        <v>Cheng, Chiachen</v>
      </c>
      <c r="B386" s="25" t="s">
        <v>4256</v>
      </c>
      <c r="C386" s="24" t="s">
        <v>1390</v>
      </c>
      <c r="D386" s="24" t="s">
        <v>1391</v>
      </c>
      <c r="E386" s="24" t="s">
        <v>29</v>
      </c>
      <c r="F386" s="24" t="s">
        <v>47</v>
      </c>
      <c r="G386" s="24" t="s">
        <v>31</v>
      </c>
      <c r="H386" s="24" t="s">
        <v>4257</v>
      </c>
      <c r="I386" s="24" t="s">
        <v>4258</v>
      </c>
      <c r="J386" s="24" t="s">
        <v>4259</v>
      </c>
      <c r="K386" s="24" t="s">
        <v>4260</v>
      </c>
      <c r="L386" s="24" t="s">
        <v>3849</v>
      </c>
      <c r="M386" s="15" t="s">
        <v>4261</v>
      </c>
      <c r="N386" s="15"/>
      <c r="O386" s="15" t="s">
        <v>4262</v>
      </c>
      <c r="P386" s="15" t="s">
        <v>1398</v>
      </c>
      <c r="Q386" s="15" t="s">
        <v>3769</v>
      </c>
      <c r="R386" s="15" t="s">
        <v>1400</v>
      </c>
      <c r="S386" s="24" t="s">
        <v>39</v>
      </c>
      <c r="T386" s="24" t="s">
        <v>39</v>
      </c>
      <c r="U386" s="24" t="s">
        <v>39</v>
      </c>
      <c r="V386" s="24" t="s">
        <v>39</v>
      </c>
      <c r="W386" s="24" t="s">
        <v>4263</v>
      </c>
      <c r="X386" s="24" t="s">
        <v>4264</v>
      </c>
      <c r="Y386" s="15" t="s">
        <v>4265</v>
      </c>
      <c r="Z386" s="15" t="s">
        <v>4266</v>
      </c>
      <c r="AA386" s="24"/>
      <c r="AB386" s="24"/>
      <c r="AC386" s="24"/>
      <c r="AD386" s="24"/>
      <c r="AE386" s="24"/>
      <c r="AF386" s="24"/>
      <c r="AG386" s="24"/>
      <c r="AH386" s="24"/>
    </row>
    <row r="387" spans="1:34" ht="60" x14ac:dyDescent="0.25">
      <c r="A387" s="24" t="str">
        <f>HYPERLINK("https://www.cpso.on.ca/DoctorDetails/Chijioke-Tagbo-Ukwe/0319574-114182","Ukwe, Chijioke Tagbo")</f>
        <v>Ukwe, Chijioke Tagbo</v>
      </c>
      <c r="B387" s="25" t="s">
        <v>4267</v>
      </c>
      <c r="C387" s="24" t="s">
        <v>4268</v>
      </c>
      <c r="D387" s="24" t="s">
        <v>4269</v>
      </c>
      <c r="E387" s="24" t="s">
        <v>29</v>
      </c>
      <c r="F387" s="24" t="s">
        <v>30</v>
      </c>
      <c r="G387" s="24" t="s">
        <v>31</v>
      </c>
      <c r="H387" s="24" t="s">
        <v>4270</v>
      </c>
      <c r="I387" s="24" t="s">
        <v>4271</v>
      </c>
      <c r="J387" s="24" t="s">
        <v>4272</v>
      </c>
      <c r="K387" s="24" t="s">
        <v>3000</v>
      </c>
      <c r="L387" s="24" t="s">
        <v>52</v>
      </c>
      <c r="M387" s="15"/>
      <c r="N387" s="15" t="s">
        <v>4273</v>
      </c>
      <c r="O387" s="15"/>
      <c r="P387" s="15" t="s">
        <v>3308</v>
      </c>
      <c r="Q387" s="15"/>
      <c r="R387" s="15" t="s">
        <v>4274</v>
      </c>
      <c r="S387" s="24" t="s">
        <v>71</v>
      </c>
      <c r="T387" s="24" t="s">
        <v>39</v>
      </c>
      <c r="U387" s="24" t="s">
        <v>39</v>
      </c>
      <c r="V387" s="24" t="s">
        <v>39</v>
      </c>
      <c r="W387" s="24"/>
      <c r="X387" s="24"/>
      <c r="Y387" s="15"/>
      <c r="Z387" s="15"/>
      <c r="AA387" s="24"/>
      <c r="AB387" s="24"/>
      <c r="AC387" s="24"/>
      <c r="AD387" s="24"/>
      <c r="AE387" s="24"/>
      <c r="AF387" s="24"/>
      <c r="AG387" s="24"/>
      <c r="AH387" s="24"/>
    </row>
    <row r="388" spans="1:34" x14ac:dyDescent="0.25">
      <c r="A388" s="24" t="str">
        <f>HYPERLINK("https://www.cpso.on.ca/DoctorDetails/Chimdi-Uzoma-Eleazer-Uhoegbu/0319646-112602","Uhoegbu, Chimdi Uzoma Eleazer")</f>
        <v>Uhoegbu, Chimdi Uzoma Eleazer</v>
      </c>
      <c r="B388" s="25" t="s">
        <v>4275</v>
      </c>
      <c r="C388" s="24" t="s">
        <v>4276</v>
      </c>
      <c r="D388" s="24" t="s">
        <v>4277</v>
      </c>
      <c r="E388" s="24" t="s">
        <v>29</v>
      </c>
      <c r="F388" s="24" t="s">
        <v>30</v>
      </c>
      <c r="G388" s="24" t="s">
        <v>31</v>
      </c>
      <c r="H388" s="24" t="s">
        <v>4278</v>
      </c>
      <c r="I388" s="24" t="s">
        <v>3204</v>
      </c>
      <c r="J388" s="24" t="s">
        <v>1410</v>
      </c>
      <c r="K388" s="24"/>
      <c r="L388" s="24" t="s">
        <v>340</v>
      </c>
      <c r="M388" s="15"/>
      <c r="N388" s="15"/>
      <c r="O388" s="15"/>
      <c r="P388" s="15" t="s">
        <v>2105</v>
      </c>
      <c r="Q388" s="15"/>
      <c r="R388" s="15" t="s">
        <v>4279</v>
      </c>
      <c r="S388" s="24" t="s">
        <v>39</v>
      </c>
      <c r="T388" s="24" t="s">
        <v>39</v>
      </c>
      <c r="U388" s="24" t="s">
        <v>39</v>
      </c>
      <c r="V388" s="24" t="s">
        <v>39</v>
      </c>
      <c r="W388" s="24" t="s">
        <v>4280</v>
      </c>
      <c r="X388" s="24" t="s">
        <v>4281</v>
      </c>
      <c r="Y388" s="15" t="s">
        <v>4282</v>
      </c>
      <c r="Z388" s="15" t="s">
        <v>4283</v>
      </c>
      <c r="AA388" s="24"/>
      <c r="AB388" s="24"/>
      <c r="AC388" s="24"/>
      <c r="AD388" s="24"/>
      <c r="AE388" s="24"/>
      <c r="AF388" s="24"/>
      <c r="AG388" s="24"/>
      <c r="AH388" s="24"/>
    </row>
    <row r="389" spans="1:34" ht="75" x14ac:dyDescent="0.25">
      <c r="A389" s="24" t="str">
        <f>HYPERLINK("https://www.cpso.on.ca/DoctorDetails/Chinedu-Sunday-Ogbonna/0285912-100053","Ogbonna, Chinedu Sunday")</f>
        <v>Ogbonna, Chinedu Sunday</v>
      </c>
      <c r="B389" s="25" t="s">
        <v>4284</v>
      </c>
      <c r="C389" s="24" t="s">
        <v>4285</v>
      </c>
      <c r="D389" s="24" t="s">
        <v>4286</v>
      </c>
      <c r="E389" s="24" t="s">
        <v>29</v>
      </c>
      <c r="F389" s="24" t="s">
        <v>30</v>
      </c>
      <c r="G389" s="24" t="s">
        <v>31</v>
      </c>
      <c r="H389" s="24" t="s">
        <v>4287</v>
      </c>
      <c r="I389" s="24" t="s">
        <v>395</v>
      </c>
      <c r="J389" s="24" t="s">
        <v>1853</v>
      </c>
      <c r="K389" s="24" t="s">
        <v>1854</v>
      </c>
      <c r="L389" s="24" t="s">
        <v>328</v>
      </c>
      <c r="M389" s="15"/>
      <c r="N389" s="15" t="s">
        <v>398</v>
      </c>
      <c r="O389" s="15" t="s">
        <v>1855</v>
      </c>
      <c r="P389" s="15" t="s">
        <v>425</v>
      </c>
      <c r="Q389" s="15"/>
      <c r="R389" s="15" t="s">
        <v>4288</v>
      </c>
      <c r="S389" s="24" t="s">
        <v>39</v>
      </c>
      <c r="T389" s="24" t="s">
        <v>39</v>
      </c>
      <c r="U389" s="24" t="s">
        <v>39</v>
      </c>
      <c r="V389" s="24" t="s">
        <v>39</v>
      </c>
      <c r="W389" s="24" t="s">
        <v>4289</v>
      </c>
      <c r="X389" s="24" t="s">
        <v>4290</v>
      </c>
      <c r="Y389" s="15" t="s">
        <v>4291</v>
      </c>
      <c r="Z389" s="15" t="s">
        <v>4292</v>
      </c>
      <c r="AA389" s="24"/>
      <c r="AB389" s="24"/>
      <c r="AC389" s="24"/>
      <c r="AD389" s="24"/>
      <c r="AE389" s="24"/>
      <c r="AF389" s="24"/>
      <c r="AG389" s="24"/>
      <c r="AH389" s="24"/>
    </row>
    <row r="390" spans="1:34" ht="30" x14ac:dyDescent="0.25">
      <c r="A390" s="24" t="str">
        <f>HYPERLINK("https://www.cpso.on.ca/DoctorDetails/Chintan-Shah/0309452-110343","Shah, Chintan")</f>
        <v>Shah, Chintan</v>
      </c>
      <c r="B390" s="25" t="s">
        <v>4293</v>
      </c>
      <c r="C390" s="24" t="s">
        <v>4294</v>
      </c>
      <c r="D390" s="24" t="s">
        <v>967</v>
      </c>
      <c r="E390" s="24" t="s">
        <v>29</v>
      </c>
      <c r="F390" s="24" t="s">
        <v>30</v>
      </c>
      <c r="G390" s="24" t="s">
        <v>31</v>
      </c>
      <c r="H390" s="24" t="s">
        <v>4295</v>
      </c>
      <c r="I390" s="24" t="s">
        <v>4296</v>
      </c>
      <c r="J390" s="24" t="s">
        <v>4297</v>
      </c>
      <c r="K390" s="24"/>
      <c r="L390" s="24" t="s">
        <v>184</v>
      </c>
      <c r="M390" s="15"/>
      <c r="N390" s="15"/>
      <c r="O390" s="15" t="s">
        <v>2169</v>
      </c>
      <c r="P390" s="15" t="s">
        <v>3308</v>
      </c>
      <c r="Q390" s="15"/>
      <c r="R390" s="15" t="s">
        <v>4298</v>
      </c>
      <c r="S390" s="24" t="s">
        <v>39</v>
      </c>
      <c r="T390" s="24" t="s">
        <v>39</v>
      </c>
      <c r="U390" s="24" t="s">
        <v>39</v>
      </c>
      <c r="V390" s="24" t="s">
        <v>39</v>
      </c>
      <c r="W390" s="24" t="s">
        <v>4299</v>
      </c>
      <c r="X390" s="24" t="s">
        <v>4300</v>
      </c>
      <c r="Y390" s="15" t="s">
        <v>4301</v>
      </c>
      <c r="Z390" s="15" t="s">
        <v>4302</v>
      </c>
      <c r="AA390" s="24" t="s">
        <v>4303</v>
      </c>
      <c r="AB390" s="24" t="s">
        <v>4304</v>
      </c>
      <c r="AC390" s="24" t="s">
        <v>4305</v>
      </c>
      <c r="AD390" s="24" t="s">
        <v>4306</v>
      </c>
      <c r="AE390" s="24"/>
      <c r="AF390" s="24"/>
      <c r="AG390" s="24"/>
      <c r="AH390" s="24"/>
    </row>
    <row r="391" spans="1:34" ht="30" x14ac:dyDescent="0.25">
      <c r="A391" s="24" t="str">
        <f>HYPERLINK("https://www.cpso.on.ca/DoctorDetails/Chinyere-Constance-Ojiegbe/0214369-81753","Ojiegbe, Chinyere Constance")</f>
        <v>Ojiegbe, Chinyere Constance</v>
      </c>
      <c r="B391" s="25" t="s">
        <v>4307</v>
      </c>
      <c r="C391" s="24" t="s">
        <v>4308</v>
      </c>
      <c r="D391" s="24" t="s">
        <v>4309</v>
      </c>
      <c r="E391" s="24" t="s">
        <v>29</v>
      </c>
      <c r="F391" s="24" t="s">
        <v>47</v>
      </c>
      <c r="G391" s="24" t="s">
        <v>2097</v>
      </c>
      <c r="H391" s="24" t="s">
        <v>4310</v>
      </c>
      <c r="I391" s="24" t="s">
        <v>1689</v>
      </c>
      <c r="J391" s="24" t="s">
        <v>4311</v>
      </c>
      <c r="K391" s="24" t="s">
        <v>4082</v>
      </c>
      <c r="L391" s="24" t="s">
        <v>36</v>
      </c>
      <c r="M391" s="15" t="s">
        <v>4312</v>
      </c>
      <c r="N391" s="15"/>
      <c r="O391" s="15"/>
      <c r="P391" s="15" t="s">
        <v>4313</v>
      </c>
      <c r="Q391" s="15"/>
      <c r="R391" s="15" t="s">
        <v>4314</v>
      </c>
      <c r="S391" s="24" t="s">
        <v>39</v>
      </c>
      <c r="T391" s="24" t="s">
        <v>39</v>
      </c>
      <c r="U391" s="24" t="s">
        <v>39</v>
      </c>
      <c r="V391" s="24" t="s">
        <v>39</v>
      </c>
      <c r="W391" s="24" t="s">
        <v>4315</v>
      </c>
      <c r="X391" s="24" t="s">
        <v>4316</v>
      </c>
      <c r="Y391" s="15" t="s">
        <v>4317</v>
      </c>
      <c r="Z391" s="15" t="s">
        <v>4318</v>
      </c>
      <c r="AA391" s="24"/>
      <c r="AB391" s="24"/>
      <c r="AC391" s="24"/>
      <c r="AD391" s="24"/>
      <c r="AE391" s="24"/>
      <c r="AF391" s="24"/>
      <c r="AG391" s="24"/>
      <c r="AH391" s="24"/>
    </row>
    <row r="392" spans="1:34" ht="75" x14ac:dyDescent="0.25">
      <c r="A392" s="24" t="str">
        <f>HYPERLINK("https://www.cpso.on.ca/DoctorDetails/Chloe-Marie-Leon/0242499-86346","Leon, Chloe Marie")</f>
        <v>Leon, Chloe Marie</v>
      </c>
      <c r="B392" s="25" t="s">
        <v>4319</v>
      </c>
      <c r="C392" s="24" t="s">
        <v>1115</v>
      </c>
      <c r="D392" s="24" t="s">
        <v>1594</v>
      </c>
      <c r="E392" s="24" t="s">
        <v>29</v>
      </c>
      <c r="F392" s="24" t="s">
        <v>47</v>
      </c>
      <c r="G392" s="24" t="s">
        <v>31</v>
      </c>
      <c r="H392" s="24" t="s">
        <v>4320</v>
      </c>
      <c r="I392" s="24" t="s">
        <v>4321</v>
      </c>
      <c r="J392" s="24" t="s">
        <v>1262</v>
      </c>
      <c r="K392" s="24" t="s">
        <v>4322</v>
      </c>
      <c r="L392" s="24" t="s">
        <v>52</v>
      </c>
      <c r="M392" s="15" t="s">
        <v>4323</v>
      </c>
      <c r="N392" s="15"/>
      <c r="O392" s="15" t="s">
        <v>981</v>
      </c>
      <c r="P392" s="15" t="s">
        <v>1074</v>
      </c>
      <c r="Q392" s="15" t="s">
        <v>1601</v>
      </c>
      <c r="R392" s="15" t="s">
        <v>1602</v>
      </c>
      <c r="S392" s="24" t="s">
        <v>39</v>
      </c>
      <c r="T392" s="24" t="s">
        <v>39</v>
      </c>
      <c r="U392" s="24" t="s">
        <v>39</v>
      </c>
      <c r="V392" s="24" t="s">
        <v>39</v>
      </c>
      <c r="W392" s="24" t="s">
        <v>4324</v>
      </c>
      <c r="X392" s="24" t="s">
        <v>4325</v>
      </c>
      <c r="Y392" s="15" t="s">
        <v>4326</v>
      </c>
      <c r="Z392" s="15" t="s">
        <v>4327</v>
      </c>
      <c r="AA392" s="24"/>
      <c r="AB392" s="24"/>
      <c r="AC392" s="24"/>
      <c r="AD392" s="24"/>
      <c r="AE392" s="24"/>
      <c r="AF392" s="24"/>
      <c r="AG392" s="24"/>
      <c r="AH392" s="24"/>
    </row>
    <row r="393" spans="1:34" ht="30" x14ac:dyDescent="0.25">
      <c r="A393" s="24" t="str">
        <f>HYPERLINK("https://www.cpso.on.ca/DoctorDetails/Chrissoula-Stavrakaki/0030375-42355","Stavrakaki, Chrissoula")</f>
        <v>Stavrakaki, Chrissoula</v>
      </c>
      <c r="B393" s="25" t="s">
        <v>4328</v>
      </c>
      <c r="C393" s="24" t="s">
        <v>4329</v>
      </c>
      <c r="D393" s="24" t="s">
        <v>4330</v>
      </c>
      <c r="E393" s="15" t="s">
        <v>4331</v>
      </c>
      <c r="F393" s="24" t="s">
        <v>47</v>
      </c>
      <c r="G393" s="24" t="s">
        <v>536</v>
      </c>
      <c r="H393" s="24" t="s">
        <v>4332</v>
      </c>
      <c r="I393" s="24" t="s">
        <v>4333</v>
      </c>
      <c r="J393" s="24" t="s">
        <v>4334</v>
      </c>
      <c r="K393" s="24" t="s">
        <v>4335</v>
      </c>
      <c r="L393" s="24" t="s">
        <v>84</v>
      </c>
      <c r="M393" s="15"/>
      <c r="N393" s="15"/>
      <c r="O393" s="15"/>
      <c r="P393" s="15" t="s">
        <v>4336</v>
      </c>
      <c r="Q393" s="15"/>
      <c r="R393" s="15" t="s">
        <v>4337</v>
      </c>
      <c r="S393" s="24" t="s">
        <v>39</v>
      </c>
      <c r="T393" s="24" t="s">
        <v>39</v>
      </c>
      <c r="U393" s="24" t="s">
        <v>39</v>
      </c>
      <c r="V393" s="24" t="s">
        <v>39</v>
      </c>
      <c r="W393" s="24" t="s">
        <v>4338</v>
      </c>
      <c r="X393" s="24" t="s">
        <v>4339</v>
      </c>
      <c r="Y393" s="15" t="s">
        <v>4340</v>
      </c>
      <c r="Z393" s="15" t="s">
        <v>4341</v>
      </c>
      <c r="AA393" s="24"/>
      <c r="AB393" s="24"/>
      <c r="AC393" s="24"/>
      <c r="AD393" s="24"/>
      <c r="AE393" s="24"/>
      <c r="AF393" s="24"/>
      <c r="AG393" s="24"/>
      <c r="AH393" s="24"/>
    </row>
    <row r="394" spans="1:34" x14ac:dyDescent="0.25">
      <c r="A394" s="24" t="str">
        <f>HYPERLINK("https://www.cpso.on.ca/DoctorDetails/Christian-Dube/0248703-89285","Dube, Christian")</f>
        <v>Dube, Christian</v>
      </c>
      <c r="B394" s="25" t="s">
        <v>4342</v>
      </c>
      <c r="C394" s="24" t="s">
        <v>4343</v>
      </c>
      <c r="D394" s="24" t="s">
        <v>4344</v>
      </c>
      <c r="E394" s="24" t="s">
        <v>29</v>
      </c>
      <c r="F394" s="24" t="s">
        <v>30</v>
      </c>
      <c r="G394" s="24" t="s">
        <v>813</v>
      </c>
      <c r="H394" s="24" t="s">
        <v>4345</v>
      </c>
      <c r="I394" s="24" t="s">
        <v>4346</v>
      </c>
      <c r="J394" s="24" t="s">
        <v>4347</v>
      </c>
      <c r="K394" s="24" t="s">
        <v>4348</v>
      </c>
      <c r="L394" s="24"/>
      <c r="M394" s="15"/>
      <c r="N394" s="15" t="s">
        <v>710</v>
      </c>
      <c r="O394" s="15"/>
      <c r="P394" s="15" t="s">
        <v>1343</v>
      </c>
      <c r="Q394" s="15"/>
      <c r="R394" s="15" t="s">
        <v>4349</v>
      </c>
      <c r="S394" s="24" t="s">
        <v>39</v>
      </c>
      <c r="T394" s="24" t="s">
        <v>39</v>
      </c>
      <c r="U394" s="24" t="s">
        <v>39</v>
      </c>
      <c r="V394" s="24" t="s">
        <v>39</v>
      </c>
      <c r="W394" s="24"/>
      <c r="X394" s="24"/>
      <c r="Y394" s="15"/>
      <c r="Z394" s="15"/>
      <c r="AA394" s="24"/>
      <c r="AB394" s="24"/>
      <c r="AC394" s="24"/>
      <c r="AD394" s="24"/>
      <c r="AE394" s="24"/>
      <c r="AF394" s="24"/>
      <c r="AG394" s="24"/>
      <c r="AH394" s="24"/>
    </row>
    <row r="395" spans="1:34" ht="75" x14ac:dyDescent="0.25">
      <c r="A395" s="24" t="str">
        <f>HYPERLINK("https://www.cpso.on.ca/DoctorDetails/Christina-Marie-Adam/0169292-74747","Adam, Christina Marie")</f>
        <v>Adam, Christina Marie</v>
      </c>
      <c r="B395" s="25" t="s">
        <v>4350</v>
      </c>
      <c r="C395" s="24" t="s">
        <v>3642</v>
      </c>
      <c r="D395" s="24" t="s">
        <v>1234</v>
      </c>
      <c r="E395" s="24" t="s">
        <v>29</v>
      </c>
      <c r="F395" s="24" t="s">
        <v>47</v>
      </c>
      <c r="G395" s="24" t="s">
        <v>31</v>
      </c>
      <c r="H395" s="24" t="s">
        <v>4067</v>
      </c>
      <c r="I395" s="24" t="s">
        <v>4351</v>
      </c>
      <c r="J395" s="24" t="s">
        <v>4352</v>
      </c>
      <c r="K395" s="24"/>
      <c r="L395" s="24" t="s">
        <v>184</v>
      </c>
      <c r="M395" s="15" t="s">
        <v>4353</v>
      </c>
      <c r="N395" s="15"/>
      <c r="O395" s="15" t="s">
        <v>4354</v>
      </c>
      <c r="P395" s="15" t="s">
        <v>1239</v>
      </c>
      <c r="Q395" s="15" t="s">
        <v>3648</v>
      </c>
      <c r="R395" s="15" t="s">
        <v>3649</v>
      </c>
      <c r="S395" s="24" t="s">
        <v>39</v>
      </c>
      <c r="T395" s="24" t="s">
        <v>39</v>
      </c>
      <c r="U395" s="24" t="s">
        <v>39</v>
      </c>
      <c r="V395" s="24" t="s">
        <v>39</v>
      </c>
      <c r="W395" s="24" t="s">
        <v>4355</v>
      </c>
      <c r="X395" s="24" t="s">
        <v>4356</v>
      </c>
      <c r="Y395" s="15" t="s">
        <v>4357</v>
      </c>
      <c r="Z395" s="15" t="s">
        <v>4358</v>
      </c>
      <c r="AA395" s="24"/>
      <c r="AB395" s="24"/>
      <c r="AC395" s="24"/>
      <c r="AD395" s="24"/>
      <c r="AE395" s="24"/>
      <c r="AF395" s="24"/>
      <c r="AG395" s="24"/>
      <c r="AH395" s="24"/>
    </row>
    <row r="396" spans="1:34" ht="75" x14ac:dyDescent="0.25">
      <c r="A396" s="24" t="str">
        <f>HYPERLINK("https://www.cpso.on.ca/DoctorDetails/Christina-McDonald/0250145-88349","McDonald, Christina")</f>
        <v>McDonald, Christina</v>
      </c>
      <c r="B396" s="25" t="s">
        <v>4359</v>
      </c>
      <c r="C396" s="24" t="s">
        <v>846</v>
      </c>
      <c r="D396" s="24" t="s">
        <v>600</v>
      </c>
      <c r="E396" s="24" t="s">
        <v>29</v>
      </c>
      <c r="F396" s="24" t="s">
        <v>47</v>
      </c>
      <c r="G396" s="24" t="s">
        <v>31</v>
      </c>
      <c r="H396" s="24" t="s">
        <v>268</v>
      </c>
      <c r="I396" s="24" t="s">
        <v>4360</v>
      </c>
      <c r="J396" s="24" t="s">
        <v>4361</v>
      </c>
      <c r="K396" s="24"/>
      <c r="L396" s="24" t="s">
        <v>184</v>
      </c>
      <c r="M396" s="15" t="s">
        <v>4362</v>
      </c>
      <c r="N396" s="15"/>
      <c r="O396" s="15" t="s">
        <v>4363</v>
      </c>
      <c r="P396" s="15" t="s">
        <v>272</v>
      </c>
      <c r="Q396" s="15" t="s">
        <v>4364</v>
      </c>
      <c r="R396" s="15" t="s">
        <v>853</v>
      </c>
      <c r="S396" s="24" t="s">
        <v>39</v>
      </c>
      <c r="T396" s="24" t="s">
        <v>39</v>
      </c>
      <c r="U396" s="24" t="s">
        <v>39</v>
      </c>
      <c r="V396" s="24" t="s">
        <v>39</v>
      </c>
      <c r="W396" s="24" t="s">
        <v>4365</v>
      </c>
      <c r="X396" s="24" t="s">
        <v>4366</v>
      </c>
      <c r="Y396" s="15" t="s">
        <v>4367</v>
      </c>
      <c r="Z396" s="15" t="s">
        <v>4368</v>
      </c>
      <c r="AA396" s="24"/>
      <c r="AB396" s="24"/>
      <c r="AC396" s="24"/>
      <c r="AD396" s="24"/>
      <c r="AE396" s="24"/>
      <c r="AF396" s="24"/>
      <c r="AG396" s="24"/>
      <c r="AH396" s="24"/>
    </row>
    <row r="397" spans="1:34" ht="75" x14ac:dyDescent="0.25">
      <c r="A397" s="24" t="str">
        <f>HYPERLINK("https://www.cpso.on.ca/DoctorDetails/Christine-Dickson/0041652-55628","Dickson, Christine")</f>
        <v>Dickson, Christine</v>
      </c>
      <c r="B397" s="25" t="s">
        <v>4369</v>
      </c>
      <c r="C397" s="24" t="s">
        <v>4370</v>
      </c>
      <c r="D397" s="24" t="s">
        <v>4371</v>
      </c>
      <c r="E397" s="24" t="s">
        <v>29</v>
      </c>
      <c r="F397" s="24" t="s">
        <v>47</v>
      </c>
      <c r="G397" s="24" t="s">
        <v>31</v>
      </c>
      <c r="H397" s="24" t="s">
        <v>4372</v>
      </c>
      <c r="I397" s="24" t="s">
        <v>4373</v>
      </c>
      <c r="J397" s="24" t="s">
        <v>4374</v>
      </c>
      <c r="K397" s="24" t="s">
        <v>4375</v>
      </c>
      <c r="L397" s="24" t="s">
        <v>84</v>
      </c>
      <c r="M397" s="15" t="s">
        <v>4376</v>
      </c>
      <c r="N397" s="15"/>
      <c r="O397" s="15" t="s">
        <v>4377</v>
      </c>
      <c r="P397" s="15" t="s">
        <v>2908</v>
      </c>
      <c r="Q397" s="15" t="s">
        <v>4378</v>
      </c>
      <c r="R397" s="15" t="s">
        <v>4379</v>
      </c>
      <c r="S397" s="24" t="s">
        <v>39</v>
      </c>
      <c r="T397" s="24" t="s">
        <v>39</v>
      </c>
      <c r="U397" s="24" t="s">
        <v>39</v>
      </c>
      <c r="V397" s="24" t="s">
        <v>39</v>
      </c>
      <c r="W397" s="24"/>
      <c r="X397" s="24"/>
      <c r="Y397" s="15"/>
      <c r="Z397" s="15"/>
      <c r="AA397" s="24"/>
      <c r="AB397" s="24"/>
      <c r="AC397" s="24"/>
      <c r="AD397" s="24"/>
      <c r="AE397" s="24"/>
      <c r="AF397" s="24"/>
      <c r="AG397" s="24"/>
      <c r="AH397" s="24"/>
    </row>
    <row r="398" spans="1:34" ht="30" x14ac:dyDescent="0.25">
      <c r="A398" s="24" t="str">
        <f>HYPERLINK("https://www.cpso.on.ca/DoctorDetails/Christine-Lilian-Dunbar/0022076-26865","Dunbar, Christine Lilian")</f>
        <v>Dunbar, Christine Lilian</v>
      </c>
      <c r="B398" s="25" t="s">
        <v>4380</v>
      </c>
      <c r="C398" s="24" t="s">
        <v>4381</v>
      </c>
      <c r="D398" s="24" t="s">
        <v>4382</v>
      </c>
      <c r="E398" s="24" t="s">
        <v>29</v>
      </c>
      <c r="F398" s="24" t="s">
        <v>47</v>
      </c>
      <c r="G398" s="24" t="s">
        <v>31</v>
      </c>
      <c r="H398" s="24" t="s">
        <v>4383</v>
      </c>
      <c r="I398" s="24" t="s">
        <v>4384</v>
      </c>
      <c r="J398" s="24" t="s">
        <v>4385</v>
      </c>
      <c r="K398" s="24" t="s">
        <v>4386</v>
      </c>
      <c r="L398" s="24" t="s">
        <v>52</v>
      </c>
      <c r="M398" s="15"/>
      <c r="N398" s="15"/>
      <c r="O398" s="15"/>
      <c r="P398" s="15" t="s">
        <v>4387</v>
      </c>
      <c r="Q398" s="15"/>
      <c r="R398" s="15" t="s">
        <v>4388</v>
      </c>
      <c r="S398" s="24" t="s">
        <v>39</v>
      </c>
      <c r="T398" s="24" t="s">
        <v>39</v>
      </c>
      <c r="U398" s="24" t="s">
        <v>39</v>
      </c>
      <c r="V398" s="24" t="s">
        <v>39</v>
      </c>
      <c r="W398" s="24" t="s">
        <v>4389</v>
      </c>
      <c r="X398" s="24" t="s">
        <v>4390</v>
      </c>
      <c r="Y398" s="15" t="s">
        <v>4391</v>
      </c>
      <c r="Z398" s="15" t="s">
        <v>4392</v>
      </c>
      <c r="AA398" s="24"/>
      <c r="AB398" s="24"/>
      <c r="AC398" s="24"/>
      <c r="AD398" s="24"/>
      <c r="AE398" s="24"/>
      <c r="AF398" s="24"/>
      <c r="AG398" s="24"/>
      <c r="AH398" s="24"/>
    </row>
    <row r="399" spans="1:34" ht="105" x14ac:dyDescent="0.25">
      <c r="A399" s="24" t="str">
        <f>HYPERLINK("https://www.cpso.on.ca/DoctorDetails/Christine-Melissa-Taylor/0045853-59831","Taylor, Christine Melissa")</f>
        <v>Taylor, Christine Melissa</v>
      </c>
      <c r="B399" s="25" t="s">
        <v>4393</v>
      </c>
      <c r="C399" s="24" t="s">
        <v>2286</v>
      </c>
      <c r="D399" s="24" t="s">
        <v>4394</v>
      </c>
      <c r="E399" s="24" t="s">
        <v>29</v>
      </c>
      <c r="F399" s="24" t="s">
        <v>47</v>
      </c>
      <c r="G399" s="24" t="s">
        <v>31</v>
      </c>
      <c r="H399" s="24" t="s">
        <v>2288</v>
      </c>
      <c r="I399" s="24" t="s">
        <v>4395</v>
      </c>
      <c r="J399" s="24" t="s">
        <v>4396</v>
      </c>
      <c r="K399" s="24" t="s">
        <v>4396</v>
      </c>
      <c r="L399" s="24" t="s">
        <v>52</v>
      </c>
      <c r="M399" s="15"/>
      <c r="N399" s="15"/>
      <c r="O399" s="15"/>
      <c r="P399" s="15" t="s">
        <v>4397</v>
      </c>
      <c r="Q399" s="15" t="s">
        <v>4398</v>
      </c>
      <c r="R399" s="15" t="s">
        <v>4399</v>
      </c>
      <c r="S399" s="24" t="s">
        <v>39</v>
      </c>
      <c r="T399" s="24" t="s">
        <v>39</v>
      </c>
      <c r="U399" s="24" t="s">
        <v>39</v>
      </c>
      <c r="V399" s="24" t="s">
        <v>39</v>
      </c>
      <c r="W399" s="24"/>
      <c r="X399" s="24"/>
      <c r="Y399" s="15"/>
      <c r="Z399" s="15"/>
      <c r="AA399" s="24"/>
      <c r="AB399" s="24"/>
      <c r="AC399" s="24"/>
      <c r="AD399" s="24"/>
      <c r="AE399" s="24"/>
      <c r="AF399" s="24"/>
      <c r="AG399" s="24"/>
      <c r="AH399" s="24"/>
    </row>
    <row r="400" spans="1:34" ht="75" x14ac:dyDescent="0.25">
      <c r="A400" s="24" t="str">
        <f>HYPERLINK("https://www.cpso.on.ca/DoctorDetails/Christopher-Allan-McIntosh/0180502-76569","McIntosh, Christopher Allan")</f>
        <v>McIntosh, Christopher Allan</v>
      </c>
      <c r="B400" s="25" t="s">
        <v>4400</v>
      </c>
      <c r="C400" s="24" t="s">
        <v>1130</v>
      </c>
      <c r="D400" s="24" t="s">
        <v>4401</v>
      </c>
      <c r="E400" s="24" t="s">
        <v>29</v>
      </c>
      <c r="F400" s="24" t="s">
        <v>30</v>
      </c>
      <c r="G400" s="24" t="s">
        <v>31</v>
      </c>
      <c r="H400" s="24" t="s">
        <v>4402</v>
      </c>
      <c r="I400" s="24" t="s">
        <v>4403</v>
      </c>
      <c r="J400" s="24" t="s">
        <v>4404</v>
      </c>
      <c r="K400" s="24" t="s">
        <v>1190</v>
      </c>
      <c r="L400" s="24" t="s">
        <v>52</v>
      </c>
      <c r="M400" s="15" t="s">
        <v>4405</v>
      </c>
      <c r="N400" s="15"/>
      <c r="O400" s="15" t="s">
        <v>4406</v>
      </c>
      <c r="P400" s="15" t="s">
        <v>1149</v>
      </c>
      <c r="Q400" s="15" t="s">
        <v>3063</v>
      </c>
      <c r="R400" s="15" t="s">
        <v>4407</v>
      </c>
      <c r="S400" s="24" t="s">
        <v>39</v>
      </c>
      <c r="T400" s="24" t="s">
        <v>39</v>
      </c>
      <c r="U400" s="24" t="s">
        <v>39</v>
      </c>
      <c r="V400" s="24" t="s">
        <v>39</v>
      </c>
      <c r="W400" s="24" t="s">
        <v>4408</v>
      </c>
      <c r="X400" s="24" t="s">
        <v>4409</v>
      </c>
      <c r="Y400" s="15" t="s">
        <v>4410</v>
      </c>
      <c r="Z400" s="15" t="s">
        <v>4411</v>
      </c>
      <c r="AA400" s="24"/>
      <c r="AB400" s="24"/>
      <c r="AC400" s="24"/>
      <c r="AD400" s="24"/>
      <c r="AE400" s="24"/>
      <c r="AF400" s="24"/>
      <c r="AG400" s="24"/>
      <c r="AH400" s="24"/>
    </row>
    <row r="401" spans="1:34" ht="75" x14ac:dyDescent="0.25">
      <c r="A401" s="24" t="str">
        <f>HYPERLINK("https://www.cpso.on.ca/DoctorDetails/Christopher-Charles-Willer/0242077-86576","Willer, Christopher Charles")</f>
        <v>Willer, Christopher Charles</v>
      </c>
      <c r="B401" s="25" t="s">
        <v>4412</v>
      </c>
      <c r="C401" s="24" t="s">
        <v>4079</v>
      </c>
      <c r="D401" s="24" t="s">
        <v>1594</v>
      </c>
      <c r="E401" s="24" t="s">
        <v>29</v>
      </c>
      <c r="F401" s="24" t="s">
        <v>30</v>
      </c>
      <c r="G401" s="24" t="s">
        <v>31</v>
      </c>
      <c r="H401" s="24" t="s">
        <v>1623</v>
      </c>
      <c r="I401" s="24" t="s">
        <v>4413</v>
      </c>
      <c r="J401" s="24" t="s">
        <v>4414</v>
      </c>
      <c r="K401" s="24" t="s">
        <v>218</v>
      </c>
      <c r="L401" s="24" t="s">
        <v>52</v>
      </c>
      <c r="M401" s="15"/>
      <c r="N401" s="15"/>
      <c r="O401" s="15" t="s">
        <v>219</v>
      </c>
      <c r="P401" s="15" t="s">
        <v>1074</v>
      </c>
      <c r="Q401" s="15" t="s">
        <v>1601</v>
      </c>
      <c r="R401" s="15" t="s">
        <v>4415</v>
      </c>
      <c r="S401" s="24" t="s">
        <v>39</v>
      </c>
      <c r="T401" s="24" t="s">
        <v>39</v>
      </c>
      <c r="U401" s="24" t="s">
        <v>39</v>
      </c>
      <c r="V401" s="24" t="s">
        <v>39</v>
      </c>
      <c r="W401" s="24" t="s">
        <v>4416</v>
      </c>
      <c r="X401" s="24" t="s">
        <v>4417</v>
      </c>
      <c r="Y401" s="15" t="s">
        <v>4418</v>
      </c>
      <c r="Z401" s="15" t="s">
        <v>4419</v>
      </c>
      <c r="AA401" s="24"/>
      <c r="AB401" s="24"/>
      <c r="AC401" s="24"/>
      <c r="AD401" s="24"/>
      <c r="AE401" s="24"/>
      <c r="AF401" s="24"/>
      <c r="AG401" s="24"/>
      <c r="AH401" s="24"/>
    </row>
    <row r="402" spans="1:34" ht="90" x14ac:dyDescent="0.25">
      <c r="A402" s="24" t="str">
        <f>HYPERLINK("https://www.cpso.on.ca/DoctorDetails/Christopher-Gerard-Ryan/0250543-88704","Ryan, Christopher Gerard")</f>
        <v>Ryan, Christopher Gerard</v>
      </c>
      <c r="B402" s="25" t="s">
        <v>4420</v>
      </c>
      <c r="C402" s="24" t="s">
        <v>846</v>
      </c>
      <c r="D402" s="24" t="s">
        <v>4421</v>
      </c>
      <c r="E402" s="24" t="s">
        <v>29</v>
      </c>
      <c r="F402" s="24" t="s">
        <v>30</v>
      </c>
      <c r="G402" s="24" t="s">
        <v>31</v>
      </c>
      <c r="H402" s="24" t="s">
        <v>4422</v>
      </c>
      <c r="I402" s="24" t="s">
        <v>4423</v>
      </c>
      <c r="J402" s="24" t="s">
        <v>3118</v>
      </c>
      <c r="K402" s="24" t="s">
        <v>3119</v>
      </c>
      <c r="L402" s="24" t="s">
        <v>135</v>
      </c>
      <c r="M402" s="15"/>
      <c r="N402" s="15"/>
      <c r="O402" s="15"/>
      <c r="P402" s="15" t="s">
        <v>272</v>
      </c>
      <c r="Q402" s="15" t="s">
        <v>4424</v>
      </c>
      <c r="R402" s="15" t="s">
        <v>4425</v>
      </c>
      <c r="S402" s="24" t="s">
        <v>39</v>
      </c>
      <c r="T402" s="24" t="s">
        <v>39</v>
      </c>
      <c r="U402" s="24" t="s">
        <v>39</v>
      </c>
      <c r="V402" s="24" t="s">
        <v>39</v>
      </c>
      <c r="W402" s="24" t="s">
        <v>4426</v>
      </c>
      <c r="X402" s="24" t="s">
        <v>4427</v>
      </c>
      <c r="Y402" s="15" t="s">
        <v>4428</v>
      </c>
      <c r="Z402" s="15" t="s">
        <v>4429</v>
      </c>
      <c r="AA402" s="24"/>
      <c r="AB402" s="24"/>
      <c r="AC402" s="24"/>
      <c r="AD402" s="24"/>
      <c r="AE402" s="24"/>
      <c r="AF402" s="24"/>
      <c r="AG402" s="24"/>
      <c r="AH402" s="24"/>
    </row>
    <row r="403" spans="1:34" ht="75" x14ac:dyDescent="0.25">
      <c r="A403" s="24" t="str">
        <f>HYPERLINK("https://www.cpso.on.ca/DoctorDetails/Christopher-HokHoi-Tam/0191222-77986","Tam, Christopher Hok-Hoi")</f>
        <v>Tam, Christopher Hok-Hoi</v>
      </c>
      <c r="B403" s="25" t="s">
        <v>4430</v>
      </c>
      <c r="C403" s="24" t="s">
        <v>4431</v>
      </c>
      <c r="D403" s="24" t="s">
        <v>4432</v>
      </c>
      <c r="E403" s="24" t="s">
        <v>29</v>
      </c>
      <c r="F403" s="24" t="s">
        <v>30</v>
      </c>
      <c r="G403" s="24" t="s">
        <v>31</v>
      </c>
      <c r="H403" s="24" t="s">
        <v>4433</v>
      </c>
      <c r="I403" s="24" t="s">
        <v>3587</v>
      </c>
      <c r="J403" s="24" t="s">
        <v>4434</v>
      </c>
      <c r="K403" s="24" t="s">
        <v>4435</v>
      </c>
      <c r="L403" s="24" t="s">
        <v>36</v>
      </c>
      <c r="M403" s="15"/>
      <c r="N403" s="15"/>
      <c r="O403" s="15" t="s">
        <v>4436</v>
      </c>
      <c r="P403" s="15" t="s">
        <v>488</v>
      </c>
      <c r="Q403" s="15" t="s">
        <v>489</v>
      </c>
      <c r="R403" s="15" t="s">
        <v>4437</v>
      </c>
      <c r="S403" s="24" t="s">
        <v>39</v>
      </c>
      <c r="T403" s="24" t="s">
        <v>39</v>
      </c>
      <c r="U403" s="24" t="s">
        <v>39</v>
      </c>
      <c r="V403" s="24" t="s">
        <v>39</v>
      </c>
      <c r="W403" s="24"/>
      <c r="X403" s="24"/>
      <c r="Y403" s="15"/>
      <c r="Z403" s="15"/>
      <c r="AA403" s="24"/>
      <c r="AB403" s="24"/>
      <c r="AC403" s="24"/>
      <c r="AD403" s="24"/>
      <c r="AE403" s="24"/>
      <c r="AF403" s="24"/>
      <c r="AG403" s="24"/>
      <c r="AH403" s="24"/>
    </row>
    <row r="404" spans="1:34" ht="135" x14ac:dyDescent="0.25">
      <c r="A404" s="24" t="str">
        <f>HYPERLINK("https://www.cpso.on.ca/DoctorDetails/Christopher-James-Rae/0169024-74960","Rae, Christopher James")</f>
        <v>Rae, Christopher James</v>
      </c>
      <c r="B404" s="25" t="s">
        <v>4438</v>
      </c>
      <c r="C404" s="24" t="s">
        <v>4439</v>
      </c>
      <c r="D404" s="24" t="s">
        <v>4440</v>
      </c>
      <c r="E404" s="24" t="s">
        <v>29</v>
      </c>
      <c r="F404" s="24" t="s">
        <v>30</v>
      </c>
      <c r="G404" s="24" t="s">
        <v>31</v>
      </c>
      <c r="H404" s="24" t="s">
        <v>3333</v>
      </c>
      <c r="I404" s="24" t="s">
        <v>4441</v>
      </c>
      <c r="J404" s="24" t="s">
        <v>3166</v>
      </c>
      <c r="K404" s="24" t="s">
        <v>4442</v>
      </c>
      <c r="L404" s="24" t="s">
        <v>84</v>
      </c>
      <c r="M404" s="15" t="s">
        <v>4443</v>
      </c>
      <c r="N404" s="15"/>
      <c r="O404" s="15" t="s">
        <v>4444</v>
      </c>
      <c r="P404" s="15" t="s">
        <v>4445</v>
      </c>
      <c r="Q404" s="15" t="s">
        <v>4446</v>
      </c>
      <c r="R404" s="15" t="s">
        <v>4447</v>
      </c>
      <c r="S404" s="24" t="s">
        <v>39</v>
      </c>
      <c r="T404" s="24" t="s">
        <v>39</v>
      </c>
      <c r="U404" s="24" t="s">
        <v>39</v>
      </c>
      <c r="V404" s="24" t="s">
        <v>39</v>
      </c>
      <c r="W404" s="24" t="s">
        <v>4448</v>
      </c>
      <c r="X404" s="24" t="s">
        <v>4449</v>
      </c>
      <c r="Y404" s="15" t="s">
        <v>4450</v>
      </c>
      <c r="Z404" s="15" t="s">
        <v>4451</v>
      </c>
      <c r="AA404" s="24"/>
      <c r="AB404" s="24"/>
      <c r="AC404" s="24"/>
      <c r="AD404" s="24"/>
      <c r="AE404" s="24"/>
      <c r="AF404" s="24"/>
      <c r="AG404" s="24"/>
      <c r="AH404" s="24"/>
    </row>
    <row r="405" spans="1:34" ht="135" x14ac:dyDescent="0.25">
      <c r="A405" s="24" t="str">
        <f>HYPERLINK("https://www.cpso.on.ca/DoctorDetails/Christopher-John-Eaton/0183487-76276","Eaton, Christopher John")</f>
        <v>Eaton, Christopher John</v>
      </c>
      <c r="B405" s="25" t="s">
        <v>4452</v>
      </c>
      <c r="C405" s="24" t="s">
        <v>4453</v>
      </c>
      <c r="D405" s="24" t="s">
        <v>4454</v>
      </c>
      <c r="E405" s="24" t="s">
        <v>29</v>
      </c>
      <c r="F405" s="24" t="s">
        <v>30</v>
      </c>
      <c r="G405" s="24" t="s">
        <v>813</v>
      </c>
      <c r="H405" s="24" t="s">
        <v>4455</v>
      </c>
      <c r="I405" s="24" t="s">
        <v>107</v>
      </c>
      <c r="J405" s="24"/>
      <c r="K405" s="24"/>
      <c r="L405" s="24"/>
      <c r="M405" s="15"/>
      <c r="N405" s="15"/>
      <c r="O405" s="15"/>
      <c r="P405" s="15" t="s">
        <v>1149</v>
      </c>
      <c r="Q405" s="15" t="s">
        <v>4456</v>
      </c>
      <c r="R405" s="15" t="s">
        <v>4457</v>
      </c>
      <c r="S405" s="24" t="s">
        <v>71</v>
      </c>
      <c r="T405" s="24" t="s">
        <v>39</v>
      </c>
      <c r="U405" s="24" t="s">
        <v>39</v>
      </c>
      <c r="V405" s="24" t="s">
        <v>71</v>
      </c>
      <c r="W405" s="24" t="s">
        <v>4458</v>
      </c>
      <c r="X405" s="24" t="s">
        <v>4459</v>
      </c>
      <c r="Y405" s="15"/>
      <c r="Z405" s="15"/>
      <c r="AA405" s="24"/>
      <c r="AB405" s="24"/>
      <c r="AC405" s="24"/>
      <c r="AD405" s="24"/>
      <c r="AE405" s="24"/>
      <c r="AF405" s="24"/>
      <c r="AG405" s="24"/>
      <c r="AH405" s="24"/>
    </row>
    <row r="406" spans="1:34" ht="90" x14ac:dyDescent="0.25">
      <c r="A406" s="24" t="str">
        <f>HYPERLINK("https://www.cpso.on.ca/DoctorDetails/Christopher-Kitamura/0273228-95949","Kitamura, Christopher")</f>
        <v>Kitamura, Christopher</v>
      </c>
      <c r="B406" s="25" t="s">
        <v>4460</v>
      </c>
      <c r="C406" s="24" t="s">
        <v>1266</v>
      </c>
      <c r="D406" s="24" t="s">
        <v>967</v>
      </c>
      <c r="E406" s="24" t="s">
        <v>29</v>
      </c>
      <c r="F406" s="24" t="s">
        <v>30</v>
      </c>
      <c r="G406" s="24" t="s">
        <v>31</v>
      </c>
      <c r="H406" s="24" t="s">
        <v>4461</v>
      </c>
      <c r="I406" s="24" t="s">
        <v>4462</v>
      </c>
      <c r="J406" s="24" t="s">
        <v>4463</v>
      </c>
      <c r="K406" s="24" t="s">
        <v>4464</v>
      </c>
      <c r="L406" s="24" t="s">
        <v>52</v>
      </c>
      <c r="M406" s="15" t="s">
        <v>4465</v>
      </c>
      <c r="N406" s="15"/>
      <c r="O406" s="15" t="s">
        <v>4466</v>
      </c>
      <c r="P406" s="15" t="s">
        <v>973</v>
      </c>
      <c r="Q406" s="15" t="s">
        <v>4467</v>
      </c>
      <c r="R406" s="15" t="s">
        <v>4059</v>
      </c>
      <c r="S406" s="24" t="s">
        <v>39</v>
      </c>
      <c r="T406" s="24" t="s">
        <v>39</v>
      </c>
      <c r="U406" s="24" t="s">
        <v>39</v>
      </c>
      <c r="V406" s="24" t="s">
        <v>39</v>
      </c>
      <c r="W406" s="24"/>
      <c r="X406" s="24"/>
      <c r="Y406" s="15"/>
      <c r="Z406" s="15"/>
      <c r="AA406" s="24"/>
      <c r="AB406" s="24"/>
      <c r="AC406" s="24"/>
      <c r="AD406" s="24"/>
      <c r="AE406" s="24"/>
      <c r="AF406" s="24"/>
      <c r="AG406" s="24"/>
      <c r="AH406" s="24"/>
    </row>
    <row r="407" spans="1:34" ht="30" x14ac:dyDescent="0.25">
      <c r="A407" s="24" t="str">
        <f>HYPERLINK("https://www.cpso.on.ca/DoctorDetails/Christopher-Mark-Olive/0047442-61420","Olive, Christopher Mark")</f>
        <v>Olive, Christopher Mark</v>
      </c>
      <c r="B407" s="25" t="s">
        <v>4468</v>
      </c>
      <c r="C407" s="24" t="s">
        <v>2629</v>
      </c>
      <c r="D407" s="24" t="s">
        <v>4469</v>
      </c>
      <c r="E407" s="24" t="s">
        <v>29</v>
      </c>
      <c r="F407" s="24" t="s">
        <v>30</v>
      </c>
      <c r="G407" s="24" t="s">
        <v>31</v>
      </c>
      <c r="H407" s="24" t="s">
        <v>4470</v>
      </c>
      <c r="I407" s="24" t="s">
        <v>4471</v>
      </c>
      <c r="J407" s="24" t="s">
        <v>4472</v>
      </c>
      <c r="K407" s="24" t="s">
        <v>4473</v>
      </c>
      <c r="L407" s="24" t="s">
        <v>52</v>
      </c>
      <c r="M407" s="15"/>
      <c r="N407" s="15"/>
      <c r="O407" s="15" t="s">
        <v>793</v>
      </c>
      <c r="P407" s="15" t="s">
        <v>2293</v>
      </c>
      <c r="Q407" s="15" t="s">
        <v>2634</v>
      </c>
      <c r="R407" s="15" t="s">
        <v>4474</v>
      </c>
      <c r="S407" s="24" t="s">
        <v>39</v>
      </c>
      <c r="T407" s="24" t="s">
        <v>39</v>
      </c>
      <c r="U407" s="24" t="s">
        <v>39</v>
      </c>
      <c r="V407" s="24" t="s">
        <v>39</v>
      </c>
      <c r="W407" s="24"/>
      <c r="X407" s="24"/>
      <c r="Y407" s="15"/>
      <c r="Z407" s="15"/>
      <c r="AA407" s="24"/>
      <c r="AB407" s="24"/>
      <c r="AC407" s="24"/>
      <c r="AD407" s="24"/>
      <c r="AE407" s="24"/>
      <c r="AF407" s="24"/>
      <c r="AG407" s="24"/>
      <c r="AH407" s="24"/>
    </row>
    <row r="408" spans="1:34" ht="75" x14ac:dyDescent="0.25">
      <c r="A408" s="24" t="str">
        <f>HYPERLINK("https://www.cpso.on.ca/DoctorDetails/Christopher-Matthew-RichardsBentley/0273215-95411","Richards-Bentley, Christopher Matthew")</f>
        <v>Richards-Bentley, Christopher Matthew</v>
      </c>
      <c r="B408" s="25" t="s">
        <v>4475</v>
      </c>
      <c r="C408" s="24" t="s">
        <v>1266</v>
      </c>
      <c r="D408" s="24" t="s">
        <v>967</v>
      </c>
      <c r="E408" s="24" t="s">
        <v>29</v>
      </c>
      <c r="F408" s="24" t="s">
        <v>30</v>
      </c>
      <c r="G408" s="24" t="s">
        <v>31</v>
      </c>
      <c r="H408" s="24" t="s">
        <v>4476</v>
      </c>
      <c r="I408" s="24" t="s">
        <v>4477</v>
      </c>
      <c r="J408" s="24" t="s">
        <v>4478</v>
      </c>
      <c r="K408" s="24" t="s">
        <v>1493</v>
      </c>
      <c r="L408" s="24" t="s">
        <v>52</v>
      </c>
      <c r="M408" s="15" t="s">
        <v>4479</v>
      </c>
      <c r="N408" s="15"/>
      <c r="O408" s="15" t="s">
        <v>793</v>
      </c>
      <c r="P408" s="15" t="s">
        <v>973</v>
      </c>
      <c r="Q408" s="15" t="s">
        <v>4058</v>
      </c>
      <c r="R408" s="15" t="s">
        <v>4059</v>
      </c>
      <c r="S408" s="24" t="s">
        <v>39</v>
      </c>
      <c r="T408" s="24" t="s">
        <v>39</v>
      </c>
      <c r="U408" s="24" t="s">
        <v>39</v>
      </c>
      <c r="V408" s="24" t="s">
        <v>39</v>
      </c>
      <c r="W408" s="24"/>
      <c r="X408" s="24"/>
      <c r="Y408" s="15"/>
      <c r="Z408" s="15"/>
      <c r="AA408" s="24"/>
      <c r="AB408" s="24"/>
      <c r="AC408" s="24"/>
      <c r="AD408" s="24"/>
      <c r="AE408" s="24"/>
      <c r="AF408" s="24"/>
      <c r="AG408" s="24"/>
      <c r="AH408" s="24"/>
    </row>
    <row r="409" spans="1:34" ht="30" x14ac:dyDescent="0.25">
      <c r="A409" s="24" t="str">
        <f>HYPERLINK("https://www.cpso.on.ca/DoctorDetails/Christopher-Steven-Bryniak/0300808-105429","Bryniak, Christopher Steven")</f>
        <v>Bryniak, Christopher Steven</v>
      </c>
      <c r="B409" s="25" t="s">
        <v>4480</v>
      </c>
      <c r="C409" s="24" t="s">
        <v>4481</v>
      </c>
      <c r="D409" s="24" t="s">
        <v>4482</v>
      </c>
      <c r="E409" s="24" t="s">
        <v>29</v>
      </c>
      <c r="F409" s="24" t="s">
        <v>30</v>
      </c>
      <c r="G409" s="24" t="s">
        <v>31</v>
      </c>
      <c r="H409" s="24" t="s">
        <v>4483</v>
      </c>
      <c r="I409" s="24" t="s">
        <v>4484</v>
      </c>
      <c r="J409" s="24" t="s">
        <v>3661</v>
      </c>
      <c r="K409" s="24"/>
      <c r="L409" s="24" t="s">
        <v>152</v>
      </c>
      <c r="M409" s="15"/>
      <c r="N409" s="15" t="s">
        <v>4485</v>
      </c>
      <c r="O409" s="15" t="s">
        <v>1539</v>
      </c>
      <c r="P409" s="15" t="s">
        <v>4486</v>
      </c>
      <c r="Q409" s="15"/>
      <c r="R409" s="15" t="s">
        <v>4487</v>
      </c>
      <c r="S409" s="24" t="s">
        <v>39</v>
      </c>
      <c r="T409" s="24" t="s">
        <v>39</v>
      </c>
      <c r="U409" s="24" t="s">
        <v>39</v>
      </c>
      <c r="V409" s="24" t="s">
        <v>39</v>
      </c>
      <c r="W409" s="24" t="s">
        <v>4488</v>
      </c>
      <c r="X409" s="24" t="s">
        <v>4489</v>
      </c>
      <c r="Y409" s="15" t="s">
        <v>4490</v>
      </c>
      <c r="Z409" s="15" t="s">
        <v>4491</v>
      </c>
      <c r="AA409" s="24"/>
      <c r="AB409" s="24"/>
      <c r="AC409" s="24"/>
      <c r="AD409" s="24"/>
      <c r="AE409" s="24"/>
      <c r="AF409" s="24"/>
      <c r="AG409" s="24"/>
      <c r="AH409" s="24"/>
    </row>
    <row r="410" spans="1:34" ht="30" x14ac:dyDescent="0.25">
      <c r="A410" s="24" t="str">
        <f>HYPERLINK("https://www.cpso.on.ca/DoctorDetails/Christos-Soulios/0040201-54177","Soulios, Christos")</f>
        <v>Soulios, Christos</v>
      </c>
      <c r="B410" s="25" t="s">
        <v>4492</v>
      </c>
      <c r="C410" s="24" t="s">
        <v>704</v>
      </c>
      <c r="D410" s="24" t="s">
        <v>4493</v>
      </c>
      <c r="E410" s="24" t="s">
        <v>29</v>
      </c>
      <c r="F410" s="24" t="s">
        <v>30</v>
      </c>
      <c r="G410" s="24" t="s">
        <v>4494</v>
      </c>
      <c r="H410" s="24" t="s">
        <v>4495</v>
      </c>
      <c r="I410" s="24" t="s">
        <v>4496</v>
      </c>
      <c r="J410" s="24" t="s">
        <v>4497</v>
      </c>
      <c r="K410" s="24" t="s">
        <v>4498</v>
      </c>
      <c r="L410" s="24" t="s">
        <v>52</v>
      </c>
      <c r="M410" s="15"/>
      <c r="N410" s="15"/>
      <c r="O410" s="15" t="s">
        <v>1191</v>
      </c>
      <c r="P410" s="15" t="s">
        <v>4499</v>
      </c>
      <c r="Q410" s="15" t="s">
        <v>4500</v>
      </c>
      <c r="R410" s="15" t="s">
        <v>4501</v>
      </c>
      <c r="S410" s="24" t="s">
        <v>39</v>
      </c>
      <c r="T410" s="24" t="s">
        <v>39</v>
      </c>
      <c r="U410" s="24" t="s">
        <v>39</v>
      </c>
      <c r="V410" s="24" t="s">
        <v>39</v>
      </c>
      <c r="W410" s="24"/>
      <c r="X410" s="24"/>
      <c r="Y410" s="15"/>
      <c r="Z410" s="15"/>
      <c r="AA410" s="24"/>
      <c r="AB410" s="24"/>
      <c r="AC410" s="24"/>
      <c r="AD410" s="24"/>
      <c r="AE410" s="24"/>
      <c r="AF410" s="24"/>
      <c r="AG410" s="24"/>
      <c r="AH410" s="24"/>
    </row>
    <row r="411" spans="1:34" ht="150" x14ac:dyDescent="0.25">
      <c r="A411" s="24" t="str">
        <f>HYPERLINK("https://www.cpso.on.ca/DoctorDetails/Cinda-Robin-Dyer/0040091-54067","Dyer, Cinda Robin")</f>
        <v>Dyer, Cinda Robin</v>
      </c>
      <c r="B411" s="25" t="s">
        <v>4502</v>
      </c>
      <c r="C411" s="24" t="s">
        <v>3450</v>
      </c>
      <c r="D411" s="24" t="s">
        <v>4503</v>
      </c>
      <c r="E411" s="24" t="s">
        <v>29</v>
      </c>
      <c r="F411" s="24" t="s">
        <v>47</v>
      </c>
      <c r="G411" s="24" t="s">
        <v>31</v>
      </c>
      <c r="H411" s="24" t="s">
        <v>3452</v>
      </c>
      <c r="I411" s="24" t="s">
        <v>4504</v>
      </c>
      <c r="J411" s="24" t="s">
        <v>4505</v>
      </c>
      <c r="K411" s="24" t="s">
        <v>4506</v>
      </c>
      <c r="L411" s="24" t="s">
        <v>52</v>
      </c>
      <c r="M411" s="15"/>
      <c r="N411" s="15"/>
      <c r="O411" s="15"/>
      <c r="P411" s="15" t="s">
        <v>4507</v>
      </c>
      <c r="Q411" s="15" t="s">
        <v>4508</v>
      </c>
      <c r="R411" s="15" t="s">
        <v>4509</v>
      </c>
      <c r="S411" s="24" t="s">
        <v>39</v>
      </c>
      <c r="T411" s="24" t="s">
        <v>39</v>
      </c>
      <c r="U411" s="24" t="s">
        <v>39</v>
      </c>
      <c r="V411" s="24" t="s">
        <v>39</v>
      </c>
      <c r="W411" s="24"/>
      <c r="X411" s="24"/>
      <c r="Y411" s="15"/>
      <c r="Z411" s="15"/>
      <c r="AA411" s="24"/>
      <c r="AB411" s="24"/>
      <c r="AC411" s="24"/>
      <c r="AD411" s="24"/>
      <c r="AE411" s="24"/>
      <c r="AF411" s="24"/>
      <c r="AG411" s="24"/>
      <c r="AH411" s="24"/>
    </row>
    <row r="412" spans="1:34" ht="105" x14ac:dyDescent="0.25">
      <c r="A412" s="24" t="str">
        <f>HYPERLINK("https://www.cpso.on.ca/DoctorDetails/Cindy-Joanne-Grief/0057511-69099","Grief, Cindy Joanne")</f>
        <v>Grief, Cindy Joanne</v>
      </c>
      <c r="B412" s="25" t="s">
        <v>4510</v>
      </c>
      <c r="C412" s="24" t="s">
        <v>3831</v>
      </c>
      <c r="D412" s="24" t="s">
        <v>214</v>
      </c>
      <c r="E412" s="24" t="s">
        <v>29</v>
      </c>
      <c r="F412" s="24" t="s">
        <v>47</v>
      </c>
      <c r="G412" s="24" t="s">
        <v>31</v>
      </c>
      <c r="H412" s="24" t="s">
        <v>4511</v>
      </c>
      <c r="I412" s="24" t="s">
        <v>4512</v>
      </c>
      <c r="J412" s="24" t="s">
        <v>4513</v>
      </c>
      <c r="K412" s="24" t="s">
        <v>3920</v>
      </c>
      <c r="L412" s="24" t="s">
        <v>52</v>
      </c>
      <c r="M412" s="15"/>
      <c r="N412" s="15"/>
      <c r="O412" s="15" t="s">
        <v>3921</v>
      </c>
      <c r="P412" s="15" t="s">
        <v>1343</v>
      </c>
      <c r="Q412" s="15" t="s">
        <v>4514</v>
      </c>
      <c r="R412" s="15" t="s">
        <v>3839</v>
      </c>
      <c r="S412" s="24" t="s">
        <v>39</v>
      </c>
      <c r="T412" s="24" t="s">
        <v>39</v>
      </c>
      <c r="U412" s="24" t="s">
        <v>39</v>
      </c>
      <c r="V412" s="24" t="s">
        <v>39</v>
      </c>
      <c r="W412" s="24" t="s">
        <v>4515</v>
      </c>
      <c r="X412" s="24" t="s">
        <v>4516</v>
      </c>
      <c r="Y412" s="15" t="s">
        <v>4517</v>
      </c>
      <c r="Z412" s="15" t="s">
        <v>4518</v>
      </c>
      <c r="AA412" s="24"/>
      <c r="AB412" s="24"/>
      <c r="AC412" s="24"/>
      <c r="AD412" s="24"/>
      <c r="AE412" s="24"/>
      <c r="AF412" s="24"/>
      <c r="AG412" s="24"/>
      <c r="AH412" s="24"/>
    </row>
    <row r="413" spans="1:34" ht="135" x14ac:dyDescent="0.25">
      <c r="A413" s="24" t="str">
        <f>HYPERLINK("https://www.cpso.on.ca/DoctorDetails/Cintia-Vontobel-Padoin/0233270-85511","Padoin, Cintia Vontobel")</f>
        <v>Padoin, Cintia Vontobel</v>
      </c>
      <c r="B413" s="25" t="s">
        <v>4519</v>
      </c>
      <c r="C413" s="24" t="s">
        <v>4520</v>
      </c>
      <c r="D413" s="24" t="s">
        <v>4521</v>
      </c>
      <c r="E413" s="24" t="s">
        <v>29</v>
      </c>
      <c r="F413" s="24" t="s">
        <v>47</v>
      </c>
      <c r="G413" s="24" t="s">
        <v>468</v>
      </c>
      <c r="H413" s="24" t="s">
        <v>4522</v>
      </c>
      <c r="I413" s="24" t="s">
        <v>4523</v>
      </c>
      <c r="J413" s="24" t="s">
        <v>4524</v>
      </c>
      <c r="K413" s="24" t="s">
        <v>4525</v>
      </c>
      <c r="L413" s="24" t="s">
        <v>52</v>
      </c>
      <c r="M413" s="15"/>
      <c r="N413" s="15" t="s">
        <v>1560</v>
      </c>
      <c r="O413" s="15" t="s">
        <v>1110</v>
      </c>
      <c r="P413" s="15" t="s">
        <v>4526</v>
      </c>
      <c r="Q413" s="15" t="s">
        <v>4527</v>
      </c>
      <c r="R413" s="15" t="s">
        <v>4528</v>
      </c>
      <c r="S413" s="24" t="s">
        <v>39</v>
      </c>
      <c r="T413" s="24" t="s">
        <v>39</v>
      </c>
      <c r="U413" s="24" t="s">
        <v>39</v>
      </c>
      <c r="V413" s="24" t="s">
        <v>39</v>
      </c>
      <c r="W413" s="24" t="s">
        <v>4529</v>
      </c>
      <c r="X413" s="24" t="s">
        <v>4530</v>
      </c>
      <c r="Y413" s="15" t="s">
        <v>4531</v>
      </c>
      <c r="Z413" s="15" t="s">
        <v>4532</v>
      </c>
      <c r="AA413" s="24"/>
      <c r="AB413" s="24"/>
      <c r="AC413" s="24"/>
      <c r="AD413" s="24"/>
      <c r="AE413" s="24"/>
      <c r="AF413" s="24"/>
      <c r="AG413" s="24"/>
      <c r="AH413" s="24"/>
    </row>
    <row r="414" spans="1:34" ht="90" x14ac:dyDescent="0.25">
      <c r="A414" s="24" t="str">
        <f>HYPERLINK("https://www.cpso.on.ca/DoctorDetails/Claire--Margaret-Harrigan/0273208-95605","Harrigan, Claire  Margaret")</f>
        <v>Harrigan, Claire  Margaret</v>
      </c>
      <c r="B414" s="25" t="s">
        <v>4533</v>
      </c>
      <c r="C414" s="24" t="s">
        <v>1266</v>
      </c>
      <c r="D414" s="24" t="s">
        <v>4534</v>
      </c>
      <c r="E414" s="24" t="s">
        <v>29</v>
      </c>
      <c r="F414" s="24" t="s">
        <v>47</v>
      </c>
      <c r="G414" s="24" t="s">
        <v>31</v>
      </c>
      <c r="H414" s="24" t="s">
        <v>4461</v>
      </c>
      <c r="I414" s="24" t="s">
        <v>4535</v>
      </c>
      <c r="J414" s="24" t="s">
        <v>4536</v>
      </c>
      <c r="K414" s="24"/>
      <c r="L414" s="24" t="s">
        <v>36</v>
      </c>
      <c r="M414" s="15"/>
      <c r="N414" s="15"/>
      <c r="O414" s="15" t="s">
        <v>3590</v>
      </c>
      <c r="P414" s="15" t="s">
        <v>973</v>
      </c>
      <c r="Q414" s="15" t="s">
        <v>4537</v>
      </c>
      <c r="R414" s="15" t="s">
        <v>4538</v>
      </c>
      <c r="S414" s="24" t="s">
        <v>39</v>
      </c>
      <c r="T414" s="24" t="s">
        <v>39</v>
      </c>
      <c r="U414" s="24" t="s">
        <v>39</v>
      </c>
      <c r="V414" s="24" t="s">
        <v>39</v>
      </c>
      <c r="W414" s="24" t="s">
        <v>4539</v>
      </c>
      <c r="X414" s="24" t="s">
        <v>2225</v>
      </c>
      <c r="Y414" s="15" t="s">
        <v>4540</v>
      </c>
      <c r="Z414" s="15" t="s">
        <v>4541</v>
      </c>
      <c r="AA414" s="24"/>
      <c r="AB414" s="24"/>
      <c r="AC414" s="24"/>
      <c r="AD414" s="24"/>
      <c r="AE414" s="24"/>
      <c r="AF414" s="24"/>
      <c r="AG414" s="24"/>
      <c r="AH414" s="24"/>
    </row>
    <row r="415" spans="1:34" ht="120" x14ac:dyDescent="0.25">
      <c r="A415" s="24" t="str">
        <f>HYPERLINK("https://www.cpso.on.ca/DoctorDetails/Claire-Fantus/0265700-93721","Fantus, Claire")</f>
        <v>Fantus, Claire</v>
      </c>
      <c r="B415" s="25" t="s">
        <v>4542</v>
      </c>
      <c r="C415" s="24" t="s">
        <v>4543</v>
      </c>
      <c r="D415" s="24" t="s">
        <v>4544</v>
      </c>
      <c r="E415" s="24" t="s">
        <v>29</v>
      </c>
      <c r="F415" s="24" t="s">
        <v>47</v>
      </c>
      <c r="G415" s="24" t="s">
        <v>31</v>
      </c>
      <c r="H415" s="24" t="s">
        <v>4545</v>
      </c>
      <c r="I415" s="24" t="s">
        <v>3204</v>
      </c>
      <c r="J415" s="24" t="s">
        <v>4546</v>
      </c>
      <c r="K415" s="24"/>
      <c r="L415" s="24" t="s">
        <v>340</v>
      </c>
      <c r="M415" s="15"/>
      <c r="N415" s="15"/>
      <c r="O415" s="15" t="s">
        <v>2059</v>
      </c>
      <c r="P415" s="15" t="s">
        <v>629</v>
      </c>
      <c r="Q415" s="15" t="s">
        <v>4547</v>
      </c>
      <c r="R415" s="15" t="s">
        <v>4548</v>
      </c>
      <c r="S415" s="24" t="s">
        <v>39</v>
      </c>
      <c r="T415" s="24" t="s">
        <v>39</v>
      </c>
      <c r="U415" s="24" t="s">
        <v>39</v>
      </c>
      <c r="V415" s="24" t="s">
        <v>39</v>
      </c>
      <c r="W415" s="24" t="s">
        <v>4549</v>
      </c>
      <c r="X415" s="24" t="s">
        <v>477</v>
      </c>
      <c r="Y415" s="15" t="s">
        <v>4550</v>
      </c>
      <c r="Z415" s="15" t="s">
        <v>4283</v>
      </c>
      <c r="AA415" s="24"/>
      <c r="AB415" s="24"/>
      <c r="AC415" s="24"/>
      <c r="AD415" s="24"/>
      <c r="AE415" s="24"/>
      <c r="AF415" s="24"/>
      <c r="AG415" s="24"/>
      <c r="AH415" s="24"/>
    </row>
    <row r="416" spans="1:34" ht="75" x14ac:dyDescent="0.25">
      <c r="A416" s="24" t="str">
        <f>HYPERLINK("https://www.cpso.on.ca/DoctorDetails/Claire-Michelle-De-Souza/0139617-71382","De Souza, Claire Michelle")</f>
        <v>De Souza, Claire Michelle</v>
      </c>
      <c r="B416" s="25" t="s">
        <v>4551</v>
      </c>
      <c r="C416" s="24" t="s">
        <v>1390</v>
      </c>
      <c r="D416" s="24" t="s">
        <v>1391</v>
      </c>
      <c r="E416" s="24" t="s">
        <v>29</v>
      </c>
      <c r="F416" s="24" t="s">
        <v>47</v>
      </c>
      <c r="G416" s="24" t="s">
        <v>31</v>
      </c>
      <c r="H416" s="24" t="s">
        <v>1864</v>
      </c>
      <c r="I416" s="24" t="s">
        <v>4552</v>
      </c>
      <c r="J416" s="24" t="s">
        <v>4553</v>
      </c>
      <c r="K416" s="24" t="s">
        <v>119</v>
      </c>
      <c r="L416" s="24" t="s">
        <v>52</v>
      </c>
      <c r="M416" s="15"/>
      <c r="N416" s="15"/>
      <c r="O416" s="15" t="s">
        <v>121</v>
      </c>
      <c r="P416" s="15" t="s">
        <v>1398</v>
      </c>
      <c r="Q416" s="15" t="s">
        <v>3693</v>
      </c>
      <c r="R416" s="15" t="s">
        <v>1400</v>
      </c>
      <c r="S416" s="24" t="s">
        <v>39</v>
      </c>
      <c r="T416" s="24" t="s">
        <v>39</v>
      </c>
      <c r="U416" s="24" t="s">
        <v>39</v>
      </c>
      <c r="V416" s="24" t="s">
        <v>39</v>
      </c>
      <c r="W416" s="24"/>
      <c r="X416" s="24"/>
      <c r="Y416" s="15"/>
      <c r="Z416" s="15"/>
      <c r="AA416" s="24"/>
      <c r="AB416" s="24"/>
      <c r="AC416" s="24"/>
      <c r="AD416" s="24"/>
      <c r="AE416" s="24"/>
      <c r="AF416" s="24"/>
      <c r="AG416" s="24"/>
      <c r="AH416" s="24"/>
    </row>
    <row r="417" spans="1:34" ht="60" x14ac:dyDescent="0.25">
      <c r="A417" s="24" t="str">
        <f>HYPERLINK("https://www.cpso.on.ca/DoctorDetails/Clara-Teresa-Cebrian/0048056-62034","Cebrian, Clara Teresa")</f>
        <v>Cebrian, Clara Teresa</v>
      </c>
      <c r="B417" s="25" t="s">
        <v>4554</v>
      </c>
      <c r="C417" s="24" t="s">
        <v>1157</v>
      </c>
      <c r="D417" s="24" t="s">
        <v>4555</v>
      </c>
      <c r="E417" s="24" t="s">
        <v>29</v>
      </c>
      <c r="F417" s="24" t="s">
        <v>47</v>
      </c>
      <c r="G417" s="24" t="s">
        <v>31</v>
      </c>
      <c r="H417" s="24" t="s">
        <v>1159</v>
      </c>
      <c r="I417" s="24" t="s">
        <v>4556</v>
      </c>
      <c r="J417" s="24" t="s">
        <v>4557</v>
      </c>
      <c r="K417" s="24" t="s">
        <v>4558</v>
      </c>
      <c r="L417" s="24" t="s">
        <v>184</v>
      </c>
      <c r="M417" s="15"/>
      <c r="N417" s="15"/>
      <c r="O417" s="15" t="s">
        <v>726</v>
      </c>
      <c r="P417" s="15" t="s">
        <v>4559</v>
      </c>
      <c r="Q417" s="15" t="s">
        <v>4560</v>
      </c>
      <c r="R417" s="15" t="s">
        <v>4561</v>
      </c>
      <c r="S417" s="24" t="s">
        <v>39</v>
      </c>
      <c r="T417" s="24" t="s">
        <v>39</v>
      </c>
      <c r="U417" s="24" t="s">
        <v>39</v>
      </c>
      <c r="V417" s="24" t="s">
        <v>39</v>
      </c>
      <c r="W417" s="24" t="s">
        <v>4562</v>
      </c>
      <c r="X417" s="24" t="s">
        <v>2140</v>
      </c>
      <c r="Y417" s="15" t="s">
        <v>4563</v>
      </c>
      <c r="Z417" s="15" t="s">
        <v>4564</v>
      </c>
      <c r="AA417" s="24"/>
      <c r="AB417" s="24"/>
      <c r="AC417" s="24"/>
      <c r="AD417" s="24"/>
      <c r="AE417" s="24"/>
      <c r="AF417" s="24"/>
      <c r="AG417" s="24"/>
      <c r="AH417" s="24"/>
    </row>
    <row r="418" spans="1:34" ht="75" x14ac:dyDescent="0.25">
      <c r="A418" s="24" t="str">
        <f>HYPERLINK("https://www.cpso.on.ca/DoctorDetails/Clare-Elisabeth-Gray/0045725-59703","Gray, Clare Elisabeth")</f>
        <v>Gray, Clare Elisabeth</v>
      </c>
      <c r="B418" s="25" t="s">
        <v>4565</v>
      </c>
      <c r="C418" s="24" t="s">
        <v>3282</v>
      </c>
      <c r="D418" s="24" t="s">
        <v>4566</v>
      </c>
      <c r="E418" s="24" t="s">
        <v>4567</v>
      </c>
      <c r="F418" s="24" t="s">
        <v>47</v>
      </c>
      <c r="G418" s="24" t="s">
        <v>31</v>
      </c>
      <c r="H418" s="24" t="s">
        <v>4568</v>
      </c>
      <c r="I418" s="24" t="s">
        <v>4569</v>
      </c>
      <c r="J418" s="24" t="s">
        <v>2154</v>
      </c>
      <c r="K418" s="24"/>
      <c r="L418" s="24" t="s">
        <v>84</v>
      </c>
      <c r="M418" s="15"/>
      <c r="N418" s="15"/>
      <c r="O418" s="15" t="s">
        <v>4570</v>
      </c>
      <c r="P418" s="15" t="s">
        <v>4571</v>
      </c>
      <c r="Q418" s="15" t="s">
        <v>4572</v>
      </c>
      <c r="R418" s="15" t="s">
        <v>4573</v>
      </c>
      <c r="S418" s="24" t="s">
        <v>39</v>
      </c>
      <c r="T418" s="24" t="s">
        <v>39</v>
      </c>
      <c r="U418" s="24" t="s">
        <v>39</v>
      </c>
      <c r="V418" s="24" t="s">
        <v>39</v>
      </c>
      <c r="W418" s="24" t="s">
        <v>4574</v>
      </c>
      <c r="X418" s="24" t="s">
        <v>4575</v>
      </c>
      <c r="Y418" s="15" t="s">
        <v>4576</v>
      </c>
      <c r="Z418" s="15" t="s">
        <v>4577</v>
      </c>
      <c r="AA418" s="24"/>
      <c r="AB418" s="24"/>
      <c r="AC418" s="24"/>
      <c r="AD418" s="24"/>
      <c r="AE418" s="24"/>
      <c r="AF418" s="24"/>
      <c r="AG418" s="24"/>
      <c r="AH418" s="24"/>
    </row>
    <row r="419" spans="1:34" ht="105" x14ac:dyDescent="0.25">
      <c r="A419" s="24" t="str">
        <f>HYPERLINK("https://www.cpso.on.ca/DoctorDetails/Clare-Louise-Roscoe/0153172-72767","Roscoe, Clare Louise")</f>
        <v>Roscoe, Clare Louise</v>
      </c>
      <c r="B419" s="25" t="s">
        <v>4578</v>
      </c>
      <c r="C419" s="24" t="s">
        <v>4579</v>
      </c>
      <c r="D419" s="24" t="s">
        <v>4580</v>
      </c>
      <c r="E419" s="24" t="s">
        <v>29</v>
      </c>
      <c r="F419" s="24" t="s">
        <v>47</v>
      </c>
      <c r="G419" s="24" t="s">
        <v>31</v>
      </c>
      <c r="H419" s="24" t="s">
        <v>1799</v>
      </c>
      <c r="I419" s="24" t="s">
        <v>4581</v>
      </c>
      <c r="J419" s="24" t="s">
        <v>4582</v>
      </c>
      <c r="K419" s="24"/>
      <c r="L419" s="24" t="s">
        <v>84</v>
      </c>
      <c r="M419" s="15"/>
      <c r="N419" s="15"/>
      <c r="O419" s="15" t="s">
        <v>2806</v>
      </c>
      <c r="P419" s="15" t="s">
        <v>4583</v>
      </c>
      <c r="Q419" s="15" t="s">
        <v>4584</v>
      </c>
      <c r="R419" s="15" t="s">
        <v>4585</v>
      </c>
      <c r="S419" s="24" t="s">
        <v>39</v>
      </c>
      <c r="T419" s="24" t="s">
        <v>39</v>
      </c>
      <c r="U419" s="24" t="s">
        <v>39</v>
      </c>
      <c r="V419" s="24" t="s">
        <v>39</v>
      </c>
      <c r="W419" s="24" t="s">
        <v>4586</v>
      </c>
      <c r="X419" s="24" t="s">
        <v>1140</v>
      </c>
      <c r="Y419" s="15" t="s">
        <v>4587</v>
      </c>
      <c r="Z419" s="15" t="s">
        <v>4588</v>
      </c>
      <c r="AA419" s="24"/>
      <c r="AB419" s="24"/>
      <c r="AC419" s="24"/>
      <c r="AD419" s="24"/>
      <c r="AE419" s="24"/>
      <c r="AF419" s="24"/>
      <c r="AG419" s="24"/>
      <c r="AH419" s="24"/>
    </row>
    <row r="420" spans="1:34" ht="105" x14ac:dyDescent="0.25">
      <c r="A420" s="24" t="str">
        <f>HYPERLINK("https://www.cpso.on.ca/DoctorDetails/Clare-Margaret-Pain/0041413-55389","Pain, Clare Margaret")</f>
        <v>Pain, Clare Margaret</v>
      </c>
      <c r="B420" s="25" t="s">
        <v>4589</v>
      </c>
      <c r="C420" s="24" t="s">
        <v>4590</v>
      </c>
      <c r="D420" s="24" t="s">
        <v>4591</v>
      </c>
      <c r="E420" s="24" t="s">
        <v>29</v>
      </c>
      <c r="F420" s="24" t="s">
        <v>47</v>
      </c>
      <c r="G420" s="24" t="s">
        <v>31</v>
      </c>
      <c r="H420" s="24" t="s">
        <v>4592</v>
      </c>
      <c r="I420" s="24" t="s">
        <v>4593</v>
      </c>
      <c r="J420" s="24" t="s">
        <v>4594</v>
      </c>
      <c r="K420" s="24" t="s">
        <v>1528</v>
      </c>
      <c r="L420" s="24" t="s">
        <v>52</v>
      </c>
      <c r="M420" s="15"/>
      <c r="N420" s="15"/>
      <c r="O420" s="15" t="s">
        <v>4595</v>
      </c>
      <c r="P420" s="15" t="s">
        <v>1842</v>
      </c>
      <c r="Q420" s="15" t="s">
        <v>4596</v>
      </c>
      <c r="R420" s="15" t="s">
        <v>4597</v>
      </c>
      <c r="S420" s="24" t="s">
        <v>39</v>
      </c>
      <c r="T420" s="24" t="s">
        <v>39</v>
      </c>
      <c r="U420" s="24" t="s">
        <v>39</v>
      </c>
      <c r="V420" s="24" t="s">
        <v>39</v>
      </c>
      <c r="W420" s="24"/>
      <c r="X420" s="24"/>
      <c r="Y420" s="15"/>
      <c r="Z420" s="15"/>
      <c r="AA420" s="24"/>
      <c r="AB420" s="24"/>
      <c r="AC420" s="24"/>
      <c r="AD420" s="24"/>
      <c r="AE420" s="24"/>
      <c r="AF420" s="24"/>
      <c r="AG420" s="24"/>
      <c r="AH420" s="24"/>
    </row>
    <row r="421" spans="1:34" ht="45" x14ac:dyDescent="0.25">
      <c r="A421" s="24" t="str">
        <f>HYPERLINK("https://www.cpso.on.ca/DoctorDetails/Claude-Charles-Manigat/0024070-28892","Manigat, Claude Charles")</f>
        <v>Manigat, Claude Charles</v>
      </c>
      <c r="B421" s="25" t="s">
        <v>4598</v>
      </c>
      <c r="C421" s="24" t="s">
        <v>4599</v>
      </c>
      <c r="D421" s="24" t="s">
        <v>4600</v>
      </c>
      <c r="E421" s="24" t="s">
        <v>29</v>
      </c>
      <c r="F421" s="24" t="s">
        <v>30</v>
      </c>
      <c r="G421" s="24" t="s">
        <v>4601</v>
      </c>
      <c r="H421" s="24" t="s">
        <v>4602</v>
      </c>
      <c r="I421" s="24" t="s">
        <v>4603</v>
      </c>
      <c r="J421" s="24" t="s">
        <v>4604</v>
      </c>
      <c r="K421" s="24" t="s">
        <v>4605</v>
      </c>
      <c r="L421" s="24" t="s">
        <v>84</v>
      </c>
      <c r="M421" s="15"/>
      <c r="N421" s="15"/>
      <c r="O421" s="15"/>
      <c r="P421" s="15" t="s">
        <v>4606</v>
      </c>
      <c r="Q421" s="15"/>
      <c r="R421" s="15" t="s">
        <v>4607</v>
      </c>
      <c r="S421" s="24" t="s">
        <v>39</v>
      </c>
      <c r="T421" s="24" t="s">
        <v>39</v>
      </c>
      <c r="U421" s="24" t="s">
        <v>39</v>
      </c>
      <c r="V421" s="24" t="s">
        <v>39</v>
      </c>
      <c r="W421" s="24" t="s">
        <v>4608</v>
      </c>
      <c r="X421" s="24" t="s">
        <v>4316</v>
      </c>
      <c r="Y421" s="15" t="s">
        <v>4609</v>
      </c>
      <c r="Z421" s="15" t="s">
        <v>4610</v>
      </c>
      <c r="AA421" s="24"/>
      <c r="AB421" s="24"/>
      <c r="AC421" s="24"/>
      <c r="AD421" s="24"/>
      <c r="AE421" s="24"/>
      <c r="AF421" s="24"/>
      <c r="AG421" s="24"/>
      <c r="AH421" s="24"/>
    </row>
    <row r="422" spans="1:34" ht="240" x14ac:dyDescent="0.25">
      <c r="A422" s="24" t="str">
        <f>HYPERLINK("https://www.cpso.on.ca/DoctorDetails/Claudio-De-Novaes-Soares/0217144-82250","Soares, Claudio De Novaes")</f>
        <v>Soares, Claudio De Novaes</v>
      </c>
      <c r="B422" s="25" t="s">
        <v>4611</v>
      </c>
      <c r="C422" s="24" t="s">
        <v>4612</v>
      </c>
      <c r="D422" s="24" t="s">
        <v>4613</v>
      </c>
      <c r="E422" s="24" t="s">
        <v>29</v>
      </c>
      <c r="F422" s="24" t="s">
        <v>30</v>
      </c>
      <c r="G422" s="24" t="s">
        <v>468</v>
      </c>
      <c r="H422" s="24" t="s">
        <v>4614</v>
      </c>
      <c r="I422" s="24" t="s">
        <v>4615</v>
      </c>
      <c r="J422" s="24" t="s">
        <v>4616</v>
      </c>
      <c r="K422" s="24"/>
      <c r="L422" s="24" t="s">
        <v>340</v>
      </c>
      <c r="M422" s="15"/>
      <c r="N422" s="15"/>
      <c r="O422" s="15" t="s">
        <v>1122</v>
      </c>
      <c r="P422" s="15" t="s">
        <v>4617</v>
      </c>
      <c r="Q422" s="15"/>
      <c r="R422" s="15" t="s">
        <v>4618</v>
      </c>
      <c r="S422" s="24" t="s">
        <v>39</v>
      </c>
      <c r="T422" s="24" t="s">
        <v>39</v>
      </c>
      <c r="U422" s="24" t="s">
        <v>39</v>
      </c>
      <c r="V422" s="24" t="s">
        <v>39</v>
      </c>
      <c r="W422" s="24" t="s">
        <v>4619</v>
      </c>
      <c r="X422" s="24" t="s">
        <v>4620</v>
      </c>
      <c r="Y422" s="15"/>
      <c r="Z422" s="15"/>
      <c r="AA422" s="24"/>
      <c r="AB422" s="24"/>
      <c r="AC422" s="24"/>
      <c r="AD422" s="24"/>
      <c r="AE422" s="24"/>
      <c r="AF422" s="24"/>
      <c r="AG422" s="24"/>
      <c r="AH422" s="24"/>
    </row>
    <row r="423" spans="1:34" ht="30" x14ac:dyDescent="0.25">
      <c r="A423" s="24" t="str">
        <f>HYPERLINK("https://www.cpso.on.ca/DoctorDetails/Cletus-Chike-Okonkwo/0291979-102237","Okonkwo, Cletus Chike")</f>
        <v>Okonkwo, Cletus Chike</v>
      </c>
      <c r="B423" s="25" t="s">
        <v>4621</v>
      </c>
      <c r="C423" s="24" t="s">
        <v>4622</v>
      </c>
      <c r="D423" s="24" t="s">
        <v>4623</v>
      </c>
      <c r="E423" s="24" t="s">
        <v>29</v>
      </c>
      <c r="F423" s="24" t="s">
        <v>30</v>
      </c>
      <c r="G423" s="24" t="s">
        <v>4624</v>
      </c>
      <c r="H423" s="24" t="s">
        <v>149</v>
      </c>
      <c r="I423" s="24" t="s">
        <v>4625</v>
      </c>
      <c r="J423" s="24" t="s">
        <v>4626</v>
      </c>
      <c r="K423" s="24" t="s">
        <v>4627</v>
      </c>
      <c r="L423" s="24" t="s">
        <v>152</v>
      </c>
      <c r="M423" s="15" t="s">
        <v>4628</v>
      </c>
      <c r="N423" s="15" t="s">
        <v>1370</v>
      </c>
      <c r="O423" s="15" t="s">
        <v>4629</v>
      </c>
      <c r="P423" s="15" t="s">
        <v>4630</v>
      </c>
      <c r="Q423" s="15"/>
      <c r="R423" s="15" t="s">
        <v>4631</v>
      </c>
      <c r="S423" s="24" t="s">
        <v>39</v>
      </c>
      <c r="T423" s="24" t="s">
        <v>39</v>
      </c>
      <c r="U423" s="24" t="s">
        <v>39</v>
      </c>
      <c r="V423" s="24" t="s">
        <v>39</v>
      </c>
      <c r="W423" s="24" t="s">
        <v>4632</v>
      </c>
      <c r="X423" s="24" t="s">
        <v>4633</v>
      </c>
      <c r="Y423" s="15" t="s">
        <v>4634</v>
      </c>
      <c r="Z423" s="15" t="s">
        <v>4635</v>
      </c>
      <c r="AA423" s="24"/>
      <c r="AB423" s="24"/>
      <c r="AC423" s="24"/>
      <c r="AD423" s="24"/>
      <c r="AE423" s="24"/>
      <c r="AF423" s="24"/>
      <c r="AG423" s="24"/>
      <c r="AH423" s="24"/>
    </row>
    <row r="424" spans="1:34" ht="75" x14ac:dyDescent="0.25">
      <c r="A424" s="24" t="str">
        <f>HYPERLINK("https://www.cpso.on.ca/DoctorDetails/Clifford-Howard-Posel/0052919-66883","Posel, Clifford Howard")</f>
        <v>Posel, Clifford Howard</v>
      </c>
      <c r="B424" s="25" t="s">
        <v>4636</v>
      </c>
      <c r="C424" s="24" t="s">
        <v>836</v>
      </c>
      <c r="D424" s="24" t="s">
        <v>837</v>
      </c>
      <c r="E424" s="24" t="s">
        <v>29</v>
      </c>
      <c r="F424" s="24" t="s">
        <v>30</v>
      </c>
      <c r="G424" s="24" t="s">
        <v>31</v>
      </c>
      <c r="H424" s="24" t="s">
        <v>4637</v>
      </c>
      <c r="I424" s="24" t="s">
        <v>4638</v>
      </c>
      <c r="J424" s="24" t="s">
        <v>4639</v>
      </c>
      <c r="K424" s="24" t="s">
        <v>1396</v>
      </c>
      <c r="L424" s="24" t="s">
        <v>52</v>
      </c>
      <c r="M424" s="15"/>
      <c r="N424" s="15"/>
      <c r="O424" s="15" t="s">
        <v>4640</v>
      </c>
      <c r="P424" s="15" t="s">
        <v>303</v>
      </c>
      <c r="Q424" s="15" t="s">
        <v>1937</v>
      </c>
      <c r="R424" s="15" t="s">
        <v>844</v>
      </c>
      <c r="S424" s="24" t="s">
        <v>39</v>
      </c>
      <c r="T424" s="24" t="s">
        <v>39</v>
      </c>
      <c r="U424" s="24" t="s">
        <v>39</v>
      </c>
      <c r="V424" s="24" t="s">
        <v>39</v>
      </c>
      <c r="W424" s="24" t="s">
        <v>4641</v>
      </c>
      <c r="X424" s="24" t="s">
        <v>4642</v>
      </c>
      <c r="Y424" s="15" t="s">
        <v>4643</v>
      </c>
      <c r="Z424" s="15" t="s">
        <v>4644</v>
      </c>
      <c r="AA424" s="24"/>
      <c r="AB424" s="24"/>
      <c r="AC424" s="24"/>
      <c r="AD424" s="24"/>
      <c r="AE424" s="24"/>
      <c r="AF424" s="24"/>
      <c r="AG424" s="24"/>
      <c r="AH424" s="24"/>
    </row>
    <row r="425" spans="1:34" ht="45" x14ac:dyDescent="0.25">
      <c r="A425" s="24" t="str">
        <f>HYPERLINK("https://www.cpso.on.ca/DoctorDetails/Clive-Gordon-Chamberlain/0013618-18399","Chamberlain, Clive Gordon")</f>
        <v>Chamberlain, Clive Gordon</v>
      </c>
      <c r="B425" s="25" t="s">
        <v>4645</v>
      </c>
      <c r="C425" s="24" t="s">
        <v>4646</v>
      </c>
      <c r="D425" s="24" t="s">
        <v>4647</v>
      </c>
      <c r="E425" s="24" t="s">
        <v>29</v>
      </c>
      <c r="F425" s="24" t="s">
        <v>30</v>
      </c>
      <c r="G425" s="24" t="s">
        <v>31</v>
      </c>
      <c r="H425" s="24" t="s">
        <v>4648</v>
      </c>
      <c r="I425" s="24" t="s">
        <v>4649</v>
      </c>
      <c r="J425" s="24" t="s">
        <v>4650</v>
      </c>
      <c r="K425" s="24"/>
      <c r="L425" s="24" t="s">
        <v>52</v>
      </c>
      <c r="M425" s="15" t="s">
        <v>4651</v>
      </c>
      <c r="N425" s="15"/>
      <c r="O425" s="15" t="s">
        <v>4652</v>
      </c>
      <c r="P425" s="15" t="s">
        <v>4653</v>
      </c>
      <c r="Q425" s="15"/>
      <c r="R425" s="15" t="s">
        <v>4654</v>
      </c>
      <c r="S425" s="24" t="s">
        <v>71</v>
      </c>
      <c r="T425" s="24" t="s">
        <v>39</v>
      </c>
      <c r="U425" s="24" t="s">
        <v>39</v>
      </c>
      <c r="V425" s="24" t="s">
        <v>39</v>
      </c>
      <c r="W425" s="24" t="s">
        <v>4655</v>
      </c>
      <c r="X425" s="24" t="s">
        <v>4656</v>
      </c>
      <c r="Y425" s="15" t="s">
        <v>4657</v>
      </c>
      <c r="Z425" s="15" t="s">
        <v>4658</v>
      </c>
      <c r="AA425" s="24"/>
      <c r="AB425" s="24"/>
      <c r="AC425" s="24"/>
      <c r="AD425" s="24"/>
      <c r="AE425" s="24"/>
      <c r="AF425" s="24"/>
      <c r="AG425" s="24"/>
      <c r="AH425" s="24"/>
    </row>
    <row r="426" spans="1:34" ht="30" x14ac:dyDescent="0.25">
      <c r="A426" s="24" t="str">
        <f>HYPERLINK("https://www.cpso.on.ca/DoctorDetails/Clyde-Donald-Brown/0017387-22173","Brown, Clyde Donald")</f>
        <v>Brown, Clyde Donald</v>
      </c>
      <c r="B426" s="25" t="s">
        <v>4659</v>
      </c>
      <c r="C426" s="24" t="s">
        <v>4660</v>
      </c>
      <c r="D426" s="24" t="s">
        <v>4661</v>
      </c>
      <c r="E426" s="24" t="s">
        <v>29</v>
      </c>
      <c r="F426" s="24" t="s">
        <v>30</v>
      </c>
      <c r="G426" s="24" t="s">
        <v>31</v>
      </c>
      <c r="H426" s="24" t="s">
        <v>4662</v>
      </c>
      <c r="I426" s="24" t="s">
        <v>4663</v>
      </c>
      <c r="J426" s="24" t="s">
        <v>4664</v>
      </c>
      <c r="K426" s="24" t="s">
        <v>4664</v>
      </c>
      <c r="L426" s="24" t="s">
        <v>84</v>
      </c>
      <c r="M426" s="15" t="s">
        <v>4665</v>
      </c>
      <c r="N426" s="15"/>
      <c r="O426" s="15"/>
      <c r="P426" s="15" t="s">
        <v>4666</v>
      </c>
      <c r="Q426" s="15"/>
      <c r="R426" s="15" t="s">
        <v>4667</v>
      </c>
      <c r="S426" s="24" t="s">
        <v>39</v>
      </c>
      <c r="T426" s="24" t="s">
        <v>39</v>
      </c>
      <c r="U426" s="24" t="s">
        <v>39</v>
      </c>
      <c r="V426" s="24" t="s">
        <v>39</v>
      </c>
      <c r="W426" s="24" t="s">
        <v>4668</v>
      </c>
      <c r="X426" s="24" t="s">
        <v>4669</v>
      </c>
      <c r="Y426" s="15" t="s">
        <v>4670</v>
      </c>
      <c r="Z426" s="15" t="s">
        <v>4671</v>
      </c>
      <c r="AA426" s="24" t="s">
        <v>4672</v>
      </c>
      <c r="AB426" s="24" t="s">
        <v>4673</v>
      </c>
      <c r="AC426" s="24" t="s">
        <v>4674</v>
      </c>
      <c r="AD426" s="24" t="s">
        <v>4675</v>
      </c>
      <c r="AE426" s="24"/>
      <c r="AF426" s="24"/>
      <c r="AG426" s="24"/>
      <c r="AH426" s="24"/>
    </row>
    <row r="427" spans="1:34" ht="30" x14ac:dyDescent="0.25">
      <c r="A427" s="24" t="str">
        <f>HYPERLINK("https://www.cpso.on.ca/DoctorDetails/Colin-John-Cameron/0047838-61816","Cameron, Colin John")</f>
        <v>Cameron, Colin John</v>
      </c>
      <c r="B427" s="25" t="s">
        <v>4676</v>
      </c>
      <c r="C427" s="24" t="s">
        <v>1157</v>
      </c>
      <c r="D427" s="24" t="s">
        <v>4677</v>
      </c>
      <c r="E427" s="24" t="s">
        <v>29</v>
      </c>
      <c r="F427" s="24" t="s">
        <v>30</v>
      </c>
      <c r="G427" s="24" t="s">
        <v>4678</v>
      </c>
      <c r="H427" s="24" t="s">
        <v>4679</v>
      </c>
      <c r="I427" s="24" t="s">
        <v>4680</v>
      </c>
      <c r="J427" s="24" t="s">
        <v>4681</v>
      </c>
      <c r="K427" s="24" t="s">
        <v>4682</v>
      </c>
      <c r="L427" s="24" t="s">
        <v>340</v>
      </c>
      <c r="M427" s="15" t="s">
        <v>4683</v>
      </c>
      <c r="N427" s="15" t="s">
        <v>710</v>
      </c>
      <c r="O427" s="15" t="s">
        <v>3338</v>
      </c>
      <c r="P427" s="15" t="s">
        <v>1007</v>
      </c>
      <c r="Q427" s="15" t="s">
        <v>1163</v>
      </c>
      <c r="R427" s="15" t="s">
        <v>4684</v>
      </c>
      <c r="S427" s="24" t="s">
        <v>39</v>
      </c>
      <c r="T427" s="24" t="s">
        <v>39</v>
      </c>
      <c r="U427" s="24" t="s">
        <v>39</v>
      </c>
      <c r="V427" s="24" t="s">
        <v>39</v>
      </c>
      <c r="W427" s="24" t="s">
        <v>4685</v>
      </c>
      <c r="X427" s="24" t="s">
        <v>4686</v>
      </c>
      <c r="Y427" s="15" t="s">
        <v>4687</v>
      </c>
      <c r="Z427" s="15" t="s">
        <v>4688</v>
      </c>
      <c r="AA427" s="24"/>
      <c r="AB427" s="24"/>
      <c r="AC427" s="24"/>
      <c r="AD427" s="24"/>
      <c r="AE427" s="24"/>
      <c r="AF427" s="24"/>
      <c r="AG427" s="24"/>
      <c r="AH427" s="24"/>
    </row>
    <row r="428" spans="1:34" ht="75" x14ac:dyDescent="0.25">
      <c r="A428" s="24" t="str">
        <f>HYPERLINK("https://www.cpso.on.ca/DoctorDetails/Colin-John-MacPherson/0191439-77716","MacPherson, Colin John")</f>
        <v>MacPherson, Colin John</v>
      </c>
      <c r="B428" s="25" t="s">
        <v>4689</v>
      </c>
      <c r="C428" s="24" t="s">
        <v>921</v>
      </c>
      <c r="D428" s="24" t="s">
        <v>922</v>
      </c>
      <c r="E428" s="24" t="s">
        <v>29</v>
      </c>
      <c r="F428" s="24" t="s">
        <v>30</v>
      </c>
      <c r="G428" s="24" t="s">
        <v>31</v>
      </c>
      <c r="H428" s="24" t="s">
        <v>1525</v>
      </c>
      <c r="I428" s="24" t="s">
        <v>2178</v>
      </c>
      <c r="J428" s="24" t="s">
        <v>4690</v>
      </c>
      <c r="K428" s="24" t="s">
        <v>2179</v>
      </c>
      <c r="L428" s="24" t="s">
        <v>340</v>
      </c>
      <c r="M428" s="15"/>
      <c r="N428" s="15"/>
      <c r="O428" s="15" t="s">
        <v>1073</v>
      </c>
      <c r="P428" s="15" t="s">
        <v>488</v>
      </c>
      <c r="Q428" s="15" t="s">
        <v>489</v>
      </c>
      <c r="R428" s="15" t="s">
        <v>929</v>
      </c>
      <c r="S428" s="24" t="s">
        <v>39</v>
      </c>
      <c r="T428" s="24" t="s">
        <v>39</v>
      </c>
      <c r="U428" s="24" t="s">
        <v>39</v>
      </c>
      <c r="V428" s="24" t="s">
        <v>39</v>
      </c>
      <c r="W428" s="24" t="s">
        <v>4691</v>
      </c>
      <c r="X428" s="24" t="s">
        <v>4692</v>
      </c>
      <c r="Y428" s="15" t="s">
        <v>4693</v>
      </c>
      <c r="Z428" s="15" t="s">
        <v>4694</v>
      </c>
      <c r="AA428" s="24"/>
      <c r="AB428" s="24"/>
      <c r="AC428" s="24"/>
      <c r="AD428" s="24"/>
      <c r="AE428" s="24"/>
      <c r="AF428" s="24"/>
      <c r="AG428" s="24"/>
      <c r="AH428" s="24"/>
    </row>
    <row r="429" spans="1:34" ht="45" x14ac:dyDescent="0.25">
      <c r="A429" s="24" t="str">
        <f>HYPERLINK("https://www.cpso.on.ca/DoctorDetails/Colin-Michael-Shapiro/0047990-61968","Shapiro, Colin Michael")</f>
        <v>Shapiro, Colin Michael</v>
      </c>
      <c r="B429" s="25" t="s">
        <v>4695</v>
      </c>
      <c r="C429" s="24" t="s">
        <v>4696</v>
      </c>
      <c r="D429" s="24" t="s">
        <v>4697</v>
      </c>
      <c r="E429" s="24" t="s">
        <v>29</v>
      </c>
      <c r="F429" s="24" t="s">
        <v>30</v>
      </c>
      <c r="G429" s="24" t="s">
        <v>4698</v>
      </c>
      <c r="H429" s="24" t="s">
        <v>4699</v>
      </c>
      <c r="I429" s="24" t="s">
        <v>4700</v>
      </c>
      <c r="J429" s="24" t="s">
        <v>4701</v>
      </c>
      <c r="K429" s="24" t="s">
        <v>4702</v>
      </c>
      <c r="L429" s="24" t="s">
        <v>52</v>
      </c>
      <c r="M429" s="15" t="s">
        <v>4703</v>
      </c>
      <c r="N429" s="15"/>
      <c r="O429" s="15" t="s">
        <v>2731</v>
      </c>
      <c r="P429" s="15" t="s">
        <v>4704</v>
      </c>
      <c r="Q429" s="15"/>
      <c r="R429" s="15" t="s">
        <v>4705</v>
      </c>
      <c r="S429" s="24" t="s">
        <v>39</v>
      </c>
      <c r="T429" s="24" t="s">
        <v>39</v>
      </c>
      <c r="U429" s="24" t="s">
        <v>39</v>
      </c>
      <c r="V429" s="24" t="s">
        <v>39</v>
      </c>
      <c r="W429" s="24" t="s">
        <v>4706</v>
      </c>
      <c r="X429" s="24" t="s">
        <v>4707</v>
      </c>
      <c r="Y429" s="15" t="s">
        <v>4708</v>
      </c>
      <c r="Z429" s="15" t="s">
        <v>4709</v>
      </c>
      <c r="AA429" s="24"/>
      <c r="AB429" s="24"/>
      <c r="AC429" s="24"/>
      <c r="AD429" s="24"/>
      <c r="AE429" s="24"/>
      <c r="AF429" s="24"/>
      <c r="AG429" s="24"/>
      <c r="AH429" s="24"/>
    </row>
    <row r="430" spans="1:34" ht="75" x14ac:dyDescent="0.25">
      <c r="A430" s="24" t="str">
        <f>HYPERLINK("https://www.cpso.on.ca/DoctorDetails/Colleen-Sharon-Flynn/0057327-68915","Flynn, Colleen Sharon")</f>
        <v>Flynn, Colleen Sharon</v>
      </c>
      <c r="B430" s="25" t="s">
        <v>4710</v>
      </c>
      <c r="C430" s="24" t="s">
        <v>3831</v>
      </c>
      <c r="D430" s="24" t="s">
        <v>214</v>
      </c>
      <c r="E430" s="24" t="s">
        <v>29</v>
      </c>
      <c r="F430" s="24" t="s">
        <v>47</v>
      </c>
      <c r="G430" s="24" t="s">
        <v>31</v>
      </c>
      <c r="H430" s="24" t="s">
        <v>3932</v>
      </c>
      <c r="I430" s="24" t="s">
        <v>4711</v>
      </c>
      <c r="J430" s="24" t="s">
        <v>4712</v>
      </c>
      <c r="K430" s="24"/>
      <c r="L430" s="24" t="s">
        <v>36</v>
      </c>
      <c r="M430" s="15" t="s">
        <v>4713</v>
      </c>
      <c r="N430" s="15"/>
      <c r="O430" s="15" t="s">
        <v>972</v>
      </c>
      <c r="P430" s="15" t="s">
        <v>1343</v>
      </c>
      <c r="Q430" s="15" t="s">
        <v>4714</v>
      </c>
      <c r="R430" s="15" t="s">
        <v>3839</v>
      </c>
      <c r="S430" s="24" t="s">
        <v>39</v>
      </c>
      <c r="T430" s="24" t="s">
        <v>39</v>
      </c>
      <c r="U430" s="24" t="s">
        <v>39</v>
      </c>
      <c r="V430" s="24" t="s">
        <v>39</v>
      </c>
      <c r="W430" s="24"/>
      <c r="X430" s="24"/>
      <c r="Y430" s="15"/>
      <c r="Z430" s="15"/>
      <c r="AA430" s="24"/>
      <c r="AB430" s="24"/>
      <c r="AC430" s="24"/>
      <c r="AD430" s="24"/>
      <c r="AE430" s="24"/>
      <c r="AF430" s="24"/>
      <c r="AG430" s="24"/>
      <c r="AH430" s="24"/>
    </row>
    <row r="431" spans="1:34" ht="120" x14ac:dyDescent="0.25">
      <c r="A431" s="24" t="str">
        <f>HYPERLINK("https://www.cpso.on.ca/DoctorDetails/Colman-Henry-Nefsky/0242534-86602","Nefsky, Colman Henry")</f>
        <v>Nefsky, Colman Henry</v>
      </c>
      <c r="B431" s="25" t="s">
        <v>4715</v>
      </c>
      <c r="C431" s="24" t="s">
        <v>1115</v>
      </c>
      <c r="D431" s="24" t="s">
        <v>4716</v>
      </c>
      <c r="E431" s="24" t="s">
        <v>29</v>
      </c>
      <c r="F431" s="24" t="s">
        <v>30</v>
      </c>
      <c r="G431" s="24" t="s">
        <v>31</v>
      </c>
      <c r="H431" s="24" t="s">
        <v>4717</v>
      </c>
      <c r="I431" s="24" t="s">
        <v>4718</v>
      </c>
      <c r="J431" s="24" t="s">
        <v>4719</v>
      </c>
      <c r="K431" s="24" t="s">
        <v>4720</v>
      </c>
      <c r="L431" s="24" t="s">
        <v>52</v>
      </c>
      <c r="M431" s="15" t="s">
        <v>4721</v>
      </c>
      <c r="N431" s="15"/>
      <c r="O431" s="15" t="s">
        <v>4722</v>
      </c>
      <c r="P431" s="15" t="s">
        <v>4723</v>
      </c>
      <c r="Q431" s="15" t="s">
        <v>4724</v>
      </c>
      <c r="R431" s="15" t="s">
        <v>4725</v>
      </c>
      <c r="S431" s="24" t="s">
        <v>39</v>
      </c>
      <c r="T431" s="24" t="s">
        <v>39</v>
      </c>
      <c r="U431" s="24" t="s">
        <v>39</v>
      </c>
      <c r="V431" s="24" t="s">
        <v>39</v>
      </c>
      <c r="W431" s="24" t="s">
        <v>4726</v>
      </c>
      <c r="X431" s="24" t="s">
        <v>4727</v>
      </c>
      <c r="Y431" s="15" t="s">
        <v>4728</v>
      </c>
      <c r="Z431" s="15" t="s">
        <v>4729</v>
      </c>
      <c r="AA431" s="24"/>
      <c r="AB431" s="24"/>
      <c r="AC431" s="24"/>
      <c r="AD431" s="24"/>
      <c r="AE431" s="24"/>
      <c r="AF431" s="24"/>
      <c r="AG431" s="24"/>
      <c r="AH431" s="24"/>
    </row>
    <row r="432" spans="1:34" ht="75" x14ac:dyDescent="0.25">
      <c r="A432" s="24" t="str">
        <f>HYPERLINK("https://www.cpso.on.ca/DoctorDetails/Corazon-CosicoDeJesus/0036318-50294","Cosico-De-Jesus, Corazon")</f>
        <v>Cosico-De-Jesus, Corazon</v>
      </c>
      <c r="B432" s="25" t="s">
        <v>4730</v>
      </c>
      <c r="C432" s="24" t="s">
        <v>826</v>
      </c>
      <c r="D432" s="24" t="s">
        <v>4731</v>
      </c>
      <c r="E432" s="24" t="s">
        <v>29</v>
      </c>
      <c r="F432" s="24" t="s">
        <v>47</v>
      </c>
      <c r="G432" s="24" t="s">
        <v>861</v>
      </c>
      <c r="H432" s="24" t="s">
        <v>4732</v>
      </c>
      <c r="I432" s="24" t="s">
        <v>4733</v>
      </c>
      <c r="J432" s="24" t="s">
        <v>4734</v>
      </c>
      <c r="K432" s="24"/>
      <c r="L432" s="24" t="s">
        <v>84</v>
      </c>
      <c r="M432" s="15"/>
      <c r="N432" s="15"/>
      <c r="O432" s="15"/>
      <c r="P432" s="15" t="s">
        <v>527</v>
      </c>
      <c r="Q432" s="15"/>
      <c r="R432" s="15" t="s">
        <v>4735</v>
      </c>
      <c r="S432" s="24" t="s">
        <v>39</v>
      </c>
      <c r="T432" s="24" t="s">
        <v>39</v>
      </c>
      <c r="U432" s="24" t="s">
        <v>39</v>
      </c>
      <c r="V432" s="24" t="s">
        <v>39</v>
      </c>
      <c r="W432" s="24" t="s">
        <v>4736</v>
      </c>
      <c r="X432" s="24" t="s">
        <v>4737</v>
      </c>
      <c r="Y432" s="15" t="s">
        <v>4738</v>
      </c>
      <c r="Z432" s="15" t="s">
        <v>4739</v>
      </c>
      <c r="AA432" s="24"/>
      <c r="AB432" s="24"/>
      <c r="AC432" s="24"/>
      <c r="AD432" s="24"/>
      <c r="AE432" s="24"/>
      <c r="AF432" s="24"/>
      <c r="AG432" s="24"/>
      <c r="AH432" s="24"/>
    </row>
    <row r="433" spans="1:34" ht="75" x14ac:dyDescent="0.25">
      <c r="A433" s="24" t="str">
        <f>HYPERLINK("https://www.cpso.on.ca/DoctorDetails/Corina-Mariana-Velehorschi/0216151-81931","Velehorschi, Corina Mariana")</f>
        <v>Velehorschi, Corina Mariana</v>
      </c>
      <c r="B433" s="25" t="s">
        <v>4740</v>
      </c>
      <c r="C433" s="24" t="s">
        <v>4741</v>
      </c>
      <c r="D433" s="24" t="s">
        <v>4742</v>
      </c>
      <c r="E433" s="24" t="s">
        <v>29</v>
      </c>
      <c r="F433" s="24" t="s">
        <v>47</v>
      </c>
      <c r="G433" s="24" t="s">
        <v>923</v>
      </c>
      <c r="H433" s="24" t="s">
        <v>4743</v>
      </c>
      <c r="I433" s="24" t="s">
        <v>4744</v>
      </c>
      <c r="J433" s="24" t="s">
        <v>4745</v>
      </c>
      <c r="K433" s="24"/>
      <c r="L433" s="24" t="s">
        <v>65</v>
      </c>
      <c r="M433" s="15" t="s">
        <v>4746</v>
      </c>
      <c r="N433" s="15" t="s">
        <v>66</v>
      </c>
      <c r="O433" s="15" t="s">
        <v>4747</v>
      </c>
      <c r="P433" s="15" t="s">
        <v>288</v>
      </c>
      <c r="Q433" s="15"/>
      <c r="R433" s="15" t="s">
        <v>4748</v>
      </c>
      <c r="S433" s="24" t="s">
        <v>39</v>
      </c>
      <c r="T433" s="24" t="s">
        <v>39</v>
      </c>
      <c r="U433" s="24" t="s">
        <v>39</v>
      </c>
      <c r="V433" s="24" t="s">
        <v>39</v>
      </c>
      <c r="W433" s="24"/>
      <c r="X433" s="24"/>
      <c r="Y433" s="15"/>
      <c r="Z433" s="15"/>
      <c r="AA433" s="24"/>
      <c r="AB433" s="24"/>
      <c r="AC433" s="24"/>
      <c r="AD433" s="24"/>
      <c r="AE433" s="24"/>
      <c r="AF433" s="24"/>
      <c r="AG433" s="24"/>
      <c r="AH433" s="24"/>
    </row>
    <row r="434" spans="1:34" ht="150" x14ac:dyDescent="0.25">
      <c r="A434" s="24" t="str">
        <f>HYPERLINK("https://www.cpso.on.ca/DoctorDetails/Corine-Elizabeth-Carlisle/0143345-71232","Carlisle, Corine Elizabeth")</f>
        <v>Carlisle, Corine Elizabeth</v>
      </c>
      <c r="B434" s="25" t="s">
        <v>4749</v>
      </c>
      <c r="C434" s="24" t="s">
        <v>1390</v>
      </c>
      <c r="D434" s="24" t="s">
        <v>4750</v>
      </c>
      <c r="E434" s="24" t="s">
        <v>4751</v>
      </c>
      <c r="F434" s="24" t="s">
        <v>47</v>
      </c>
      <c r="G434" s="24" t="s">
        <v>31</v>
      </c>
      <c r="H434" s="24" t="s">
        <v>4752</v>
      </c>
      <c r="I434" s="24" t="s">
        <v>4753</v>
      </c>
      <c r="J434" s="24" t="s">
        <v>4754</v>
      </c>
      <c r="K434" s="24" t="s">
        <v>4755</v>
      </c>
      <c r="L434" s="24" t="s">
        <v>52</v>
      </c>
      <c r="M434" s="15" t="s">
        <v>4756</v>
      </c>
      <c r="N434" s="15"/>
      <c r="O434" s="15" t="s">
        <v>121</v>
      </c>
      <c r="P434" s="15" t="s">
        <v>1398</v>
      </c>
      <c r="Q434" s="15" t="s">
        <v>4757</v>
      </c>
      <c r="R434" s="15" t="s">
        <v>4758</v>
      </c>
      <c r="S434" s="24" t="s">
        <v>39</v>
      </c>
      <c r="T434" s="24" t="s">
        <v>39</v>
      </c>
      <c r="U434" s="24" t="s">
        <v>39</v>
      </c>
      <c r="V434" s="24" t="s">
        <v>39</v>
      </c>
      <c r="W434" s="24"/>
      <c r="X434" s="24"/>
      <c r="Y434" s="15"/>
      <c r="Z434" s="15"/>
      <c r="AA434" s="24"/>
      <c r="AB434" s="24"/>
      <c r="AC434" s="24"/>
      <c r="AD434" s="24"/>
      <c r="AE434" s="24"/>
      <c r="AF434" s="24"/>
      <c r="AG434" s="24"/>
      <c r="AH434" s="24"/>
    </row>
    <row r="435" spans="1:34" ht="90" x14ac:dyDescent="0.25">
      <c r="A435" s="24" t="str">
        <f>HYPERLINK("https://www.cpso.on.ca/DoctorDetails/Corinne-Eleanor-Fischer/0053396-67362","Fischer, Corinne Eleanor")</f>
        <v>Fischer, Corinne Eleanor</v>
      </c>
      <c r="B435" s="25" t="s">
        <v>4759</v>
      </c>
      <c r="C435" s="24" t="s">
        <v>4760</v>
      </c>
      <c r="D435" s="24" t="s">
        <v>4761</v>
      </c>
      <c r="E435" s="24" t="s">
        <v>29</v>
      </c>
      <c r="F435" s="24" t="s">
        <v>47</v>
      </c>
      <c r="G435" s="24" t="s">
        <v>31</v>
      </c>
      <c r="H435" s="24" t="s">
        <v>838</v>
      </c>
      <c r="I435" s="24" t="s">
        <v>4762</v>
      </c>
      <c r="J435" s="24" t="s">
        <v>4763</v>
      </c>
      <c r="K435" s="24" t="s">
        <v>218</v>
      </c>
      <c r="L435" s="24" t="s">
        <v>52</v>
      </c>
      <c r="M435" s="15"/>
      <c r="N435" s="15"/>
      <c r="O435" s="15" t="s">
        <v>219</v>
      </c>
      <c r="P435" s="15" t="s">
        <v>4764</v>
      </c>
      <c r="Q435" s="15" t="s">
        <v>4765</v>
      </c>
      <c r="R435" s="15" t="s">
        <v>4766</v>
      </c>
      <c r="S435" s="24" t="s">
        <v>39</v>
      </c>
      <c r="T435" s="24" t="s">
        <v>39</v>
      </c>
      <c r="U435" s="24" t="s">
        <v>39</v>
      </c>
      <c r="V435" s="24" t="s">
        <v>39</v>
      </c>
      <c r="W435" s="24"/>
      <c r="X435" s="24"/>
      <c r="Y435" s="15"/>
      <c r="Z435" s="15"/>
      <c r="AA435" s="24"/>
      <c r="AB435" s="24"/>
      <c r="AC435" s="24"/>
      <c r="AD435" s="24"/>
      <c r="AE435" s="24"/>
      <c r="AF435" s="24"/>
      <c r="AG435" s="24"/>
      <c r="AH435" s="24"/>
    </row>
    <row r="436" spans="1:34" ht="75" x14ac:dyDescent="0.25">
      <c r="A436" s="24" t="str">
        <f>HYPERLINK("https://www.cpso.on.ca/DoctorDetails/Cornelia-Gertrude-Wieman/0053027-66991","Wieman, Cornelia Gertrude")</f>
        <v>Wieman, Cornelia Gertrude</v>
      </c>
      <c r="B436" s="25" t="s">
        <v>4767</v>
      </c>
      <c r="C436" s="24" t="s">
        <v>836</v>
      </c>
      <c r="D436" s="24" t="s">
        <v>837</v>
      </c>
      <c r="E436" s="24" t="s">
        <v>29</v>
      </c>
      <c r="F436" s="24" t="s">
        <v>47</v>
      </c>
      <c r="G436" s="24" t="s">
        <v>31</v>
      </c>
      <c r="H436" s="24" t="s">
        <v>4768</v>
      </c>
      <c r="I436" s="24" t="s">
        <v>4769</v>
      </c>
      <c r="J436" s="24" t="s">
        <v>4770</v>
      </c>
      <c r="K436" s="24" t="s">
        <v>4771</v>
      </c>
      <c r="L436" s="24"/>
      <c r="M436" s="15"/>
      <c r="N436" s="15"/>
      <c r="O436" s="15"/>
      <c r="P436" s="15" t="s">
        <v>303</v>
      </c>
      <c r="Q436" s="15" t="s">
        <v>4772</v>
      </c>
      <c r="R436" s="15" t="s">
        <v>844</v>
      </c>
      <c r="S436" s="24" t="s">
        <v>39</v>
      </c>
      <c r="T436" s="24" t="s">
        <v>39</v>
      </c>
      <c r="U436" s="24" t="s">
        <v>39</v>
      </c>
      <c r="V436" s="24" t="s">
        <v>39</v>
      </c>
      <c r="W436" s="24"/>
      <c r="X436" s="24"/>
      <c r="Y436" s="15"/>
      <c r="Z436" s="15"/>
      <c r="AA436" s="24"/>
      <c r="AB436" s="24"/>
      <c r="AC436" s="24"/>
      <c r="AD436" s="24"/>
      <c r="AE436" s="24"/>
      <c r="AF436" s="24"/>
      <c r="AG436" s="24"/>
      <c r="AH436" s="24"/>
    </row>
    <row r="437" spans="1:34" ht="90" x14ac:dyDescent="0.25">
      <c r="A437" s="24" t="str">
        <f>HYPERLINK("https://www.cpso.on.ca/DoctorDetails/Craig-Aaron-Beach/0200736-79257","Beach, Craig Aaron")</f>
        <v>Beach, Craig Aaron</v>
      </c>
      <c r="B437" s="25" t="s">
        <v>4773</v>
      </c>
      <c r="C437" s="24" t="s">
        <v>4774</v>
      </c>
      <c r="D437" s="24" t="s">
        <v>4775</v>
      </c>
      <c r="E437" s="24" t="s">
        <v>29</v>
      </c>
      <c r="F437" s="24" t="s">
        <v>30</v>
      </c>
      <c r="G437" s="24" t="s">
        <v>31</v>
      </c>
      <c r="H437" s="24" t="s">
        <v>1604</v>
      </c>
      <c r="I437" s="24" t="s">
        <v>4776</v>
      </c>
      <c r="J437" s="24" t="s">
        <v>4777</v>
      </c>
      <c r="K437" s="24"/>
      <c r="L437" s="24" t="s">
        <v>152</v>
      </c>
      <c r="M437" s="15"/>
      <c r="N437" s="15" t="s">
        <v>735</v>
      </c>
      <c r="O437" s="15"/>
      <c r="P437" s="15" t="s">
        <v>4778</v>
      </c>
      <c r="Q437" s="15" t="s">
        <v>4779</v>
      </c>
      <c r="R437" s="15" t="s">
        <v>4780</v>
      </c>
      <c r="S437" s="24" t="s">
        <v>71</v>
      </c>
      <c r="T437" s="24" t="s">
        <v>39</v>
      </c>
      <c r="U437" s="24" t="s">
        <v>39</v>
      </c>
      <c r="V437" s="24" t="s">
        <v>39</v>
      </c>
      <c r="W437" s="24" t="s">
        <v>4781</v>
      </c>
      <c r="X437" s="24" t="s">
        <v>292</v>
      </c>
      <c r="Y437" s="15" t="s">
        <v>4782</v>
      </c>
      <c r="Z437" s="15" t="s">
        <v>4783</v>
      </c>
      <c r="AA437" s="24"/>
      <c r="AB437" s="24"/>
      <c r="AC437" s="24"/>
      <c r="AD437" s="24"/>
      <c r="AE437" s="24"/>
      <c r="AF437" s="24"/>
      <c r="AG437" s="24"/>
      <c r="AH437" s="24"/>
    </row>
    <row r="438" spans="1:34" ht="75" x14ac:dyDescent="0.25">
      <c r="A438" s="24" t="str">
        <f>HYPERLINK("https://www.cpso.on.ca/DoctorDetails/Craig-Andrew-Livermore/0210659-81036","Livermore, Craig Andrew")</f>
        <v>Livermore, Craig Andrew</v>
      </c>
      <c r="B438" s="25" t="s">
        <v>4784</v>
      </c>
      <c r="C438" s="24" t="s">
        <v>45</v>
      </c>
      <c r="D438" s="24" t="s">
        <v>46</v>
      </c>
      <c r="E438" s="24" t="s">
        <v>29</v>
      </c>
      <c r="F438" s="24" t="s">
        <v>30</v>
      </c>
      <c r="G438" s="24" t="s">
        <v>31</v>
      </c>
      <c r="H438" s="24" t="s">
        <v>1170</v>
      </c>
      <c r="I438" s="24" t="s">
        <v>4785</v>
      </c>
      <c r="J438" s="24" t="s">
        <v>4786</v>
      </c>
      <c r="K438" s="24" t="s">
        <v>4787</v>
      </c>
      <c r="L438" s="24" t="s">
        <v>36</v>
      </c>
      <c r="M438" s="15"/>
      <c r="N438" s="15"/>
      <c r="O438" s="15" t="s">
        <v>4788</v>
      </c>
      <c r="P438" s="15" t="s">
        <v>55</v>
      </c>
      <c r="Q438" s="15" t="s">
        <v>4789</v>
      </c>
      <c r="R438" s="15" t="s">
        <v>57</v>
      </c>
      <c r="S438" s="24" t="s">
        <v>39</v>
      </c>
      <c r="T438" s="24" t="s">
        <v>39</v>
      </c>
      <c r="U438" s="24" t="s">
        <v>39</v>
      </c>
      <c r="V438" s="24" t="s">
        <v>39</v>
      </c>
      <c r="W438" s="24" t="s">
        <v>4790</v>
      </c>
      <c r="X438" s="24" t="s">
        <v>4791</v>
      </c>
      <c r="Y438" s="15" t="s">
        <v>4792</v>
      </c>
      <c r="Z438" s="15" t="s">
        <v>4793</v>
      </c>
      <c r="AA438" s="24"/>
      <c r="AB438" s="24"/>
      <c r="AC438" s="24"/>
      <c r="AD438" s="24"/>
      <c r="AE438" s="24"/>
      <c r="AF438" s="24"/>
      <c r="AG438" s="24"/>
      <c r="AH438" s="24"/>
    </row>
    <row r="439" spans="1:34" ht="105" x14ac:dyDescent="0.25">
      <c r="A439" s="24" t="str">
        <f>HYPERLINK("https://www.cpso.on.ca/DoctorDetails/Craig-James-Hudson/0045735-59713","Hudson, Craig James")</f>
        <v>Hudson, Craig James</v>
      </c>
      <c r="B439" s="25" t="s">
        <v>4794</v>
      </c>
      <c r="C439" s="24" t="s">
        <v>2286</v>
      </c>
      <c r="D439" s="24" t="s">
        <v>4795</v>
      </c>
      <c r="E439" s="24" t="s">
        <v>29</v>
      </c>
      <c r="F439" s="24" t="s">
        <v>30</v>
      </c>
      <c r="G439" s="24" t="s">
        <v>31</v>
      </c>
      <c r="H439" s="24" t="s">
        <v>2288</v>
      </c>
      <c r="I439" s="24" t="s">
        <v>4796</v>
      </c>
      <c r="J439" s="24" t="s">
        <v>4797</v>
      </c>
      <c r="K439" s="24" t="s">
        <v>4798</v>
      </c>
      <c r="L439" s="24" t="s">
        <v>52</v>
      </c>
      <c r="M439" s="15"/>
      <c r="N439" s="15"/>
      <c r="O439" s="15" t="s">
        <v>4799</v>
      </c>
      <c r="P439" s="15" t="s">
        <v>2293</v>
      </c>
      <c r="Q439" s="15" t="s">
        <v>4800</v>
      </c>
      <c r="R439" s="15" t="s">
        <v>4801</v>
      </c>
      <c r="S439" s="24" t="s">
        <v>39</v>
      </c>
      <c r="T439" s="24" t="s">
        <v>39</v>
      </c>
      <c r="U439" s="24" t="s">
        <v>39</v>
      </c>
      <c r="V439" s="24" t="s">
        <v>39</v>
      </c>
      <c r="W439" s="24" t="s">
        <v>4802</v>
      </c>
      <c r="X439" s="24" t="s">
        <v>4803</v>
      </c>
      <c r="Y439" s="15" t="s">
        <v>4804</v>
      </c>
      <c r="Z439" s="15" t="s">
        <v>4805</v>
      </c>
      <c r="AA439" s="24"/>
      <c r="AB439" s="24"/>
      <c r="AC439" s="24"/>
      <c r="AD439" s="24"/>
      <c r="AE439" s="24"/>
      <c r="AF439" s="24"/>
      <c r="AG439" s="24"/>
      <c r="AH439" s="24"/>
    </row>
    <row r="440" spans="1:34" ht="135" x14ac:dyDescent="0.25">
      <c r="A440" s="24" t="str">
        <f>HYPERLINK("https://www.cpso.on.ca/DoctorDetails/Craig-Paul-Stewart/0281223-98549","Stewart, Craig Paul")</f>
        <v>Stewart, Craig Paul</v>
      </c>
      <c r="B440" s="25" t="s">
        <v>4806</v>
      </c>
      <c r="C440" s="24" t="s">
        <v>544</v>
      </c>
      <c r="D440" s="24" t="s">
        <v>4807</v>
      </c>
      <c r="E440" s="24" t="s">
        <v>29</v>
      </c>
      <c r="F440" s="24" t="s">
        <v>30</v>
      </c>
      <c r="G440" s="24" t="s">
        <v>31</v>
      </c>
      <c r="H440" s="24" t="s">
        <v>4808</v>
      </c>
      <c r="I440" s="24" t="s">
        <v>4809</v>
      </c>
      <c r="J440" s="24" t="s">
        <v>4810</v>
      </c>
      <c r="K440" s="24"/>
      <c r="L440" s="24" t="s">
        <v>135</v>
      </c>
      <c r="M440" s="15" t="s">
        <v>4811</v>
      </c>
      <c r="N440" s="15"/>
      <c r="O440" s="15" t="s">
        <v>4812</v>
      </c>
      <c r="P440" s="15" t="s">
        <v>4813</v>
      </c>
      <c r="Q440" s="15" t="s">
        <v>4814</v>
      </c>
      <c r="R440" s="15" t="s">
        <v>4815</v>
      </c>
      <c r="S440" s="24" t="s">
        <v>39</v>
      </c>
      <c r="T440" s="24" t="s">
        <v>39</v>
      </c>
      <c r="U440" s="24" t="s">
        <v>39</v>
      </c>
      <c r="V440" s="24" t="s">
        <v>39</v>
      </c>
      <c r="W440" s="24"/>
      <c r="X440" s="24"/>
      <c r="Y440" s="15"/>
      <c r="Z440" s="15"/>
      <c r="AA440" s="24"/>
      <c r="AB440" s="24"/>
      <c r="AC440" s="24"/>
      <c r="AD440" s="24"/>
      <c r="AE440" s="24"/>
      <c r="AF440" s="24"/>
      <c r="AG440" s="24"/>
      <c r="AH440" s="24"/>
    </row>
    <row r="441" spans="1:34" ht="75" x14ac:dyDescent="0.25">
      <c r="A441" s="24" t="str">
        <f>HYPERLINK("https://www.cpso.on.ca/DoctorDetails/Crystal-Anne-Baluyut/0191075-77903","Baluyut, Crystal Anne")</f>
        <v>Baluyut, Crystal Anne</v>
      </c>
      <c r="B441" s="25" t="s">
        <v>4816</v>
      </c>
      <c r="C441" s="24" t="s">
        <v>921</v>
      </c>
      <c r="D441" s="24" t="s">
        <v>922</v>
      </c>
      <c r="E441" s="24" t="s">
        <v>29</v>
      </c>
      <c r="F441" s="24" t="s">
        <v>47</v>
      </c>
      <c r="G441" s="24" t="s">
        <v>31</v>
      </c>
      <c r="H441" s="24" t="s">
        <v>4433</v>
      </c>
      <c r="I441" s="24" t="s">
        <v>4817</v>
      </c>
      <c r="J441" s="24" t="s">
        <v>4818</v>
      </c>
      <c r="K441" s="24" t="s">
        <v>841</v>
      </c>
      <c r="L441" s="24" t="s">
        <v>52</v>
      </c>
      <c r="M441" s="15"/>
      <c r="N441" s="15"/>
      <c r="O441" s="15" t="s">
        <v>793</v>
      </c>
      <c r="P441" s="15" t="s">
        <v>488</v>
      </c>
      <c r="Q441" s="15" t="s">
        <v>489</v>
      </c>
      <c r="R441" s="15" t="s">
        <v>929</v>
      </c>
      <c r="S441" s="24" t="s">
        <v>39</v>
      </c>
      <c r="T441" s="24" t="s">
        <v>39</v>
      </c>
      <c r="U441" s="24" t="s">
        <v>39</v>
      </c>
      <c r="V441" s="24" t="s">
        <v>39</v>
      </c>
      <c r="W441" s="24"/>
      <c r="X441" s="24"/>
      <c r="Y441" s="15"/>
      <c r="Z441" s="15"/>
      <c r="AA441" s="24"/>
      <c r="AB441" s="24"/>
      <c r="AC441" s="24"/>
      <c r="AD441" s="24"/>
      <c r="AE441" s="24"/>
      <c r="AF441" s="24"/>
      <c r="AG441" s="24"/>
      <c r="AH441" s="24"/>
    </row>
    <row r="442" spans="1:34" ht="75" x14ac:dyDescent="0.25">
      <c r="A442" s="24" t="str">
        <f>HYPERLINK("https://www.cpso.on.ca/DoctorDetails/Crystal-MaryLou-Pinto/0266110-93168","Pinto, Crystal Mary-Lou")</f>
        <v>Pinto, Crystal Mary-Lou</v>
      </c>
      <c r="B442" s="25" t="s">
        <v>4819</v>
      </c>
      <c r="C442" s="24" t="s">
        <v>570</v>
      </c>
      <c r="D442" s="24" t="s">
        <v>571</v>
      </c>
      <c r="E442" s="24" t="s">
        <v>29</v>
      </c>
      <c r="F442" s="24" t="s">
        <v>47</v>
      </c>
      <c r="G442" s="24" t="s">
        <v>31</v>
      </c>
      <c r="H442" s="24" t="s">
        <v>968</v>
      </c>
      <c r="I442" s="24" t="s">
        <v>4820</v>
      </c>
      <c r="J442" s="24" t="s">
        <v>4821</v>
      </c>
      <c r="K442" s="24" t="s">
        <v>4720</v>
      </c>
      <c r="L442" s="24" t="s">
        <v>52</v>
      </c>
      <c r="M442" s="15" t="s">
        <v>4822</v>
      </c>
      <c r="N442" s="15"/>
      <c r="O442" s="15" t="s">
        <v>4823</v>
      </c>
      <c r="P442" s="15" t="s">
        <v>629</v>
      </c>
      <c r="Q442" s="15" t="s">
        <v>4824</v>
      </c>
      <c r="R442" s="15" t="s">
        <v>1706</v>
      </c>
      <c r="S442" s="24" t="s">
        <v>39</v>
      </c>
      <c r="T442" s="24" t="s">
        <v>39</v>
      </c>
      <c r="U442" s="24" t="s">
        <v>39</v>
      </c>
      <c r="V442" s="24" t="s">
        <v>39</v>
      </c>
      <c r="W442" s="24" t="s">
        <v>4825</v>
      </c>
      <c r="X442" s="24" t="s">
        <v>4826</v>
      </c>
      <c r="Y442" s="15" t="s">
        <v>4827</v>
      </c>
      <c r="Z442" s="15" t="s">
        <v>4828</v>
      </c>
      <c r="AA442" s="24"/>
      <c r="AB442" s="24"/>
      <c r="AC442" s="24"/>
      <c r="AD442" s="24"/>
      <c r="AE442" s="24"/>
      <c r="AF442" s="24"/>
      <c r="AG442" s="24"/>
      <c r="AH442" s="24"/>
    </row>
    <row r="443" spans="1:34" ht="120" x14ac:dyDescent="0.25">
      <c r="A443" s="24" t="str">
        <f>HYPERLINK("https://www.cpso.on.ca/DoctorDetails/Cynthia-Anne-Lazar/0041795-55771","Lazar, Cynthia Anne")</f>
        <v>Lazar, Cynthia Anne</v>
      </c>
      <c r="B443" s="25" t="s">
        <v>4829</v>
      </c>
      <c r="C443" s="24" t="s">
        <v>4830</v>
      </c>
      <c r="D443" s="24" t="s">
        <v>4831</v>
      </c>
      <c r="E443" s="24" t="s">
        <v>29</v>
      </c>
      <c r="F443" s="24" t="s">
        <v>47</v>
      </c>
      <c r="G443" s="24" t="s">
        <v>31</v>
      </c>
      <c r="H443" s="24" t="s">
        <v>2904</v>
      </c>
      <c r="I443" s="24" t="s">
        <v>4832</v>
      </c>
      <c r="J443" s="24" t="s">
        <v>4833</v>
      </c>
      <c r="K443" s="24"/>
      <c r="L443" s="24" t="s">
        <v>52</v>
      </c>
      <c r="M443" s="15"/>
      <c r="N443" s="15"/>
      <c r="O443" s="15"/>
      <c r="P443" s="15" t="s">
        <v>4834</v>
      </c>
      <c r="Q443" s="15" t="s">
        <v>4835</v>
      </c>
      <c r="R443" s="15" t="s">
        <v>4836</v>
      </c>
      <c r="S443" s="24" t="s">
        <v>39</v>
      </c>
      <c r="T443" s="24" t="s">
        <v>39</v>
      </c>
      <c r="U443" s="24" t="s">
        <v>39</v>
      </c>
      <c r="V443" s="24" t="s">
        <v>39</v>
      </c>
      <c r="W443" s="24" t="s">
        <v>4837</v>
      </c>
      <c r="X443" s="24" t="s">
        <v>1681</v>
      </c>
      <c r="Y443" s="15" t="s">
        <v>4838</v>
      </c>
      <c r="Z443" s="15" t="s">
        <v>4839</v>
      </c>
      <c r="AA443" s="24"/>
      <c r="AB443" s="24"/>
      <c r="AC443" s="24"/>
      <c r="AD443" s="24"/>
      <c r="AE443" s="24"/>
      <c r="AF443" s="24"/>
      <c r="AG443" s="24"/>
      <c r="AH443" s="24"/>
    </row>
    <row r="444" spans="1:34" ht="30" x14ac:dyDescent="0.25">
      <c r="A444" s="24" t="str">
        <f>HYPERLINK("https://www.cpso.on.ca/DoctorDetails/Cynthia-Lynn-Ryerse/0046694-60672","Ryerse, Cynthia Lynn")</f>
        <v>Ryerse, Cynthia Lynn</v>
      </c>
      <c r="B444" s="25" t="s">
        <v>4840</v>
      </c>
      <c r="C444" s="24" t="s">
        <v>2629</v>
      </c>
      <c r="D444" s="24" t="s">
        <v>4841</v>
      </c>
      <c r="E444" s="24" t="s">
        <v>29</v>
      </c>
      <c r="F444" s="24" t="s">
        <v>47</v>
      </c>
      <c r="G444" s="24" t="s">
        <v>31</v>
      </c>
      <c r="H444" s="24" t="s">
        <v>767</v>
      </c>
      <c r="I444" s="24" t="s">
        <v>4842</v>
      </c>
      <c r="J444" s="24" t="s">
        <v>4843</v>
      </c>
      <c r="K444" s="24" t="s">
        <v>4844</v>
      </c>
      <c r="L444" s="24" t="s">
        <v>184</v>
      </c>
      <c r="M444" s="15"/>
      <c r="N444" s="15"/>
      <c r="O444" s="15"/>
      <c r="P444" s="15" t="s">
        <v>4559</v>
      </c>
      <c r="Q444" s="15"/>
      <c r="R444" s="15" t="s">
        <v>4845</v>
      </c>
      <c r="S444" s="24" t="s">
        <v>39</v>
      </c>
      <c r="T444" s="24" t="s">
        <v>39</v>
      </c>
      <c r="U444" s="24" t="s">
        <v>39</v>
      </c>
      <c r="V444" s="24" t="s">
        <v>39</v>
      </c>
      <c r="W444" s="24"/>
      <c r="X444" s="24"/>
      <c r="Y444" s="15"/>
      <c r="Z444" s="15"/>
      <c r="AA444" s="24"/>
      <c r="AB444" s="24"/>
      <c r="AC444" s="24"/>
      <c r="AD444" s="24"/>
      <c r="AE444" s="24"/>
      <c r="AF444" s="24"/>
      <c r="AG444" s="24"/>
      <c r="AH444" s="24"/>
    </row>
    <row r="445" spans="1:34" x14ac:dyDescent="0.25">
      <c r="A445" s="24" t="str">
        <f>HYPERLINK("https://www.cpso.on.ca/DoctorDetails/Cynthia-Margaret-Saruk/0039729-53705","Saruk, Cynthia Margaret")</f>
        <v>Saruk, Cynthia Margaret</v>
      </c>
      <c r="B445" s="25" t="s">
        <v>4846</v>
      </c>
      <c r="C445" s="24" t="s">
        <v>4847</v>
      </c>
      <c r="D445" s="24" t="s">
        <v>4848</v>
      </c>
      <c r="E445" s="24" t="s">
        <v>29</v>
      </c>
      <c r="F445" s="24" t="s">
        <v>47</v>
      </c>
      <c r="G445" s="24" t="s">
        <v>31</v>
      </c>
      <c r="H445" s="24" t="s">
        <v>4849</v>
      </c>
      <c r="I445" s="24" t="s">
        <v>4850</v>
      </c>
      <c r="J445" s="24" t="s">
        <v>4851</v>
      </c>
      <c r="K445" s="24" t="s">
        <v>4852</v>
      </c>
      <c r="L445" s="24" t="s">
        <v>52</v>
      </c>
      <c r="M445" s="15"/>
      <c r="N445" s="15"/>
      <c r="O445" s="15"/>
      <c r="P445" s="15" t="s">
        <v>4853</v>
      </c>
      <c r="Q445" s="15"/>
      <c r="R445" s="15" t="s">
        <v>4854</v>
      </c>
      <c r="S445" s="24" t="s">
        <v>39</v>
      </c>
      <c r="T445" s="24" t="s">
        <v>39</v>
      </c>
      <c r="U445" s="24" t="s">
        <v>39</v>
      </c>
      <c r="V445" s="24" t="s">
        <v>39</v>
      </c>
      <c r="W445" s="24"/>
      <c r="X445" s="24"/>
      <c r="Y445" s="15"/>
      <c r="Z445" s="15"/>
      <c r="AA445" s="24"/>
      <c r="AB445" s="24"/>
      <c r="AC445" s="24"/>
      <c r="AD445" s="24"/>
      <c r="AE445" s="24"/>
      <c r="AF445" s="24"/>
      <c r="AG445" s="24"/>
      <c r="AH445" s="24"/>
    </row>
    <row r="446" spans="1:34" x14ac:dyDescent="0.25">
      <c r="A446" s="24" t="str">
        <f>HYPERLINK("https://www.cpso.on.ca/DoctorDetails/Cynthia-May-Gertsman/0021226-26014","Gertsman, Cynthia May")</f>
        <v>Gertsman, Cynthia May</v>
      </c>
      <c r="B446" s="25" t="s">
        <v>4855</v>
      </c>
      <c r="C446" s="24" t="s">
        <v>4856</v>
      </c>
      <c r="D446" s="24" t="s">
        <v>4857</v>
      </c>
      <c r="E446" s="24" t="s">
        <v>29</v>
      </c>
      <c r="F446" s="24" t="s">
        <v>47</v>
      </c>
      <c r="G446" s="24" t="s">
        <v>31</v>
      </c>
      <c r="H446" s="24" t="s">
        <v>4858</v>
      </c>
      <c r="I446" s="24" t="s">
        <v>4859</v>
      </c>
      <c r="J446" s="24" t="s">
        <v>4860</v>
      </c>
      <c r="K446" s="24" t="s">
        <v>4861</v>
      </c>
      <c r="L446" s="24" t="s">
        <v>52</v>
      </c>
      <c r="M446" s="15"/>
      <c r="N446" s="15"/>
      <c r="O446" s="15"/>
      <c r="P446" s="15" t="s">
        <v>4862</v>
      </c>
      <c r="Q446" s="15"/>
      <c r="R446" s="15" t="s">
        <v>4863</v>
      </c>
      <c r="S446" s="24" t="s">
        <v>39</v>
      </c>
      <c r="T446" s="24" t="s">
        <v>39</v>
      </c>
      <c r="U446" s="24" t="s">
        <v>39</v>
      </c>
      <c r="V446" s="24" t="s">
        <v>39</v>
      </c>
      <c r="W446" s="24"/>
      <c r="X446" s="24"/>
      <c r="Y446" s="15"/>
      <c r="Z446" s="15"/>
      <c r="AA446" s="24"/>
      <c r="AB446" s="24"/>
      <c r="AC446" s="24"/>
      <c r="AD446" s="24"/>
      <c r="AE446" s="24"/>
      <c r="AF446" s="24"/>
      <c r="AG446" s="24"/>
      <c r="AH446" s="24"/>
    </row>
    <row r="447" spans="1:34" ht="120" x14ac:dyDescent="0.25">
      <c r="A447" s="24" t="str">
        <f>HYPERLINK("https://www.cpso.on.ca/DoctorDetails/Dafni-Addisen-Sadler/0275124-96154","Sadler, Dafni Addisen")</f>
        <v>Sadler, Dafni Addisen</v>
      </c>
      <c r="B447" s="25" t="s">
        <v>4864</v>
      </c>
      <c r="C447" s="24" t="s">
        <v>4865</v>
      </c>
      <c r="D447" s="24" t="s">
        <v>4866</v>
      </c>
      <c r="E447" s="24" t="s">
        <v>29</v>
      </c>
      <c r="F447" s="24" t="s">
        <v>47</v>
      </c>
      <c r="G447" s="24" t="s">
        <v>31</v>
      </c>
      <c r="H447" s="24" t="s">
        <v>4867</v>
      </c>
      <c r="I447" s="24" t="s">
        <v>4868</v>
      </c>
      <c r="J447" s="24" t="s">
        <v>4869</v>
      </c>
      <c r="K447" s="24" t="s">
        <v>4870</v>
      </c>
      <c r="L447" s="24" t="s">
        <v>36</v>
      </c>
      <c r="M447" s="15"/>
      <c r="N447" s="15" t="s">
        <v>120</v>
      </c>
      <c r="O447" s="15" t="s">
        <v>4871</v>
      </c>
      <c r="P447" s="15" t="s">
        <v>629</v>
      </c>
      <c r="Q447" s="15" t="s">
        <v>4872</v>
      </c>
      <c r="R447" s="15" t="s">
        <v>4873</v>
      </c>
      <c r="S447" s="24" t="s">
        <v>39</v>
      </c>
      <c r="T447" s="24" t="s">
        <v>39</v>
      </c>
      <c r="U447" s="24" t="s">
        <v>39</v>
      </c>
      <c r="V447" s="24" t="s">
        <v>39</v>
      </c>
      <c r="W447" s="24"/>
      <c r="X447" s="24"/>
      <c r="Y447" s="15"/>
      <c r="Z447" s="15"/>
      <c r="AA447" s="24"/>
      <c r="AB447" s="24"/>
      <c r="AC447" s="24"/>
      <c r="AD447" s="24"/>
      <c r="AE447" s="24"/>
      <c r="AF447" s="24"/>
      <c r="AG447" s="24"/>
      <c r="AH447" s="24"/>
    </row>
    <row r="448" spans="1:34" ht="90" x14ac:dyDescent="0.25">
      <c r="A448" s="24" t="str">
        <f>HYPERLINK("https://www.cpso.on.ca/DoctorDetails/Daina-Leigh-Debly/0249902-89326","Debly, Daina Leigh")</f>
        <v>Debly, Daina Leigh</v>
      </c>
      <c r="B448" s="25" t="s">
        <v>4874</v>
      </c>
      <c r="C448" s="24" t="s">
        <v>4875</v>
      </c>
      <c r="D448" s="24" t="s">
        <v>4876</v>
      </c>
      <c r="E448" s="24" t="s">
        <v>4877</v>
      </c>
      <c r="F448" s="24" t="s">
        <v>47</v>
      </c>
      <c r="G448" s="24" t="s">
        <v>31</v>
      </c>
      <c r="H448" s="24" t="s">
        <v>4878</v>
      </c>
      <c r="I448" s="24" t="s">
        <v>4879</v>
      </c>
      <c r="J448" s="24" t="s">
        <v>4880</v>
      </c>
      <c r="K448" s="24"/>
      <c r="L448" s="24" t="s">
        <v>184</v>
      </c>
      <c r="M448" s="15" t="s">
        <v>4881</v>
      </c>
      <c r="N448" s="15"/>
      <c r="O448" s="15" t="s">
        <v>4882</v>
      </c>
      <c r="P448" s="15" t="s">
        <v>449</v>
      </c>
      <c r="Q448" s="15" t="s">
        <v>4883</v>
      </c>
      <c r="R448" s="15" t="s">
        <v>4884</v>
      </c>
      <c r="S448" s="24" t="s">
        <v>39</v>
      </c>
      <c r="T448" s="24" t="s">
        <v>39</v>
      </c>
      <c r="U448" s="24" t="s">
        <v>39</v>
      </c>
      <c r="V448" s="24" t="s">
        <v>39</v>
      </c>
      <c r="W448" s="24" t="s">
        <v>4885</v>
      </c>
      <c r="X448" s="24" t="s">
        <v>4886</v>
      </c>
      <c r="Y448" s="15" t="s">
        <v>4887</v>
      </c>
      <c r="Z448" s="15" t="s">
        <v>4888</v>
      </c>
      <c r="AA448" s="24"/>
      <c r="AB448" s="24"/>
      <c r="AC448" s="24"/>
      <c r="AD448" s="24"/>
      <c r="AE448" s="24"/>
      <c r="AF448" s="24"/>
      <c r="AG448" s="24"/>
      <c r="AH448" s="24"/>
    </row>
    <row r="449" spans="1:34" ht="75" x14ac:dyDescent="0.25">
      <c r="A449" s="24" t="str">
        <f>HYPERLINK("https://www.cpso.on.ca/DoctorDetails/Dale-Virginia-Edwards/0019147-23934","Edwards, Dale Virginia")</f>
        <v>Edwards, Dale Virginia</v>
      </c>
      <c r="B449" s="25" t="s">
        <v>4889</v>
      </c>
      <c r="C449" s="24" t="s">
        <v>2423</v>
      </c>
      <c r="D449" s="24" t="s">
        <v>2424</v>
      </c>
      <c r="E449" s="24" t="s">
        <v>29</v>
      </c>
      <c r="F449" s="24" t="s">
        <v>47</v>
      </c>
      <c r="G449" s="24" t="s">
        <v>31</v>
      </c>
      <c r="H449" s="24" t="s">
        <v>4890</v>
      </c>
      <c r="I449" s="24" t="s">
        <v>4891</v>
      </c>
      <c r="J449" s="24" t="s">
        <v>4892</v>
      </c>
      <c r="K449" s="24" t="s">
        <v>4893</v>
      </c>
      <c r="L449" s="24" t="s">
        <v>52</v>
      </c>
      <c r="M449" s="15"/>
      <c r="N449" s="15"/>
      <c r="O449" s="15"/>
      <c r="P449" s="15" t="s">
        <v>4894</v>
      </c>
      <c r="Q449" s="15"/>
      <c r="R449" s="15" t="s">
        <v>4895</v>
      </c>
      <c r="S449" s="24" t="s">
        <v>39</v>
      </c>
      <c r="T449" s="24" t="s">
        <v>39</v>
      </c>
      <c r="U449" s="24" t="s">
        <v>39</v>
      </c>
      <c r="V449" s="24" t="s">
        <v>39</v>
      </c>
      <c r="W449" s="24"/>
      <c r="X449" s="24"/>
      <c r="Y449" s="15"/>
      <c r="Z449" s="15"/>
      <c r="AA449" s="24"/>
      <c r="AB449" s="24"/>
      <c r="AC449" s="24"/>
      <c r="AD449" s="24"/>
      <c r="AE449" s="24"/>
      <c r="AF449" s="24"/>
      <c r="AG449" s="24"/>
      <c r="AH449" s="24"/>
    </row>
    <row r="450" spans="1:34" ht="105" x14ac:dyDescent="0.25">
      <c r="A450" s="24" t="str">
        <f>HYPERLINK("https://www.cpso.on.ca/DoctorDetails/Dallas-Peter-Seitz/0203593-79240","Seitz, Dallas Peter")</f>
        <v>Seitz, Dallas Peter</v>
      </c>
      <c r="B450" s="25" t="s">
        <v>4896</v>
      </c>
      <c r="C450" s="24" t="s">
        <v>871</v>
      </c>
      <c r="D450" s="24" t="s">
        <v>872</v>
      </c>
      <c r="E450" s="24" t="s">
        <v>29</v>
      </c>
      <c r="F450" s="24" t="s">
        <v>30</v>
      </c>
      <c r="G450" s="24" t="s">
        <v>31</v>
      </c>
      <c r="H450" s="24" t="s">
        <v>4897</v>
      </c>
      <c r="I450" s="24" t="s">
        <v>4898</v>
      </c>
      <c r="J450" s="24" t="s">
        <v>4899</v>
      </c>
      <c r="K450" s="24" t="s">
        <v>4900</v>
      </c>
      <c r="L450" s="24" t="s">
        <v>340</v>
      </c>
      <c r="M450" s="15"/>
      <c r="N450" s="15"/>
      <c r="O450" s="15" t="s">
        <v>4901</v>
      </c>
      <c r="P450" s="15" t="s">
        <v>880</v>
      </c>
      <c r="Q450" s="15" t="s">
        <v>4902</v>
      </c>
      <c r="R450" s="15" t="s">
        <v>882</v>
      </c>
      <c r="S450" s="24" t="s">
        <v>39</v>
      </c>
      <c r="T450" s="24" t="s">
        <v>39</v>
      </c>
      <c r="U450" s="24" t="s">
        <v>39</v>
      </c>
      <c r="V450" s="24" t="s">
        <v>39</v>
      </c>
      <c r="W450" s="24"/>
      <c r="X450" s="24"/>
      <c r="Y450" s="15"/>
      <c r="Z450" s="15"/>
      <c r="AA450" s="24"/>
      <c r="AB450" s="24"/>
      <c r="AC450" s="24"/>
      <c r="AD450" s="24"/>
      <c r="AE450" s="24"/>
      <c r="AF450" s="24"/>
      <c r="AG450" s="24"/>
      <c r="AH450" s="24"/>
    </row>
    <row r="451" spans="1:34" ht="60" x14ac:dyDescent="0.25">
      <c r="A451" s="24" t="str">
        <f>HYPERLINK("https://www.cpso.on.ca/DoctorDetails/Damien-Oliver-Gallagher/0289347-102135","Gallagher, Damien Oliver")</f>
        <v>Gallagher, Damien Oliver</v>
      </c>
      <c r="B451" s="25" t="s">
        <v>4903</v>
      </c>
      <c r="C451" s="24" t="s">
        <v>4904</v>
      </c>
      <c r="D451" s="24" t="s">
        <v>4905</v>
      </c>
      <c r="E451" s="24" t="s">
        <v>29</v>
      </c>
      <c r="F451" s="24" t="s">
        <v>30</v>
      </c>
      <c r="G451" s="24" t="s">
        <v>31</v>
      </c>
      <c r="H451" s="24" t="s">
        <v>4906</v>
      </c>
      <c r="I451" s="24" t="s">
        <v>4907</v>
      </c>
      <c r="J451" s="24" t="s">
        <v>3877</v>
      </c>
      <c r="K451" s="24" t="s">
        <v>4908</v>
      </c>
      <c r="L451" s="24" t="s">
        <v>52</v>
      </c>
      <c r="M451" s="15"/>
      <c r="N451" s="15" t="s">
        <v>4171</v>
      </c>
      <c r="O451" s="15" t="s">
        <v>1397</v>
      </c>
      <c r="P451" s="15" t="s">
        <v>4909</v>
      </c>
      <c r="Q451" s="15"/>
      <c r="R451" s="15" t="s">
        <v>4910</v>
      </c>
      <c r="S451" s="24" t="s">
        <v>71</v>
      </c>
      <c r="T451" s="24" t="s">
        <v>39</v>
      </c>
      <c r="U451" s="24" t="s">
        <v>39</v>
      </c>
      <c r="V451" s="24" t="s">
        <v>39</v>
      </c>
      <c r="W451" s="24" t="s">
        <v>4911</v>
      </c>
      <c r="X451" s="24" t="s">
        <v>4912</v>
      </c>
      <c r="Y451" s="15" t="s">
        <v>4913</v>
      </c>
      <c r="Z451" s="15" t="s">
        <v>4914</v>
      </c>
      <c r="AA451" s="24"/>
      <c r="AB451" s="24"/>
      <c r="AC451" s="24"/>
      <c r="AD451" s="24"/>
      <c r="AE451" s="24"/>
      <c r="AF451" s="24"/>
      <c r="AG451" s="24"/>
      <c r="AH451" s="24"/>
    </row>
    <row r="452" spans="1:34" ht="75" x14ac:dyDescent="0.25">
      <c r="A452" s="24" t="str">
        <f>HYPERLINK("https://www.cpso.on.ca/DoctorDetails/Dana-Ceridwen-Ross/0267049-94014","Ross, Dana Ceridwen")</f>
        <v>Ross, Dana Ceridwen</v>
      </c>
      <c r="B452" s="25" t="s">
        <v>4915</v>
      </c>
      <c r="C452" s="24" t="s">
        <v>570</v>
      </c>
      <c r="D452" s="24" t="s">
        <v>571</v>
      </c>
      <c r="E452" s="24" t="s">
        <v>29</v>
      </c>
      <c r="F452" s="24" t="s">
        <v>47</v>
      </c>
      <c r="G452" s="24" t="s">
        <v>31</v>
      </c>
      <c r="H452" s="24" t="s">
        <v>4916</v>
      </c>
      <c r="I452" s="24" t="s">
        <v>4917</v>
      </c>
      <c r="J452" s="24" t="s">
        <v>4918</v>
      </c>
      <c r="K452" s="24"/>
      <c r="L452" s="24" t="s">
        <v>52</v>
      </c>
      <c r="M452" s="15"/>
      <c r="N452" s="15"/>
      <c r="O452" s="15" t="s">
        <v>1110</v>
      </c>
      <c r="P452" s="15" t="s">
        <v>629</v>
      </c>
      <c r="Q452" s="15" t="s">
        <v>4919</v>
      </c>
      <c r="R452" s="15" t="s">
        <v>1706</v>
      </c>
      <c r="S452" s="24" t="s">
        <v>39</v>
      </c>
      <c r="T452" s="24" t="s">
        <v>39</v>
      </c>
      <c r="U452" s="24" t="s">
        <v>39</v>
      </c>
      <c r="V452" s="24" t="s">
        <v>39</v>
      </c>
      <c r="W452" s="24"/>
      <c r="X452" s="24"/>
      <c r="Y452" s="15"/>
      <c r="Z452" s="15"/>
      <c r="AA452" s="24"/>
      <c r="AB452" s="24"/>
      <c r="AC452" s="24"/>
      <c r="AD452" s="24"/>
      <c r="AE452" s="24"/>
      <c r="AF452" s="24"/>
      <c r="AG452" s="24"/>
      <c r="AH452" s="24"/>
    </row>
    <row r="453" spans="1:34" ht="75" x14ac:dyDescent="0.25">
      <c r="A453" s="24" t="str">
        <f>HYPERLINK("https://www.cpso.on.ca/DoctorDetails/Dana-Cristina-Stejar/0210490-81597","Stejar, Dana Cristina")</f>
        <v>Stejar, Dana Cristina</v>
      </c>
      <c r="B453" s="25" t="s">
        <v>4920</v>
      </c>
      <c r="C453" s="24" t="s">
        <v>45</v>
      </c>
      <c r="D453" s="24" t="s">
        <v>46</v>
      </c>
      <c r="E453" s="24" t="s">
        <v>29</v>
      </c>
      <c r="F453" s="24" t="s">
        <v>47</v>
      </c>
      <c r="G453" s="24" t="s">
        <v>923</v>
      </c>
      <c r="H453" s="24" t="s">
        <v>4921</v>
      </c>
      <c r="I453" s="24" t="s">
        <v>4922</v>
      </c>
      <c r="J453" s="24" t="s">
        <v>4923</v>
      </c>
      <c r="K453" s="24"/>
      <c r="L453" s="24" t="s">
        <v>340</v>
      </c>
      <c r="M453" s="15"/>
      <c r="N453" s="15"/>
      <c r="O453" s="15" t="s">
        <v>1073</v>
      </c>
      <c r="P453" s="15" t="s">
        <v>55</v>
      </c>
      <c r="Q453" s="15" t="s">
        <v>56</v>
      </c>
      <c r="R453" s="15" t="s">
        <v>57</v>
      </c>
      <c r="S453" s="24" t="s">
        <v>39</v>
      </c>
      <c r="T453" s="24" t="s">
        <v>39</v>
      </c>
      <c r="U453" s="24" t="s">
        <v>39</v>
      </c>
      <c r="V453" s="24" t="s">
        <v>39</v>
      </c>
      <c r="W453" s="24"/>
      <c r="X453" s="24"/>
      <c r="Y453" s="15"/>
      <c r="Z453" s="15"/>
      <c r="AA453" s="24"/>
      <c r="AB453" s="24"/>
      <c r="AC453" s="24"/>
      <c r="AD453" s="24"/>
      <c r="AE453" s="24"/>
      <c r="AF453" s="24"/>
      <c r="AG453" s="24"/>
      <c r="AH453" s="24"/>
    </row>
    <row r="454" spans="1:34" ht="30" x14ac:dyDescent="0.25">
      <c r="A454" s="24" t="str">
        <f>HYPERLINK("https://www.cpso.on.ca/DoctorDetails/Daniel-Alexander-Gorman/0150316-83627","Gorman, Daniel Alexander")</f>
        <v>Gorman, Daniel Alexander</v>
      </c>
      <c r="B454" s="25" t="s">
        <v>4924</v>
      </c>
      <c r="C454" s="24" t="s">
        <v>4925</v>
      </c>
      <c r="D454" s="24" t="s">
        <v>4926</v>
      </c>
      <c r="E454" s="24" t="s">
        <v>29</v>
      </c>
      <c r="F454" s="24" t="s">
        <v>30</v>
      </c>
      <c r="G454" s="24" t="s">
        <v>31</v>
      </c>
      <c r="H454" s="24" t="s">
        <v>4927</v>
      </c>
      <c r="I454" s="24" t="s">
        <v>4928</v>
      </c>
      <c r="J454" s="24" t="s">
        <v>1086</v>
      </c>
      <c r="K454" s="24" t="s">
        <v>119</v>
      </c>
      <c r="L454" s="24" t="s">
        <v>52</v>
      </c>
      <c r="M454" s="15"/>
      <c r="N454" s="15"/>
      <c r="O454" s="15" t="s">
        <v>4929</v>
      </c>
      <c r="P454" s="15" t="s">
        <v>4930</v>
      </c>
      <c r="Q454" s="15"/>
      <c r="R454" s="15" t="s">
        <v>4931</v>
      </c>
      <c r="S454" s="24" t="s">
        <v>39</v>
      </c>
      <c r="T454" s="24" t="s">
        <v>39</v>
      </c>
      <c r="U454" s="24" t="s">
        <v>39</v>
      </c>
      <c r="V454" s="24" t="s">
        <v>39</v>
      </c>
      <c r="W454" s="24"/>
      <c r="X454" s="24"/>
      <c r="Y454" s="15"/>
      <c r="Z454" s="15"/>
      <c r="AA454" s="24"/>
      <c r="AB454" s="24"/>
      <c r="AC454" s="24"/>
      <c r="AD454" s="24"/>
      <c r="AE454" s="24"/>
      <c r="AF454" s="24"/>
      <c r="AG454" s="24"/>
      <c r="AH454" s="24"/>
    </row>
    <row r="455" spans="1:34" ht="45" x14ac:dyDescent="0.25">
      <c r="A455" s="24" t="str">
        <f>HYPERLINK("https://www.cpso.on.ca/DoctorDetails/Daniel-Angus-McDonald/0026961-31784","McDonald, Daniel Angus")</f>
        <v>McDonald, Daniel Angus</v>
      </c>
      <c r="B455" s="25" t="s">
        <v>4932</v>
      </c>
      <c r="C455" s="24" t="s">
        <v>4933</v>
      </c>
      <c r="D455" s="24" t="s">
        <v>4934</v>
      </c>
      <c r="E455" s="24" t="s">
        <v>29</v>
      </c>
      <c r="F455" s="24" t="s">
        <v>30</v>
      </c>
      <c r="G455" s="24" t="s">
        <v>31</v>
      </c>
      <c r="H455" s="24" t="s">
        <v>4935</v>
      </c>
      <c r="I455" s="24" t="s">
        <v>107</v>
      </c>
      <c r="J455" s="24"/>
      <c r="K455" s="24"/>
      <c r="L455" s="24"/>
      <c r="M455" s="15"/>
      <c r="N455" s="15"/>
      <c r="O455" s="15"/>
      <c r="P455" s="15" t="s">
        <v>4936</v>
      </c>
      <c r="Q455" s="15"/>
      <c r="R455" s="15" t="s">
        <v>4937</v>
      </c>
      <c r="S455" s="24" t="s">
        <v>39</v>
      </c>
      <c r="T455" s="24" t="s">
        <v>39</v>
      </c>
      <c r="U455" s="24" t="s">
        <v>39</v>
      </c>
      <c r="V455" s="24" t="s">
        <v>39</v>
      </c>
      <c r="W455" s="24"/>
      <c r="X455" s="24"/>
      <c r="Y455" s="15"/>
      <c r="Z455" s="15"/>
      <c r="AA455" s="24"/>
      <c r="AB455" s="24"/>
      <c r="AC455" s="24"/>
      <c r="AD455" s="24"/>
      <c r="AE455" s="24"/>
      <c r="AF455" s="24"/>
      <c r="AG455" s="24"/>
      <c r="AH455" s="24"/>
    </row>
    <row r="456" spans="1:34" x14ac:dyDescent="0.25">
      <c r="A456" s="24" t="str">
        <f>HYPERLINK("https://www.cpso.on.ca/DoctorDetails/Daniel-Chinedu-Okoro/0215446-82795","Okoro, Daniel Chinedu")</f>
        <v>Okoro, Daniel Chinedu</v>
      </c>
      <c r="B456" s="25" t="s">
        <v>4938</v>
      </c>
      <c r="C456" s="24" t="s">
        <v>4939</v>
      </c>
      <c r="D456" s="24" t="s">
        <v>4940</v>
      </c>
      <c r="E456" s="24" t="s">
        <v>29</v>
      </c>
      <c r="F456" s="24" t="s">
        <v>30</v>
      </c>
      <c r="G456" s="24" t="s">
        <v>4941</v>
      </c>
      <c r="H456" s="24" t="s">
        <v>4942</v>
      </c>
      <c r="I456" s="24" t="s">
        <v>107</v>
      </c>
      <c r="J456" s="24"/>
      <c r="K456" s="24"/>
      <c r="L456" s="24"/>
      <c r="M456" s="15"/>
      <c r="N456" s="15" t="s">
        <v>258</v>
      </c>
      <c r="O456" s="15"/>
      <c r="P456" s="15" t="s">
        <v>4943</v>
      </c>
      <c r="Q456" s="15"/>
      <c r="R456" s="15" t="s">
        <v>4944</v>
      </c>
      <c r="S456" s="24" t="s">
        <v>39</v>
      </c>
      <c r="T456" s="24" t="s">
        <v>39</v>
      </c>
      <c r="U456" s="24" t="s">
        <v>39</v>
      </c>
      <c r="V456" s="24" t="s">
        <v>39</v>
      </c>
      <c r="W456" s="24"/>
      <c r="X456" s="24"/>
      <c r="Y456" s="15"/>
      <c r="Z456" s="15"/>
      <c r="AA456" s="24"/>
      <c r="AB456" s="24"/>
      <c r="AC456" s="24"/>
      <c r="AD456" s="24"/>
      <c r="AE456" s="24"/>
      <c r="AF456" s="24"/>
      <c r="AG456" s="24"/>
      <c r="AH456" s="24"/>
    </row>
    <row r="457" spans="1:34" ht="75" x14ac:dyDescent="0.25">
      <c r="A457" s="24" t="str">
        <f>HYPERLINK("https://www.cpso.on.ca/DoctorDetails/Daniel-Hertzman/0223733-83255","Hertzman, Daniel")</f>
        <v>Hertzman, Daniel</v>
      </c>
      <c r="B457" s="25" t="s">
        <v>4945</v>
      </c>
      <c r="C457" s="24" t="s">
        <v>2342</v>
      </c>
      <c r="D457" s="24" t="s">
        <v>2343</v>
      </c>
      <c r="E457" s="24" t="s">
        <v>29</v>
      </c>
      <c r="F457" s="24" t="s">
        <v>30</v>
      </c>
      <c r="G457" s="24" t="s">
        <v>813</v>
      </c>
      <c r="H457" s="24" t="s">
        <v>4946</v>
      </c>
      <c r="I457" s="24" t="s">
        <v>4947</v>
      </c>
      <c r="J457" s="24" t="s">
        <v>4948</v>
      </c>
      <c r="K457" s="24" t="s">
        <v>4949</v>
      </c>
      <c r="L457" s="24" t="s">
        <v>135</v>
      </c>
      <c r="M457" s="15"/>
      <c r="N457" s="15"/>
      <c r="O457" s="15" t="s">
        <v>4950</v>
      </c>
      <c r="P457" s="15" t="s">
        <v>2348</v>
      </c>
      <c r="Q457" s="15" t="s">
        <v>4951</v>
      </c>
      <c r="R457" s="15" t="s">
        <v>2350</v>
      </c>
      <c r="S457" s="24" t="s">
        <v>39</v>
      </c>
      <c r="T457" s="24" t="s">
        <v>39</v>
      </c>
      <c r="U457" s="24" t="s">
        <v>39</v>
      </c>
      <c r="V457" s="24" t="s">
        <v>39</v>
      </c>
      <c r="W457" s="24" t="s">
        <v>4952</v>
      </c>
      <c r="X457" s="24" t="s">
        <v>4953</v>
      </c>
      <c r="Y457" s="15" t="s">
        <v>4954</v>
      </c>
      <c r="Z457" s="15" t="s">
        <v>4955</v>
      </c>
      <c r="AA457" s="24"/>
      <c r="AB457" s="24"/>
      <c r="AC457" s="24"/>
      <c r="AD457" s="24"/>
      <c r="AE457" s="24"/>
      <c r="AF457" s="24"/>
      <c r="AG457" s="24"/>
      <c r="AH457" s="24"/>
    </row>
    <row r="458" spans="1:34" ht="105" x14ac:dyDescent="0.25">
      <c r="A458" s="24" t="str">
        <f>HYPERLINK("https://www.cpso.on.ca/DoctorDetails/Daniel-Howard-Greben/0042790-56768","Greben, Daniel Howard")</f>
        <v>Greben, Daniel Howard</v>
      </c>
      <c r="B458" s="25" t="s">
        <v>4956</v>
      </c>
      <c r="C458" s="24" t="s">
        <v>3427</v>
      </c>
      <c r="D458" s="24" t="s">
        <v>4957</v>
      </c>
      <c r="E458" s="24" t="s">
        <v>29</v>
      </c>
      <c r="F458" s="24" t="s">
        <v>30</v>
      </c>
      <c r="G458" s="24" t="s">
        <v>31</v>
      </c>
      <c r="H458" s="24" t="s">
        <v>3429</v>
      </c>
      <c r="I458" s="24" t="s">
        <v>4958</v>
      </c>
      <c r="J458" s="24" t="s">
        <v>4959</v>
      </c>
      <c r="K458" s="24" t="s">
        <v>4960</v>
      </c>
      <c r="L458" s="24" t="s">
        <v>52</v>
      </c>
      <c r="M458" s="15"/>
      <c r="N458" s="15"/>
      <c r="O458" s="15" t="s">
        <v>793</v>
      </c>
      <c r="P458" s="15" t="s">
        <v>1033</v>
      </c>
      <c r="Q458" s="15" t="s">
        <v>4961</v>
      </c>
      <c r="R458" s="15" t="s">
        <v>4962</v>
      </c>
      <c r="S458" s="24" t="s">
        <v>39</v>
      </c>
      <c r="T458" s="24" t="s">
        <v>39</v>
      </c>
      <c r="U458" s="24" t="s">
        <v>39</v>
      </c>
      <c r="V458" s="24" t="s">
        <v>39</v>
      </c>
      <c r="W458" s="24"/>
      <c r="X458" s="24"/>
      <c r="Y458" s="15"/>
      <c r="Z458" s="15"/>
      <c r="AA458" s="24"/>
      <c r="AB458" s="24"/>
      <c r="AC458" s="24"/>
      <c r="AD458" s="24"/>
      <c r="AE458" s="24"/>
      <c r="AF458" s="24"/>
      <c r="AG458" s="24"/>
      <c r="AH458" s="24"/>
    </row>
    <row r="459" spans="1:34" ht="30" x14ac:dyDescent="0.25">
      <c r="A459" s="24" t="str">
        <f>HYPERLINK("https://www.cpso.on.ca/DoctorDetails/Daniel-Hugh-Lefcoe/0028099-32922","Lefcoe, Daniel Hugh")</f>
        <v>Lefcoe, Daniel Hugh</v>
      </c>
      <c r="B459" s="25" t="s">
        <v>4963</v>
      </c>
      <c r="C459" s="24" t="s">
        <v>4964</v>
      </c>
      <c r="D459" s="24" t="s">
        <v>4965</v>
      </c>
      <c r="E459" s="24" t="s">
        <v>29</v>
      </c>
      <c r="F459" s="24" t="s">
        <v>30</v>
      </c>
      <c r="G459" s="24" t="s">
        <v>31</v>
      </c>
      <c r="H459" s="24" t="s">
        <v>4966</v>
      </c>
      <c r="I459" s="24" t="s">
        <v>4967</v>
      </c>
      <c r="J459" s="24" t="s">
        <v>4968</v>
      </c>
      <c r="K459" s="24" t="s">
        <v>4969</v>
      </c>
      <c r="L459" s="24" t="s">
        <v>135</v>
      </c>
      <c r="M459" s="15"/>
      <c r="N459" s="15"/>
      <c r="O459" s="15" t="s">
        <v>4970</v>
      </c>
      <c r="P459" s="15" t="s">
        <v>1924</v>
      </c>
      <c r="Q459" s="15"/>
      <c r="R459" s="15" t="s">
        <v>4971</v>
      </c>
      <c r="S459" s="24" t="s">
        <v>39</v>
      </c>
      <c r="T459" s="24" t="s">
        <v>39</v>
      </c>
      <c r="U459" s="24" t="s">
        <v>39</v>
      </c>
      <c r="V459" s="24" t="s">
        <v>39</v>
      </c>
      <c r="W459" s="24" t="s">
        <v>4205</v>
      </c>
      <c r="X459" s="24" t="s">
        <v>4206</v>
      </c>
      <c r="Y459" s="15" t="s">
        <v>4207</v>
      </c>
      <c r="Z459" s="15" t="s">
        <v>4208</v>
      </c>
      <c r="AA459" s="24"/>
      <c r="AB459" s="24"/>
      <c r="AC459" s="24"/>
      <c r="AD459" s="24"/>
      <c r="AE459" s="24"/>
      <c r="AF459" s="24"/>
      <c r="AG459" s="24"/>
      <c r="AH459" s="24"/>
    </row>
    <row r="460" spans="1:34" ht="75" x14ac:dyDescent="0.25">
      <c r="A460" s="24" t="str">
        <f>HYPERLINK("https://www.cpso.on.ca/DoctorDetails/Daniel-Israel-Saul/0243337-86676","Saul, Daniel Israel")</f>
        <v>Saul, Daniel Israel</v>
      </c>
      <c r="B460" s="25" t="s">
        <v>4972</v>
      </c>
      <c r="C460" s="24" t="s">
        <v>3090</v>
      </c>
      <c r="D460" s="24" t="s">
        <v>3091</v>
      </c>
      <c r="E460" s="24" t="s">
        <v>29</v>
      </c>
      <c r="F460" s="24" t="s">
        <v>30</v>
      </c>
      <c r="G460" s="24" t="s">
        <v>31</v>
      </c>
      <c r="H460" s="24" t="s">
        <v>4973</v>
      </c>
      <c r="I460" s="24" t="s">
        <v>4974</v>
      </c>
      <c r="J460" s="24" t="s">
        <v>4975</v>
      </c>
      <c r="K460" s="24" t="s">
        <v>4976</v>
      </c>
      <c r="L460" s="24" t="s">
        <v>84</v>
      </c>
      <c r="M460" s="15"/>
      <c r="N460" s="15"/>
      <c r="O460" s="15" t="s">
        <v>3979</v>
      </c>
      <c r="P460" s="15" t="s">
        <v>1074</v>
      </c>
      <c r="Q460" s="15" t="s">
        <v>4977</v>
      </c>
      <c r="R460" s="15" t="s">
        <v>4978</v>
      </c>
      <c r="S460" s="24" t="s">
        <v>39</v>
      </c>
      <c r="T460" s="24" t="s">
        <v>39</v>
      </c>
      <c r="U460" s="24" t="s">
        <v>39</v>
      </c>
      <c r="V460" s="24" t="s">
        <v>39</v>
      </c>
      <c r="W460" s="24" t="s">
        <v>4979</v>
      </c>
      <c r="X460" s="24" t="s">
        <v>4980</v>
      </c>
      <c r="Y460" s="15" t="s">
        <v>4981</v>
      </c>
      <c r="Z460" s="15" t="s">
        <v>4982</v>
      </c>
      <c r="AA460" s="24"/>
      <c r="AB460" s="24"/>
      <c r="AC460" s="24"/>
      <c r="AD460" s="24"/>
      <c r="AE460" s="24"/>
      <c r="AF460" s="24"/>
      <c r="AG460" s="24"/>
      <c r="AH460" s="24"/>
    </row>
    <row r="461" spans="1:34" ht="75" x14ac:dyDescent="0.25">
      <c r="A461" s="24" t="str">
        <f>HYPERLINK("https://www.cpso.on.ca/DoctorDetails/Daniel-Josef-Mueller/0248237-88174","Mueller, Daniel Josef")</f>
        <v>Mueller, Daniel Josef</v>
      </c>
      <c r="B461" s="25" t="s">
        <v>4983</v>
      </c>
      <c r="C461" s="24" t="s">
        <v>4984</v>
      </c>
      <c r="D461" s="24" t="s">
        <v>4985</v>
      </c>
      <c r="E461" s="24" t="s">
        <v>29</v>
      </c>
      <c r="F461" s="24" t="s">
        <v>30</v>
      </c>
      <c r="G461" s="24" t="s">
        <v>4986</v>
      </c>
      <c r="H461" s="24" t="s">
        <v>4987</v>
      </c>
      <c r="I461" s="24" t="s">
        <v>4988</v>
      </c>
      <c r="J461" s="24" t="s">
        <v>4989</v>
      </c>
      <c r="K461" s="24" t="s">
        <v>4990</v>
      </c>
      <c r="L461" s="24" t="s">
        <v>52</v>
      </c>
      <c r="M461" s="15"/>
      <c r="N461" s="15"/>
      <c r="O461" s="15" t="s">
        <v>842</v>
      </c>
      <c r="P461" s="15" t="s">
        <v>4991</v>
      </c>
      <c r="Q461" s="15"/>
      <c r="R461" s="15" t="s">
        <v>4992</v>
      </c>
      <c r="S461" s="24" t="s">
        <v>71</v>
      </c>
      <c r="T461" s="24" t="s">
        <v>39</v>
      </c>
      <c r="U461" s="24" t="s">
        <v>39</v>
      </c>
      <c r="V461" s="24" t="s">
        <v>39</v>
      </c>
      <c r="W461" s="24"/>
      <c r="X461" s="24"/>
      <c r="Y461" s="15"/>
      <c r="Z461" s="15"/>
      <c r="AA461" s="24"/>
      <c r="AB461" s="24"/>
      <c r="AC461" s="24"/>
      <c r="AD461" s="24"/>
      <c r="AE461" s="24"/>
      <c r="AF461" s="24"/>
      <c r="AG461" s="24"/>
      <c r="AH461" s="24"/>
    </row>
    <row r="462" spans="1:34" ht="30" x14ac:dyDescent="0.25">
      <c r="A462" s="24" t="str">
        <f>HYPERLINK("https://www.cpso.on.ca/DoctorDetails/Daniel-Joseph-Doiron/0046102-60080","Doiron, Daniel Joseph")</f>
        <v>Doiron, Daniel Joseph</v>
      </c>
      <c r="B462" s="25" t="s">
        <v>4993</v>
      </c>
      <c r="C462" s="24" t="s">
        <v>3463</v>
      </c>
      <c r="D462" s="24" t="s">
        <v>4994</v>
      </c>
      <c r="E462" s="24" t="s">
        <v>29</v>
      </c>
      <c r="F462" s="24" t="s">
        <v>30</v>
      </c>
      <c r="G462" s="24" t="s">
        <v>31</v>
      </c>
      <c r="H462" s="24" t="s">
        <v>3875</v>
      </c>
      <c r="I462" s="24" t="s">
        <v>4995</v>
      </c>
      <c r="J462" s="24" t="s">
        <v>4996</v>
      </c>
      <c r="K462" s="24" t="s">
        <v>4997</v>
      </c>
      <c r="L462" s="24" t="s">
        <v>84</v>
      </c>
      <c r="M462" s="15" t="s">
        <v>4998</v>
      </c>
      <c r="N462" s="15"/>
      <c r="O462" s="15"/>
      <c r="P462" s="15" t="s">
        <v>3232</v>
      </c>
      <c r="Q462" s="15" t="s">
        <v>4999</v>
      </c>
      <c r="R462" s="15" t="s">
        <v>5000</v>
      </c>
      <c r="S462" s="24" t="s">
        <v>39</v>
      </c>
      <c r="T462" s="24" t="s">
        <v>39</v>
      </c>
      <c r="U462" s="24" t="s">
        <v>39</v>
      </c>
      <c r="V462" s="24" t="s">
        <v>39</v>
      </c>
      <c r="W462" s="24"/>
      <c r="X462" s="24"/>
      <c r="Y462" s="15"/>
      <c r="Z462" s="15"/>
      <c r="AA462" s="24"/>
      <c r="AB462" s="24"/>
      <c r="AC462" s="24"/>
      <c r="AD462" s="24"/>
      <c r="AE462" s="24"/>
      <c r="AF462" s="24"/>
      <c r="AG462" s="24"/>
      <c r="AH462" s="24"/>
    </row>
    <row r="463" spans="1:34" ht="45" x14ac:dyDescent="0.25">
      <c r="A463" s="24" t="str">
        <f>HYPERLINK("https://www.cpso.on.ca/DoctorDetails/Daniel-Kazuhiko-Toguri/0273554-96418","Toguri, Daniel Kazuhiko")</f>
        <v>Toguri, Daniel Kazuhiko</v>
      </c>
      <c r="B463" s="25" t="s">
        <v>5001</v>
      </c>
      <c r="C463" s="24" t="s">
        <v>466</v>
      </c>
      <c r="D463" s="24" t="s">
        <v>5002</v>
      </c>
      <c r="E463" s="24" t="s">
        <v>29</v>
      </c>
      <c r="F463" s="24" t="s">
        <v>30</v>
      </c>
      <c r="G463" s="24" t="s">
        <v>31</v>
      </c>
      <c r="H463" s="24" t="s">
        <v>5003</v>
      </c>
      <c r="I463" s="24" t="s">
        <v>107</v>
      </c>
      <c r="J463" s="24"/>
      <c r="K463" s="24"/>
      <c r="L463" s="24"/>
      <c r="M463" s="15"/>
      <c r="N463" s="15"/>
      <c r="O463" s="15"/>
      <c r="P463" s="15" t="s">
        <v>550</v>
      </c>
      <c r="Q463" s="15" t="s">
        <v>5004</v>
      </c>
      <c r="R463" s="15" t="s">
        <v>5005</v>
      </c>
      <c r="S463" s="24" t="s">
        <v>39</v>
      </c>
      <c r="T463" s="24" t="s">
        <v>39</v>
      </c>
      <c r="U463" s="24" t="s">
        <v>39</v>
      </c>
      <c r="V463" s="24" t="s">
        <v>39</v>
      </c>
      <c r="W463" s="24"/>
      <c r="X463" s="24"/>
      <c r="Y463" s="15"/>
      <c r="Z463" s="15"/>
      <c r="AA463" s="24"/>
      <c r="AB463" s="24"/>
      <c r="AC463" s="24"/>
      <c r="AD463" s="24"/>
      <c r="AE463" s="24"/>
      <c r="AF463" s="24"/>
      <c r="AG463" s="24"/>
      <c r="AH463" s="24"/>
    </row>
    <row r="464" spans="1:34" ht="120" x14ac:dyDescent="0.25">
      <c r="A464" s="24" t="str">
        <f>HYPERLINK("https://www.cpso.on.ca/DoctorDetails/Daniel-Michael-Blumberger/0201260-79390","Blumberger, Daniel Michael")</f>
        <v>Blumberger, Daniel Michael</v>
      </c>
      <c r="B464" s="25" t="s">
        <v>5006</v>
      </c>
      <c r="C464" s="24" t="s">
        <v>871</v>
      </c>
      <c r="D464" s="24" t="s">
        <v>872</v>
      </c>
      <c r="E464" s="24" t="s">
        <v>29</v>
      </c>
      <c r="F464" s="24" t="s">
        <v>30</v>
      </c>
      <c r="G464" s="24" t="s">
        <v>31</v>
      </c>
      <c r="H464" s="24" t="s">
        <v>1475</v>
      </c>
      <c r="I464" s="24" t="s">
        <v>5007</v>
      </c>
      <c r="J464" s="24" t="s">
        <v>5008</v>
      </c>
      <c r="K464" s="24" t="s">
        <v>5009</v>
      </c>
      <c r="L464" s="24" t="s">
        <v>52</v>
      </c>
      <c r="M464" s="15"/>
      <c r="N464" s="15"/>
      <c r="O464" s="15" t="s">
        <v>842</v>
      </c>
      <c r="P464" s="15" t="s">
        <v>880</v>
      </c>
      <c r="Q464" s="15" t="s">
        <v>5010</v>
      </c>
      <c r="R464" s="15" t="s">
        <v>882</v>
      </c>
      <c r="S464" s="24" t="s">
        <v>39</v>
      </c>
      <c r="T464" s="24" t="s">
        <v>39</v>
      </c>
      <c r="U464" s="24" t="s">
        <v>39</v>
      </c>
      <c r="V464" s="24" t="s">
        <v>39</v>
      </c>
      <c r="W464" s="24" t="s">
        <v>5011</v>
      </c>
      <c r="X464" s="24" t="s">
        <v>5012</v>
      </c>
      <c r="Y464" s="15" t="s">
        <v>5013</v>
      </c>
      <c r="Z464" s="15" t="s">
        <v>5014</v>
      </c>
      <c r="AA464" s="24"/>
      <c r="AB464" s="24"/>
      <c r="AC464" s="24"/>
      <c r="AD464" s="24"/>
      <c r="AE464" s="24"/>
      <c r="AF464" s="24"/>
      <c r="AG464" s="24"/>
      <c r="AH464" s="24"/>
    </row>
    <row r="465" spans="1:34" ht="30" x14ac:dyDescent="0.25">
      <c r="A465" s="24" t="str">
        <f>HYPERLINK("https://www.cpso.on.ca/DoctorDetails/Daniel-Silver/0020731-25519","Silver, Daniel")</f>
        <v>Silver, Daniel</v>
      </c>
      <c r="B465" s="25" t="s">
        <v>5015</v>
      </c>
      <c r="C465" s="24" t="s">
        <v>5016</v>
      </c>
      <c r="D465" s="24" t="s">
        <v>5017</v>
      </c>
      <c r="E465" s="24" t="s">
        <v>29</v>
      </c>
      <c r="F465" s="24" t="s">
        <v>30</v>
      </c>
      <c r="G465" s="24" t="s">
        <v>31</v>
      </c>
      <c r="H465" s="24" t="s">
        <v>5018</v>
      </c>
      <c r="I465" s="24" t="s">
        <v>5019</v>
      </c>
      <c r="J465" s="24" t="s">
        <v>5020</v>
      </c>
      <c r="K465" s="24" t="s">
        <v>1528</v>
      </c>
      <c r="L465" s="24" t="s">
        <v>52</v>
      </c>
      <c r="M465" s="15" t="s">
        <v>5021</v>
      </c>
      <c r="N465" s="15"/>
      <c r="O465" s="15" t="s">
        <v>1201</v>
      </c>
      <c r="P465" s="15" t="s">
        <v>5022</v>
      </c>
      <c r="Q465" s="15"/>
      <c r="R465" s="15" t="s">
        <v>5023</v>
      </c>
      <c r="S465" s="24" t="s">
        <v>39</v>
      </c>
      <c r="T465" s="24" t="s">
        <v>39</v>
      </c>
      <c r="U465" s="24" t="s">
        <v>39</v>
      </c>
      <c r="V465" s="24" t="s">
        <v>39</v>
      </c>
      <c r="W465" s="24" t="s">
        <v>5024</v>
      </c>
      <c r="X465" s="24" t="s">
        <v>5025</v>
      </c>
      <c r="Y465" s="15" t="s">
        <v>5026</v>
      </c>
      <c r="Z465" s="15" t="s">
        <v>5027</v>
      </c>
      <c r="AA465" s="24"/>
      <c r="AB465" s="24"/>
      <c r="AC465" s="24"/>
      <c r="AD465" s="24"/>
      <c r="AE465" s="24"/>
      <c r="AF465" s="24"/>
      <c r="AG465" s="24"/>
      <c r="AH465" s="24"/>
    </row>
    <row r="466" spans="1:34" x14ac:dyDescent="0.25">
      <c r="A466" s="24" t="str">
        <f>HYPERLINK("https://www.cpso.on.ca/DoctorDetails/Daniel-Zdenek-TraubWerner/0020038-24826","Traub-Werner, Daniel Zdenek")</f>
        <v>Traub-Werner, Daniel Zdenek</v>
      </c>
      <c r="B466" s="25" t="s">
        <v>5028</v>
      </c>
      <c r="C466" s="24" t="s">
        <v>5029</v>
      </c>
      <c r="D466" s="24" t="s">
        <v>5030</v>
      </c>
      <c r="E466" s="24" t="s">
        <v>29</v>
      </c>
      <c r="F466" s="24" t="s">
        <v>30</v>
      </c>
      <c r="G466" s="24" t="s">
        <v>115</v>
      </c>
      <c r="H466" s="24" t="s">
        <v>5031</v>
      </c>
      <c r="I466" s="24" t="s">
        <v>5032</v>
      </c>
      <c r="J466" s="24" t="s">
        <v>5033</v>
      </c>
      <c r="K466" s="24"/>
      <c r="L466" s="24" t="s">
        <v>52</v>
      </c>
      <c r="M466" s="15"/>
      <c r="N466" s="15"/>
      <c r="O466" s="15"/>
      <c r="P466" s="15" t="s">
        <v>2661</v>
      </c>
      <c r="Q466" s="15"/>
      <c r="R466" s="15" t="s">
        <v>5034</v>
      </c>
      <c r="S466" s="24" t="s">
        <v>39</v>
      </c>
      <c r="T466" s="24" t="s">
        <v>39</v>
      </c>
      <c r="U466" s="24" t="s">
        <v>39</v>
      </c>
      <c r="V466" s="24" t="s">
        <v>39</v>
      </c>
      <c r="W466" s="24" t="s">
        <v>5035</v>
      </c>
      <c r="X466" s="24" t="s">
        <v>5036</v>
      </c>
      <c r="Y466" s="15" t="s">
        <v>5037</v>
      </c>
      <c r="Z466" s="15" t="s">
        <v>5038</v>
      </c>
      <c r="AA466" s="24"/>
      <c r="AB466" s="24"/>
      <c r="AC466" s="24"/>
      <c r="AD466" s="24"/>
      <c r="AE466" s="24"/>
      <c r="AF466" s="24"/>
      <c r="AG466" s="24"/>
      <c r="AH466" s="24"/>
    </row>
    <row r="467" spans="1:34" ht="105" x14ac:dyDescent="0.25">
      <c r="A467" s="24" t="str">
        <f>HYPERLINK("https://www.cpso.on.ca/DoctorDetails/Daniela-Blanka-Hlousek/0168552-74816","Hlousek, Daniela Blanka")</f>
        <v>Hlousek, Daniela Blanka</v>
      </c>
      <c r="B467" s="25" t="s">
        <v>5039</v>
      </c>
      <c r="C467" s="24" t="s">
        <v>3642</v>
      </c>
      <c r="D467" s="24" t="s">
        <v>5040</v>
      </c>
      <c r="E467" s="24" t="s">
        <v>29</v>
      </c>
      <c r="F467" s="24" t="s">
        <v>47</v>
      </c>
      <c r="G467" s="24" t="s">
        <v>31</v>
      </c>
      <c r="H467" s="24" t="s">
        <v>1582</v>
      </c>
      <c r="I467" s="24" t="s">
        <v>3587</v>
      </c>
      <c r="J467" s="24" t="s">
        <v>5041</v>
      </c>
      <c r="K467" s="24"/>
      <c r="L467" s="24" t="s">
        <v>36</v>
      </c>
      <c r="M467" s="15"/>
      <c r="N467" s="15"/>
      <c r="O467" s="15" t="s">
        <v>3590</v>
      </c>
      <c r="P467" s="15" t="s">
        <v>1239</v>
      </c>
      <c r="Q467" s="15" t="s">
        <v>5042</v>
      </c>
      <c r="R467" s="15" t="s">
        <v>5043</v>
      </c>
      <c r="S467" s="24" t="s">
        <v>39</v>
      </c>
      <c r="T467" s="24" t="s">
        <v>39</v>
      </c>
      <c r="U467" s="24" t="s">
        <v>39</v>
      </c>
      <c r="V467" s="24" t="s">
        <v>39</v>
      </c>
      <c r="W467" s="24"/>
      <c r="X467" s="24"/>
      <c r="Y467" s="15"/>
      <c r="Z467" s="15"/>
      <c r="AA467" s="24"/>
      <c r="AB467" s="24"/>
      <c r="AC467" s="24"/>
      <c r="AD467" s="24"/>
      <c r="AE467" s="24"/>
      <c r="AF467" s="24"/>
      <c r="AG467" s="24"/>
      <c r="AH467" s="24"/>
    </row>
    <row r="468" spans="1:34" ht="105" x14ac:dyDescent="0.25">
      <c r="A468" s="24" t="str">
        <f>HYPERLINK("https://www.cpso.on.ca/DoctorDetails/Daniela-Sabbatini-da-Silva-Lobo/0250369-88356","Lobo, Daniela Sabbatini da Silva")</f>
        <v>Lobo, Daniela Sabbatini da Silva</v>
      </c>
      <c r="B468" s="25" t="s">
        <v>5044</v>
      </c>
      <c r="C468" s="24" t="s">
        <v>5045</v>
      </c>
      <c r="D468" s="24" t="s">
        <v>5046</v>
      </c>
      <c r="E468" s="24" t="s">
        <v>29</v>
      </c>
      <c r="F468" s="24" t="s">
        <v>47</v>
      </c>
      <c r="G468" s="24" t="s">
        <v>468</v>
      </c>
      <c r="H468" s="24" t="s">
        <v>5047</v>
      </c>
      <c r="I468" s="24" t="s">
        <v>5048</v>
      </c>
      <c r="J468" s="24" t="s">
        <v>5049</v>
      </c>
      <c r="K468" s="24" t="s">
        <v>5050</v>
      </c>
      <c r="L468" s="24" t="s">
        <v>52</v>
      </c>
      <c r="M468" s="15"/>
      <c r="N468" s="15"/>
      <c r="O468" s="15" t="s">
        <v>793</v>
      </c>
      <c r="P468" s="15" t="s">
        <v>5051</v>
      </c>
      <c r="Q468" s="15" t="s">
        <v>5052</v>
      </c>
      <c r="R468" s="15" t="s">
        <v>5053</v>
      </c>
      <c r="S468" s="24" t="s">
        <v>39</v>
      </c>
      <c r="T468" s="24" t="s">
        <v>39</v>
      </c>
      <c r="U468" s="24" t="s">
        <v>39</v>
      </c>
      <c r="V468" s="24" t="s">
        <v>39</v>
      </c>
      <c r="W468" s="24"/>
      <c r="X468" s="24"/>
      <c r="Y468" s="15"/>
      <c r="Z468" s="15"/>
      <c r="AA468" s="24"/>
      <c r="AB468" s="24"/>
      <c r="AC468" s="24"/>
      <c r="AD468" s="24"/>
      <c r="AE468" s="24"/>
      <c r="AF468" s="24"/>
      <c r="AG468" s="24"/>
      <c r="AH468" s="24"/>
    </row>
    <row r="469" spans="1:34" ht="135" x14ac:dyDescent="0.25">
      <c r="A469" s="24" t="str">
        <f>HYPERLINK("https://www.cpso.on.ca/DoctorDetails/Daniela-Volochniouk/0266308-93872","Volochniouk, Daniela")</f>
        <v>Volochniouk, Daniela</v>
      </c>
      <c r="B469" s="25" t="s">
        <v>5054</v>
      </c>
      <c r="C469" s="24" t="s">
        <v>5055</v>
      </c>
      <c r="D469" s="24" t="s">
        <v>5056</v>
      </c>
      <c r="E469" s="24" t="s">
        <v>29</v>
      </c>
      <c r="F469" s="24" t="s">
        <v>47</v>
      </c>
      <c r="G469" s="24" t="s">
        <v>813</v>
      </c>
      <c r="H469" s="24" t="s">
        <v>5057</v>
      </c>
      <c r="I469" s="24" t="s">
        <v>5058</v>
      </c>
      <c r="J469" s="24" t="s">
        <v>5059</v>
      </c>
      <c r="K469" s="24"/>
      <c r="L469" s="24" t="s">
        <v>84</v>
      </c>
      <c r="M469" s="15"/>
      <c r="N469" s="15" t="s">
        <v>710</v>
      </c>
      <c r="O469" s="15" t="s">
        <v>5060</v>
      </c>
      <c r="P469" s="15" t="s">
        <v>5061</v>
      </c>
      <c r="Q469" s="15" t="s">
        <v>5062</v>
      </c>
      <c r="R469" s="15" t="s">
        <v>5063</v>
      </c>
      <c r="S469" s="24" t="s">
        <v>39</v>
      </c>
      <c r="T469" s="24" t="s">
        <v>39</v>
      </c>
      <c r="U469" s="24" t="s">
        <v>39</v>
      </c>
      <c r="V469" s="24" t="s">
        <v>39</v>
      </c>
      <c r="W469" s="24" t="s">
        <v>5064</v>
      </c>
      <c r="X469" s="24" t="s">
        <v>5065</v>
      </c>
      <c r="Y469" s="15" t="s">
        <v>5066</v>
      </c>
      <c r="Z469" s="15" t="s">
        <v>5067</v>
      </c>
      <c r="AA469" s="24"/>
      <c r="AB469" s="24"/>
      <c r="AC469" s="24"/>
      <c r="AD469" s="24"/>
      <c r="AE469" s="24"/>
      <c r="AF469" s="24"/>
      <c r="AG469" s="24"/>
      <c r="AH469" s="24"/>
    </row>
    <row r="470" spans="1:34" ht="30" x14ac:dyDescent="0.25">
      <c r="A470" s="24" t="str">
        <f>HYPERLINK("https://www.cpso.on.ca/DoctorDetails/Danielle-Anne-Thomas/0040474-54450","Thomas, Danielle Anne")</f>
        <v>Thomas, Danielle Anne</v>
      </c>
      <c r="B470" s="25" t="s">
        <v>5068</v>
      </c>
      <c r="C470" s="24" t="s">
        <v>704</v>
      </c>
      <c r="D470" s="24" t="s">
        <v>5069</v>
      </c>
      <c r="E470" s="24" t="s">
        <v>29</v>
      </c>
      <c r="F470" s="24" t="s">
        <v>47</v>
      </c>
      <c r="G470" s="24" t="s">
        <v>31</v>
      </c>
      <c r="H470" s="24" t="s">
        <v>5070</v>
      </c>
      <c r="I470" s="24" t="s">
        <v>5071</v>
      </c>
      <c r="J470" s="24" t="s">
        <v>4478</v>
      </c>
      <c r="K470" s="24"/>
      <c r="L470" s="24" t="s">
        <v>52</v>
      </c>
      <c r="M470" s="15"/>
      <c r="N470" s="15"/>
      <c r="O470" s="15"/>
      <c r="P470" s="15" t="s">
        <v>4499</v>
      </c>
      <c r="Q470" s="15" t="s">
        <v>4500</v>
      </c>
      <c r="R470" s="15" t="s">
        <v>5072</v>
      </c>
      <c r="S470" s="24" t="s">
        <v>39</v>
      </c>
      <c r="T470" s="24" t="s">
        <v>39</v>
      </c>
      <c r="U470" s="24" t="s">
        <v>39</v>
      </c>
      <c r="V470" s="24" t="s">
        <v>39</v>
      </c>
      <c r="W470" s="24" t="s">
        <v>5073</v>
      </c>
      <c r="X470" s="24" t="s">
        <v>5074</v>
      </c>
      <c r="Y470" s="15" t="s">
        <v>5075</v>
      </c>
      <c r="Z470" s="15" t="s">
        <v>5076</v>
      </c>
      <c r="AA470" s="24"/>
      <c r="AB470" s="24"/>
      <c r="AC470" s="24"/>
      <c r="AD470" s="24"/>
      <c r="AE470" s="24"/>
      <c r="AF470" s="24"/>
      <c r="AG470" s="24"/>
      <c r="AH470" s="24"/>
    </row>
    <row r="471" spans="1:34" ht="30" x14ac:dyDescent="0.25">
      <c r="A471" s="24" t="str">
        <f>HYPERLINK("https://www.cpso.on.ca/DoctorDetails/Danielle-Bourdeau/0050242-64221","Bourdeau, Danielle")</f>
        <v>Bourdeau, Danielle</v>
      </c>
      <c r="B471" s="25" t="s">
        <v>5077</v>
      </c>
      <c r="C471" s="24" t="s">
        <v>5078</v>
      </c>
      <c r="D471" s="24" t="s">
        <v>5079</v>
      </c>
      <c r="E471" s="24" t="s">
        <v>29</v>
      </c>
      <c r="F471" s="24" t="s">
        <v>47</v>
      </c>
      <c r="G471" s="24" t="s">
        <v>813</v>
      </c>
      <c r="H471" s="24" t="s">
        <v>5080</v>
      </c>
      <c r="I471" s="24" t="s">
        <v>5081</v>
      </c>
      <c r="J471" s="24" t="s">
        <v>5082</v>
      </c>
      <c r="K471" s="24" t="s">
        <v>1263</v>
      </c>
      <c r="L471" s="24" t="s">
        <v>52</v>
      </c>
      <c r="M471" s="15"/>
      <c r="N471" s="15" t="s">
        <v>710</v>
      </c>
      <c r="O471" s="15" t="s">
        <v>981</v>
      </c>
      <c r="P471" s="15" t="s">
        <v>5083</v>
      </c>
      <c r="Q471" s="15" t="s">
        <v>5084</v>
      </c>
      <c r="R471" s="15" t="s">
        <v>5085</v>
      </c>
      <c r="S471" s="24" t="s">
        <v>39</v>
      </c>
      <c r="T471" s="24" t="s">
        <v>39</v>
      </c>
      <c r="U471" s="24" t="s">
        <v>39</v>
      </c>
      <c r="V471" s="24" t="s">
        <v>39</v>
      </c>
      <c r="W471" s="24"/>
      <c r="X471" s="24"/>
      <c r="Y471" s="15"/>
      <c r="Z471" s="15"/>
      <c r="AA471" s="24"/>
      <c r="AB471" s="24"/>
      <c r="AC471" s="24"/>
      <c r="AD471" s="24"/>
      <c r="AE471" s="24"/>
      <c r="AF471" s="24"/>
      <c r="AG471" s="24"/>
      <c r="AH471" s="24"/>
    </row>
    <row r="472" spans="1:34" ht="90" x14ac:dyDescent="0.25">
      <c r="A472" s="24" t="str">
        <f>HYPERLINK("https://www.cpso.on.ca/DoctorDetails/Daphne-Jennifer-Korczak/0168992-74893","Korczak, Daphne Jennifer")</f>
        <v>Korczak, Daphne Jennifer</v>
      </c>
      <c r="B472" s="25" t="s">
        <v>5086</v>
      </c>
      <c r="C472" s="24" t="s">
        <v>3642</v>
      </c>
      <c r="D472" s="24" t="s">
        <v>281</v>
      </c>
      <c r="E472" s="24" t="s">
        <v>29</v>
      </c>
      <c r="F472" s="24" t="s">
        <v>47</v>
      </c>
      <c r="G472" s="24" t="s">
        <v>31</v>
      </c>
      <c r="H472" s="24" t="s">
        <v>3333</v>
      </c>
      <c r="I472" s="24" t="s">
        <v>5087</v>
      </c>
      <c r="J472" s="24" t="s">
        <v>5088</v>
      </c>
      <c r="K472" s="24" t="s">
        <v>119</v>
      </c>
      <c r="L472" s="24" t="s">
        <v>52</v>
      </c>
      <c r="M472" s="15"/>
      <c r="N472" s="15"/>
      <c r="O472" s="15" t="s">
        <v>121</v>
      </c>
      <c r="P472" s="15" t="s">
        <v>5089</v>
      </c>
      <c r="Q472" s="15" t="s">
        <v>5090</v>
      </c>
      <c r="R472" s="15" t="s">
        <v>5091</v>
      </c>
      <c r="S472" s="24" t="s">
        <v>39</v>
      </c>
      <c r="T472" s="24" t="s">
        <v>39</v>
      </c>
      <c r="U472" s="24" t="s">
        <v>39</v>
      </c>
      <c r="V472" s="24" t="s">
        <v>39</v>
      </c>
      <c r="W472" s="24" t="s">
        <v>5092</v>
      </c>
      <c r="X472" s="24" t="s">
        <v>5093</v>
      </c>
      <c r="Y472" s="15" t="s">
        <v>5094</v>
      </c>
      <c r="Z472" s="15" t="s">
        <v>5095</v>
      </c>
      <c r="AA472" s="24"/>
      <c r="AB472" s="24"/>
      <c r="AC472" s="24"/>
      <c r="AD472" s="24"/>
      <c r="AE472" s="24"/>
      <c r="AF472" s="24"/>
      <c r="AG472" s="24"/>
      <c r="AH472" s="24"/>
    </row>
    <row r="473" spans="1:34" ht="120" x14ac:dyDescent="0.25">
      <c r="A473" s="24" t="str">
        <f>HYPERLINK("https://www.cpso.on.ca/DoctorDetails/Daphne-Zaharoula-Ageliki-Voineskos/0258730-91847","Voineskos, Daphne Zaharoula Ageliki")</f>
        <v>Voineskos, Daphne Zaharoula Ageliki</v>
      </c>
      <c r="B473" s="25" t="s">
        <v>5096</v>
      </c>
      <c r="C473" s="24" t="s">
        <v>5097</v>
      </c>
      <c r="D473" s="24" t="s">
        <v>443</v>
      </c>
      <c r="E473" s="24" t="s">
        <v>29</v>
      </c>
      <c r="F473" s="24" t="s">
        <v>47</v>
      </c>
      <c r="G473" s="24" t="s">
        <v>536</v>
      </c>
      <c r="H473" s="24" t="s">
        <v>5098</v>
      </c>
      <c r="I473" s="24" t="s">
        <v>5099</v>
      </c>
      <c r="J473" s="24" t="s">
        <v>1262</v>
      </c>
      <c r="K473" s="24"/>
      <c r="L473" s="24" t="s">
        <v>52</v>
      </c>
      <c r="M473" s="15"/>
      <c r="N473" s="15"/>
      <c r="O473" s="15" t="s">
        <v>842</v>
      </c>
      <c r="P473" s="15" t="s">
        <v>449</v>
      </c>
      <c r="Q473" s="15" t="s">
        <v>5100</v>
      </c>
      <c r="R473" s="15" t="s">
        <v>5101</v>
      </c>
      <c r="S473" s="24" t="s">
        <v>39</v>
      </c>
      <c r="T473" s="24" t="s">
        <v>39</v>
      </c>
      <c r="U473" s="24" t="s">
        <v>39</v>
      </c>
      <c r="V473" s="24" t="s">
        <v>39</v>
      </c>
      <c r="W473" s="24"/>
      <c r="X473" s="24"/>
      <c r="Y473" s="15"/>
      <c r="Z473" s="15"/>
      <c r="AA473" s="24"/>
      <c r="AB473" s="24"/>
      <c r="AC473" s="24"/>
      <c r="AD473" s="24"/>
      <c r="AE473" s="24"/>
      <c r="AF473" s="24"/>
      <c r="AG473" s="24"/>
      <c r="AH473" s="24"/>
    </row>
    <row r="474" spans="1:34" ht="90" x14ac:dyDescent="0.25">
      <c r="A474" s="24" t="str">
        <f>HYPERLINK("https://www.cpso.on.ca/DoctorDetails/Darcy-Catherine-Anne-Waisman/0281434-98742","Waisman, Darcy Catherine Anne")</f>
        <v>Waisman, Darcy Catherine Anne</v>
      </c>
      <c r="B474" s="25" t="s">
        <v>5102</v>
      </c>
      <c r="C474" s="24" t="s">
        <v>544</v>
      </c>
      <c r="D474" s="24" t="s">
        <v>545</v>
      </c>
      <c r="E474" s="24" t="s">
        <v>29</v>
      </c>
      <c r="F474" s="24" t="s">
        <v>47</v>
      </c>
      <c r="G474" s="24" t="s">
        <v>31</v>
      </c>
      <c r="H474" s="24" t="s">
        <v>4808</v>
      </c>
      <c r="I474" s="24" t="s">
        <v>5103</v>
      </c>
      <c r="J474" s="24" t="s">
        <v>5104</v>
      </c>
      <c r="K474" s="24" t="s">
        <v>5105</v>
      </c>
      <c r="L474" s="24" t="s">
        <v>36</v>
      </c>
      <c r="M474" s="15"/>
      <c r="N474" s="15"/>
      <c r="O474" s="15" t="s">
        <v>972</v>
      </c>
      <c r="P474" s="15" t="s">
        <v>550</v>
      </c>
      <c r="Q474" s="15" t="s">
        <v>3728</v>
      </c>
      <c r="R474" s="15" t="s">
        <v>3729</v>
      </c>
      <c r="S474" s="24" t="s">
        <v>39</v>
      </c>
      <c r="T474" s="24" t="s">
        <v>39</v>
      </c>
      <c r="U474" s="24" t="s">
        <v>39</v>
      </c>
      <c r="V474" s="24" t="s">
        <v>39</v>
      </c>
      <c r="W474" s="24"/>
      <c r="X474" s="24"/>
      <c r="Y474" s="15"/>
      <c r="Z474" s="15"/>
      <c r="AA474" s="24"/>
      <c r="AB474" s="24"/>
      <c r="AC474" s="24"/>
      <c r="AD474" s="24"/>
      <c r="AE474" s="24"/>
      <c r="AF474" s="24"/>
      <c r="AG474" s="24"/>
      <c r="AH474" s="24"/>
    </row>
    <row r="475" spans="1:34" ht="120" x14ac:dyDescent="0.25">
      <c r="A475" s="24" t="str">
        <f>HYPERLINK("https://www.cpso.on.ca/DoctorDetails/Daria-Sanda-Racicovschi/0200495-79778","Racicovschi, Daria Sanda")</f>
        <v>Racicovschi, Daria Sanda</v>
      </c>
      <c r="B475" s="25" t="s">
        <v>5106</v>
      </c>
      <c r="C475" s="24" t="s">
        <v>5107</v>
      </c>
      <c r="D475" s="24" t="s">
        <v>5108</v>
      </c>
      <c r="E475" s="24" t="s">
        <v>29</v>
      </c>
      <c r="F475" s="24" t="s">
        <v>47</v>
      </c>
      <c r="G475" s="24" t="s">
        <v>923</v>
      </c>
      <c r="H475" s="24" t="s">
        <v>5109</v>
      </c>
      <c r="I475" s="24" t="s">
        <v>5110</v>
      </c>
      <c r="J475" s="24" t="s">
        <v>5111</v>
      </c>
      <c r="K475" s="24" t="s">
        <v>5112</v>
      </c>
      <c r="L475" s="24" t="s">
        <v>36</v>
      </c>
      <c r="M475" s="15"/>
      <c r="N475" s="15"/>
      <c r="O475" s="15" t="s">
        <v>1691</v>
      </c>
      <c r="P475" s="15" t="s">
        <v>5113</v>
      </c>
      <c r="Q475" s="15" t="s">
        <v>5114</v>
      </c>
      <c r="R475" s="15" t="s">
        <v>5115</v>
      </c>
      <c r="S475" s="24" t="s">
        <v>39</v>
      </c>
      <c r="T475" s="24" t="s">
        <v>39</v>
      </c>
      <c r="U475" s="24" t="s">
        <v>39</v>
      </c>
      <c r="V475" s="24" t="s">
        <v>39</v>
      </c>
      <c r="W475" s="24"/>
      <c r="X475" s="24"/>
      <c r="Y475" s="15"/>
      <c r="Z475" s="15"/>
      <c r="AA475" s="24"/>
      <c r="AB475" s="24"/>
      <c r="AC475" s="24"/>
      <c r="AD475" s="24"/>
      <c r="AE475" s="24"/>
      <c r="AF475" s="24"/>
      <c r="AG475" s="24"/>
      <c r="AH475" s="24"/>
    </row>
    <row r="476" spans="1:34" ht="60" x14ac:dyDescent="0.25">
      <c r="A476" s="24" t="str">
        <f>HYPERLINK("https://www.cpso.on.ca/DoctorDetails/Darina-Marie-De-Souza/0215950-81772","De Souza, Darina Marie")</f>
        <v>De Souza, Darina Marie</v>
      </c>
      <c r="B476" s="25" t="s">
        <v>5116</v>
      </c>
      <c r="C476" s="24" t="s">
        <v>5117</v>
      </c>
      <c r="D476" s="24" t="s">
        <v>5118</v>
      </c>
      <c r="E476" s="24" t="s">
        <v>29</v>
      </c>
      <c r="F476" s="24" t="s">
        <v>47</v>
      </c>
      <c r="G476" s="24" t="s">
        <v>31</v>
      </c>
      <c r="H476" s="24" t="s">
        <v>5119</v>
      </c>
      <c r="I476" s="24" t="s">
        <v>5120</v>
      </c>
      <c r="J476" s="24" t="s">
        <v>5121</v>
      </c>
      <c r="K476" s="24"/>
      <c r="L476" s="24" t="s">
        <v>184</v>
      </c>
      <c r="M476" s="15"/>
      <c r="N476" s="15"/>
      <c r="O476" s="15" t="s">
        <v>2169</v>
      </c>
      <c r="P476" s="15" t="s">
        <v>5122</v>
      </c>
      <c r="Q476" s="15" t="s">
        <v>5123</v>
      </c>
      <c r="R476" s="15" t="s">
        <v>5124</v>
      </c>
      <c r="S476" s="24" t="s">
        <v>39</v>
      </c>
      <c r="T476" s="24" t="s">
        <v>39</v>
      </c>
      <c r="U476" s="24" t="s">
        <v>39</v>
      </c>
      <c r="V476" s="24" t="s">
        <v>39</v>
      </c>
      <c r="W476" s="24" t="s">
        <v>5125</v>
      </c>
      <c r="X476" s="24" t="s">
        <v>5126</v>
      </c>
      <c r="Y476" s="15"/>
      <c r="Z476" s="15"/>
      <c r="AA476" s="24" t="s">
        <v>5127</v>
      </c>
      <c r="AB476" s="24" t="s">
        <v>5128</v>
      </c>
      <c r="AC476" s="24" t="s">
        <v>5129</v>
      </c>
      <c r="AD476" s="24" t="s">
        <v>5130</v>
      </c>
      <c r="AE476" s="24"/>
      <c r="AF476" s="24"/>
      <c r="AG476" s="24"/>
      <c r="AH476" s="24"/>
    </row>
    <row r="477" spans="1:34" ht="90" x14ac:dyDescent="0.25">
      <c r="A477" s="24" t="str">
        <f>HYPERLINK("https://www.cpso.on.ca/DoctorDetails/Darren-Bruce-Courtney/0210798-81164","Courtney, Darren Bruce")</f>
        <v>Courtney, Darren Bruce</v>
      </c>
      <c r="B477" s="25" t="s">
        <v>5131</v>
      </c>
      <c r="C477" s="24" t="s">
        <v>45</v>
      </c>
      <c r="D477" s="24" t="s">
        <v>46</v>
      </c>
      <c r="E477" s="24" t="s">
        <v>29</v>
      </c>
      <c r="F477" s="24" t="s">
        <v>30</v>
      </c>
      <c r="G477" s="24" t="s">
        <v>813</v>
      </c>
      <c r="H477" s="24" t="s">
        <v>3032</v>
      </c>
      <c r="I477" s="24" t="s">
        <v>5132</v>
      </c>
      <c r="J477" s="24" t="s">
        <v>1262</v>
      </c>
      <c r="K477" s="24" t="s">
        <v>1355</v>
      </c>
      <c r="L477" s="24" t="s">
        <v>52</v>
      </c>
      <c r="M477" s="15"/>
      <c r="N477" s="15"/>
      <c r="O477" s="15" t="s">
        <v>981</v>
      </c>
      <c r="P477" s="15" t="s">
        <v>55</v>
      </c>
      <c r="Q477" s="15" t="s">
        <v>5133</v>
      </c>
      <c r="R477" s="15" t="s">
        <v>57</v>
      </c>
      <c r="S477" s="24" t="s">
        <v>39</v>
      </c>
      <c r="T477" s="24" t="s">
        <v>39</v>
      </c>
      <c r="U477" s="24" t="s">
        <v>39</v>
      </c>
      <c r="V477" s="24" t="s">
        <v>39</v>
      </c>
      <c r="W477" s="24" t="s">
        <v>5134</v>
      </c>
      <c r="X477" s="24" t="s">
        <v>5135</v>
      </c>
      <c r="Y477" s="15" t="s">
        <v>5136</v>
      </c>
      <c r="Z477" s="15" t="s">
        <v>5137</v>
      </c>
      <c r="AA477" s="24"/>
      <c r="AB477" s="24"/>
      <c r="AC477" s="24"/>
      <c r="AD477" s="24"/>
      <c r="AE477" s="24"/>
      <c r="AF477" s="24"/>
      <c r="AG477" s="24"/>
      <c r="AH477" s="24"/>
    </row>
    <row r="478" spans="1:34" ht="90" x14ac:dyDescent="0.25">
      <c r="A478" s="24" t="str">
        <f>HYPERLINK("https://www.cpso.on.ca/DoctorDetails/Darren-John-Holub/0168553-76440","Holub, Darren John")</f>
        <v>Holub, Darren John</v>
      </c>
      <c r="B478" s="25" t="s">
        <v>5138</v>
      </c>
      <c r="C478" s="24" t="s">
        <v>5139</v>
      </c>
      <c r="D478" s="24" t="s">
        <v>5140</v>
      </c>
      <c r="E478" s="24" t="s">
        <v>29</v>
      </c>
      <c r="F478" s="24" t="s">
        <v>30</v>
      </c>
      <c r="G478" s="24" t="s">
        <v>31</v>
      </c>
      <c r="H478" s="24" t="s">
        <v>4402</v>
      </c>
      <c r="I478" s="24" t="s">
        <v>5141</v>
      </c>
      <c r="J478" s="24" t="s">
        <v>5142</v>
      </c>
      <c r="K478" s="24" t="s">
        <v>2168</v>
      </c>
      <c r="L478" s="24" t="s">
        <v>184</v>
      </c>
      <c r="M478" s="15" t="s">
        <v>5143</v>
      </c>
      <c r="N478" s="15"/>
      <c r="O478" s="15" t="s">
        <v>2169</v>
      </c>
      <c r="P478" s="15" t="s">
        <v>488</v>
      </c>
      <c r="Q478" s="15" t="s">
        <v>5144</v>
      </c>
      <c r="R478" s="15" t="s">
        <v>5145</v>
      </c>
      <c r="S478" s="24" t="s">
        <v>39</v>
      </c>
      <c r="T478" s="24" t="s">
        <v>39</v>
      </c>
      <c r="U478" s="24" t="s">
        <v>39</v>
      </c>
      <c r="V478" s="24" t="s">
        <v>39</v>
      </c>
      <c r="W478" s="24" t="s">
        <v>5146</v>
      </c>
      <c r="X478" s="24" t="s">
        <v>5147</v>
      </c>
      <c r="Y478" s="15" t="s">
        <v>5148</v>
      </c>
      <c r="Z478" s="15" t="s">
        <v>5149</v>
      </c>
      <c r="AA478" s="24"/>
      <c r="AB478" s="24"/>
      <c r="AC478" s="24"/>
      <c r="AD478" s="24"/>
      <c r="AE478" s="24"/>
      <c r="AF478" s="24"/>
      <c r="AG478" s="24"/>
      <c r="AH478" s="24"/>
    </row>
    <row r="479" spans="1:34" ht="30" x14ac:dyDescent="0.25">
      <c r="A479" s="24" t="str">
        <f>HYPERLINK("https://www.cpso.on.ca/DoctorDetails/Darren-Scott-Higgins/0048289-62267","Higgins, Darren Scott")</f>
        <v>Higgins, Darren Scott</v>
      </c>
      <c r="B479" s="25" t="s">
        <v>5150</v>
      </c>
      <c r="C479" s="24" t="s">
        <v>1954</v>
      </c>
      <c r="D479" s="24" t="s">
        <v>1028</v>
      </c>
      <c r="E479" s="24" t="s">
        <v>29</v>
      </c>
      <c r="F479" s="24" t="s">
        <v>30</v>
      </c>
      <c r="G479" s="24" t="s">
        <v>31</v>
      </c>
      <c r="H479" s="24" t="s">
        <v>5151</v>
      </c>
      <c r="I479" s="24" t="s">
        <v>5152</v>
      </c>
      <c r="J479" s="24" t="s">
        <v>5153</v>
      </c>
      <c r="K479" s="24"/>
      <c r="L479" s="24" t="s">
        <v>52</v>
      </c>
      <c r="M479" s="15" t="s">
        <v>5154</v>
      </c>
      <c r="N479" s="15"/>
      <c r="O479" s="15" t="s">
        <v>1201</v>
      </c>
      <c r="P479" s="15" t="s">
        <v>169</v>
      </c>
      <c r="Q479" s="15" t="s">
        <v>170</v>
      </c>
      <c r="R479" s="15" t="s">
        <v>5155</v>
      </c>
      <c r="S479" s="24" t="s">
        <v>39</v>
      </c>
      <c r="T479" s="24" t="s">
        <v>39</v>
      </c>
      <c r="U479" s="24" t="s">
        <v>39</v>
      </c>
      <c r="V479" s="24" t="s">
        <v>39</v>
      </c>
      <c r="W479" s="24" t="s">
        <v>5156</v>
      </c>
      <c r="X479" s="24" t="s">
        <v>5157</v>
      </c>
      <c r="Y479" s="15" t="s">
        <v>5158</v>
      </c>
      <c r="Z479" s="15" t="s">
        <v>5159</v>
      </c>
      <c r="AA479" s="24"/>
      <c r="AB479" s="24"/>
      <c r="AC479" s="24"/>
      <c r="AD479" s="24"/>
      <c r="AE479" s="24"/>
      <c r="AF479" s="24"/>
      <c r="AG479" s="24"/>
      <c r="AH479" s="24"/>
    </row>
    <row r="480" spans="1:34" ht="105" x14ac:dyDescent="0.25">
      <c r="A480" s="24" t="str">
        <f>HYPERLINK("https://www.cpso.on.ca/DoctorDetails/Darryl-Evan-Appleton/0202404-79801","Appleton, Darryl Evan")</f>
        <v>Appleton, Darryl Evan</v>
      </c>
      <c r="B480" s="25" t="s">
        <v>5160</v>
      </c>
      <c r="C480" s="24" t="s">
        <v>5161</v>
      </c>
      <c r="D480" s="24" t="s">
        <v>5162</v>
      </c>
      <c r="E480" s="24" t="s">
        <v>29</v>
      </c>
      <c r="F480" s="24" t="s">
        <v>30</v>
      </c>
      <c r="G480" s="24" t="s">
        <v>31</v>
      </c>
      <c r="H480" s="24" t="s">
        <v>5163</v>
      </c>
      <c r="I480" s="24" t="s">
        <v>5164</v>
      </c>
      <c r="J480" s="24" t="s">
        <v>5165</v>
      </c>
      <c r="K480" s="24" t="s">
        <v>5166</v>
      </c>
      <c r="L480" s="24" t="s">
        <v>52</v>
      </c>
      <c r="M480" s="15"/>
      <c r="N480" s="15" t="s">
        <v>5167</v>
      </c>
      <c r="O480" s="15"/>
      <c r="P480" s="15" t="s">
        <v>5168</v>
      </c>
      <c r="Q480" s="15" t="s">
        <v>5169</v>
      </c>
      <c r="R480" s="15" t="s">
        <v>5170</v>
      </c>
      <c r="S480" s="24" t="s">
        <v>71</v>
      </c>
      <c r="T480" s="24" t="s">
        <v>39</v>
      </c>
      <c r="U480" s="24" t="s">
        <v>39</v>
      </c>
      <c r="V480" s="24" t="s">
        <v>71</v>
      </c>
      <c r="W480" s="24" t="s">
        <v>5171</v>
      </c>
      <c r="X480" s="24" t="s">
        <v>5172</v>
      </c>
      <c r="Y480" s="15"/>
      <c r="Z480" s="15"/>
      <c r="AA480" s="24"/>
      <c r="AB480" s="24"/>
      <c r="AC480" s="24"/>
      <c r="AD480" s="24"/>
      <c r="AE480" s="24"/>
      <c r="AF480" s="24"/>
      <c r="AG480" s="24"/>
      <c r="AH480" s="24"/>
    </row>
    <row r="481" spans="1:34" ht="30" x14ac:dyDescent="0.25">
      <c r="A481" s="24" t="str">
        <f>HYPERLINK("https://www.cpso.on.ca/DoctorDetails/Darryl-Kevin-Vance/0047472-61450","Vance, Darryl Kevin")</f>
        <v>Vance, Darryl Kevin</v>
      </c>
      <c r="B481" s="25" t="s">
        <v>5173</v>
      </c>
      <c r="C481" s="24" t="s">
        <v>5174</v>
      </c>
      <c r="D481" s="24" t="s">
        <v>5175</v>
      </c>
      <c r="E481" s="24" t="s">
        <v>29</v>
      </c>
      <c r="F481" s="24" t="s">
        <v>30</v>
      </c>
      <c r="G481" s="24" t="s">
        <v>31</v>
      </c>
      <c r="H481" s="24" t="s">
        <v>4568</v>
      </c>
      <c r="I481" s="24" t="s">
        <v>5176</v>
      </c>
      <c r="J481" s="24" t="s">
        <v>5177</v>
      </c>
      <c r="K481" s="24" t="s">
        <v>5178</v>
      </c>
      <c r="L481" s="24" t="s">
        <v>3849</v>
      </c>
      <c r="M481" s="15"/>
      <c r="N481" s="15"/>
      <c r="O481" s="15" t="s">
        <v>4262</v>
      </c>
      <c r="P481" s="15" t="s">
        <v>2293</v>
      </c>
      <c r="Q481" s="15" t="s">
        <v>5179</v>
      </c>
      <c r="R481" s="15" t="s">
        <v>5180</v>
      </c>
      <c r="S481" s="24" t="s">
        <v>39</v>
      </c>
      <c r="T481" s="24" t="s">
        <v>39</v>
      </c>
      <c r="U481" s="24" t="s">
        <v>39</v>
      </c>
      <c r="V481" s="24" t="s">
        <v>39</v>
      </c>
      <c r="W481" s="24"/>
      <c r="X481" s="24"/>
      <c r="Y481" s="15"/>
      <c r="Z481" s="15"/>
      <c r="AA481" s="24"/>
      <c r="AB481" s="24"/>
      <c r="AC481" s="24"/>
      <c r="AD481" s="24"/>
      <c r="AE481" s="24"/>
      <c r="AF481" s="24"/>
      <c r="AG481" s="24"/>
      <c r="AH481" s="24"/>
    </row>
    <row r="482" spans="1:34" ht="30" x14ac:dyDescent="0.25">
      <c r="A482" s="24" t="str">
        <f>HYPERLINK("https://www.cpso.on.ca/DoctorDetails/David-Alan-Gotlib/0041452-55428","Gotlib, David Alan")</f>
        <v>Gotlib, David Alan</v>
      </c>
      <c r="B482" s="25" t="s">
        <v>5181</v>
      </c>
      <c r="C482" s="24" t="s">
        <v>2902</v>
      </c>
      <c r="D482" s="24" t="s">
        <v>5182</v>
      </c>
      <c r="E482" s="24" t="s">
        <v>29</v>
      </c>
      <c r="F482" s="24" t="s">
        <v>30</v>
      </c>
      <c r="G482" s="24" t="s">
        <v>31</v>
      </c>
      <c r="H482" s="24" t="s">
        <v>5183</v>
      </c>
      <c r="I482" s="24" t="s">
        <v>5184</v>
      </c>
      <c r="J482" s="24" t="s">
        <v>5185</v>
      </c>
      <c r="K482" s="24" t="s">
        <v>5186</v>
      </c>
      <c r="L482" s="24" t="s">
        <v>52</v>
      </c>
      <c r="M482" s="15"/>
      <c r="N482" s="15"/>
      <c r="O482" s="15" t="s">
        <v>5187</v>
      </c>
      <c r="P482" s="15" t="s">
        <v>562</v>
      </c>
      <c r="Q482" s="15"/>
      <c r="R482" s="15" t="s">
        <v>5188</v>
      </c>
      <c r="S482" s="24" t="s">
        <v>39</v>
      </c>
      <c r="T482" s="24" t="s">
        <v>39</v>
      </c>
      <c r="U482" s="24" t="s">
        <v>39</v>
      </c>
      <c r="V482" s="24" t="s">
        <v>39</v>
      </c>
      <c r="W482" s="24"/>
      <c r="X482" s="24"/>
      <c r="Y482" s="15"/>
      <c r="Z482" s="15"/>
      <c r="AA482" s="24"/>
      <c r="AB482" s="24"/>
      <c r="AC482" s="24"/>
      <c r="AD482" s="24"/>
      <c r="AE482" s="24"/>
      <c r="AF482" s="24"/>
      <c r="AG482" s="24"/>
      <c r="AH482" s="24"/>
    </row>
    <row r="483" spans="1:34" ht="105" x14ac:dyDescent="0.25">
      <c r="A483" s="24" t="str">
        <f>HYPERLINK("https://www.cpso.on.ca/DoctorDetails/David-Andrew-Murray/0257826-91824","Murray, David Andrew")</f>
        <v>Murray, David Andrew</v>
      </c>
      <c r="B483" s="25" t="s">
        <v>5189</v>
      </c>
      <c r="C483" s="24" t="s">
        <v>5190</v>
      </c>
      <c r="D483" s="24" t="s">
        <v>5191</v>
      </c>
      <c r="E483" s="24" t="s">
        <v>29</v>
      </c>
      <c r="F483" s="24" t="s">
        <v>30</v>
      </c>
      <c r="G483" s="24" t="s">
        <v>31</v>
      </c>
      <c r="H483" s="24" t="s">
        <v>5192</v>
      </c>
      <c r="I483" s="24" t="s">
        <v>2614</v>
      </c>
      <c r="J483" s="24" t="s">
        <v>5193</v>
      </c>
      <c r="K483" s="24"/>
      <c r="L483" s="24" t="s">
        <v>152</v>
      </c>
      <c r="M483" s="15"/>
      <c r="N483" s="15"/>
      <c r="O483" s="15" t="s">
        <v>1539</v>
      </c>
      <c r="P483" s="15" t="s">
        <v>5194</v>
      </c>
      <c r="Q483" s="15" t="s">
        <v>5195</v>
      </c>
      <c r="R483" s="15" t="s">
        <v>5196</v>
      </c>
      <c r="S483" s="24" t="s">
        <v>39</v>
      </c>
      <c r="T483" s="24" t="s">
        <v>39</v>
      </c>
      <c r="U483" s="24" t="s">
        <v>39</v>
      </c>
      <c r="V483" s="24" t="s">
        <v>39</v>
      </c>
      <c r="W483" s="24" t="s">
        <v>5197</v>
      </c>
      <c r="X483" s="24" t="s">
        <v>5198</v>
      </c>
      <c r="Y483" s="15" t="s">
        <v>5199</v>
      </c>
      <c r="Z483" s="15" t="s">
        <v>5200</v>
      </c>
      <c r="AA483" s="24"/>
      <c r="AB483" s="24"/>
      <c r="AC483" s="24"/>
      <c r="AD483" s="24"/>
      <c r="AE483" s="24"/>
      <c r="AF483" s="24"/>
      <c r="AG483" s="24"/>
      <c r="AH483" s="24"/>
    </row>
    <row r="484" spans="1:34" ht="60" x14ac:dyDescent="0.25">
      <c r="A484" s="24" t="str">
        <f>HYPERLINK("https://www.cpso.on.ca/DoctorDetails/David-Andrew-Wolkoff/0251739-89688","Wolkoff, David Andrew")</f>
        <v>Wolkoff, David Andrew</v>
      </c>
      <c r="B484" s="25" t="s">
        <v>5201</v>
      </c>
      <c r="C484" s="24" t="s">
        <v>5202</v>
      </c>
      <c r="D484" s="24" t="s">
        <v>5203</v>
      </c>
      <c r="E484" s="24" t="s">
        <v>29</v>
      </c>
      <c r="F484" s="24" t="s">
        <v>30</v>
      </c>
      <c r="G484" s="24" t="s">
        <v>31</v>
      </c>
      <c r="H484" s="24" t="s">
        <v>5204</v>
      </c>
      <c r="I484" s="24" t="s">
        <v>5205</v>
      </c>
      <c r="J484" s="24" t="s">
        <v>5206</v>
      </c>
      <c r="K484" s="24"/>
      <c r="L484" s="24" t="s">
        <v>152</v>
      </c>
      <c r="M484" s="15" t="s">
        <v>5207</v>
      </c>
      <c r="N484" s="15" t="s">
        <v>5208</v>
      </c>
      <c r="O484" s="15" t="s">
        <v>1539</v>
      </c>
      <c r="P484" s="15" t="s">
        <v>5209</v>
      </c>
      <c r="Q484" s="15"/>
      <c r="R484" s="15" t="s">
        <v>5210</v>
      </c>
      <c r="S484" s="24" t="s">
        <v>39</v>
      </c>
      <c r="T484" s="24" t="s">
        <v>39</v>
      </c>
      <c r="U484" s="24" t="s">
        <v>39</v>
      </c>
      <c r="V484" s="24" t="s">
        <v>39</v>
      </c>
      <c r="W484" s="24" t="s">
        <v>5211</v>
      </c>
      <c r="X484" s="24" t="s">
        <v>4152</v>
      </c>
      <c r="Y484" s="15" t="s">
        <v>5212</v>
      </c>
      <c r="Z484" s="15" t="s">
        <v>5213</v>
      </c>
      <c r="AA484" s="24"/>
      <c r="AB484" s="24"/>
      <c r="AC484" s="24"/>
      <c r="AD484" s="24"/>
      <c r="AE484" s="24"/>
      <c r="AF484" s="24"/>
      <c r="AG484" s="24"/>
      <c r="AH484" s="24"/>
    </row>
    <row r="485" spans="1:34" ht="75" x14ac:dyDescent="0.25">
      <c r="A485" s="24" t="str">
        <f>HYPERLINK("https://www.cpso.on.ca/DoctorDetails/David-Arieh-Sherman/0297772-104914","Sherman, David Arieh")</f>
        <v>Sherman, David Arieh</v>
      </c>
      <c r="B485" s="25" t="s">
        <v>5214</v>
      </c>
      <c r="C485" s="24" t="s">
        <v>5215</v>
      </c>
      <c r="D485" s="24" t="s">
        <v>5216</v>
      </c>
      <c r="E485" s="24" t="s">
        <v>29</v>
      </c>
      <c r="F485" s="24" t="s">
        <v>30</v>
      </c>
      <c r="G485" s="24" t="s">
        <v>31</v>
      </c>
      <c r="H485" s="24" t="s">
        <v>968</v>
      </c>
      <c r="I485" s="24" t="s">
        <v>5217</v>
      </c>
      <c r="J485" s="24" t="s">
        <v>5218</v>
      </c>
      <c r="K485" s="24" t="s">
        <v>3602</v>
      </c>
      <c r="L485" s="24" t="s">
        <v>152</v>
      </c>
      <c r="M485" s="15" t="s">
        <v>5219</v>
      </c>
      <c r="N485" s="15"/>
      <c r="O485" s="15" t="s">
        <v>3768</v>
      </c>
      <c r="P485" s="15" t="s">
        <v>1704</v>
      </c>
      <c r="Q485" s="15" t="s">
        <v>5220</v>
      </c>
      <c r="R485" s="15" t="s">
        <v>5221</v>
      </c>
      <c r="S485" s="24" t="s">
        <v>39</v>
      </c>
      <c r="T485" s="24" t="s">
        <v>39</v>
      </c>
      <c r="U485" s="24" t="s">
        <v>39</v>
      </c>
      <c r="V485" s="24" t="s">
        <v>39</v>
      </c>
      <c r="W485" s="24" t="s">
        <v>5222</v>
      </c>
      <c r="X485" s="24" t="s">
        <v>5223</v>
      </c>
      <c r="Y485" s="15" t="s">
        <v>5224</v>
      </c>
      <c r="Z485" s="15" t="s">
        <v>5225</v>
      </c>
      <c r="AA485" s="24"/>
      <c r="AB485" s="24"/>
      <c r="AC485" s="24"/>
      <c r="AD485" s="24"/>
      <c r="AE485" s="24"/>
      <c r="AF485" s="24"/>
      <c r="AG485" s="24"/>
      <c r="AH485" s="24"/>
    </row>
    <row r="486" spans="1:34" ht="30" x14ac:dyDescent="0.25">
      <c r="A486" s="24" t="str">
        <f>HYPERLINK("https://www.cpso.on.ca/DoctorDetails/David-Bakish/0036133-50109","Bakish, David")</f>
        <v>Bakish, David</v>
      </c>
      <c r="B486" s="25" t="s">
        <v>5226</v>
      </c>
      <c r="C486" s="24" t="s">
        <v>3676</v>
      </c>
      <c r="D486" s="24" t="s">
        <v>5227</v>
      </c>
      <c r="E486" s="24" t="s">
        <v>29</v>
      </c>
      <c r="F486" s="24" t="s">
        <v>30</v>
      </c>
      <c r="G486" s="24" t="s">
        <v>813</v>
      </c>
      <c r="H486" s="24" t="s">
        <v>5228</v>
      </c>
      <c r="I486" s="24" t="s">
        <v>5229</v>
      </c>
      <c r="J486" s="24" t="s">
        <v>5230</v>
      </c>
      <c r="K486" s="24" t="s">
        <v>5231</v>
      </c>
      <c r="L486" s="24" t="s">
        <v>84</v>
      </c>
      <c r="M486" s="15" t="s">
        <v>5232</v>
      </c>
      <c r="N486" s="15" t="s">
        <v>710</v>
      </c>
      <c r="O486" s="15"/>
      <c r="P486" s="15" t="s">
        <v>2541</v>
      </c>
      <c r="Q486" s="15"/>
      <c r="R486" s="15" t="s">
        <v>5233</v>
      </c>
      <c r="S486" s="24" t="s">
        <v>39</v>
      </c>
      <c r="T486" s="24" t="s">
        <v>39</v>
      </c>
      <c r="U486" s="24" t="s">
        <v>39</v>
      </c>
      <c r="V486" s="24" t="s">
        <v>39</v>
      </c>
      <c r="W486" s="24"/>
      <c r="X486" s="24"/>
      <c r="Y486" s="15"/>
      <c r="Z486" s="15"/>
      <c r="AA486" s="24"/>
      <c r="AB486" s="24"/>
      <c r="AC486" s="24"/>
      <c r="AD486" s="24"/>
      <c r="AE486" s="24"/>
      <c r="AF486" s="24"/>
      <c r="AG486" s="24"/>
      <c r="AH486" s="24"/>
    </row>
    <row r="487" spans="1:34" ht="105" x14ac:dyDescent="0.25">
      <c r="A487" s="24" t="str">
        <f>HYPERLINK("https://www.cpso.on.ca/DoctorDetails/David-Bing-Wah-Lam/0132236-70382","Lam, David Bing Wah")</f>
        <v>Lam, David Bing Wah</v>
      </c>
      <c r="B487" s="25" t="s">
        <v>5234</v>
      </c>
      <c r="C487" s="24" t="s">
        <v>2673</v>
      </c>
      <c r="D487" s="24" t="s">
        <v>5235</v>
      </c>
      <c r="E487" s="24" t="s">
        <v>29</v>
      </c>
      <c r="F487" s="24" t="s">
        <v>30</v>
      </c>
      <c r="G487" s="24" t="s">
        <v>31</v>
      </c>
      <c r="H487" s="24" t="s">
        <v>5236</v>
      </c>
      <c r="I487" s="24" t="s">
        <v>5237</v>
      </c>
      <c r="J487" s="24" t="s">
        <v>5238</v>
      </c>
      <c r="K487" s="24" t="s">
        <v>5239</v>
      </c>
      <c r="L487" s="24" t="s">
        <v>184</v>
      </c>
      <c r="M487" s="15"/>
      <c r="N487" s="15"/>
      <c r="O487" s="15" t="s">
        <v>1135</v>
      </c>
      <c r="P487" s="15" t="s">
        <v>668</v>
      </c>
      <c r="Q487" s="15" t="s">
        <v>5240</v>
      </c>
      <c r="R487" s="15" t="s">
        <v>5241</v>
      </c>
      <c r="S487" s="24" t="s">
        <v>39</v>
      </c>
      <c r="T487" s="24" t="s">
        <v>39</v>
      </c>
      <c r="U487" s="24" t="s">
        <v>39</v>
      </c>
      <c r="V487" s="24" t="s">
        <v>39</v>
      </c>
      <c r="W487" s="24" t="s">
        <v>5242</v>
      </c>
      <c r="X487" s="24" t="s">
        <v>5243</v>
      </c>
      <c r="Y487" s="15" t="s">
        <v>5244</v>
      </c>
      <c r="Z487" s="15" t="s">
        <v>5245</v>
      </c>
      <c r="AA487" s="24"/>
      <c r="AB487" s="24"/>
      <c r="AC487" s="24"/>
      <c r="AD487" s="24"/>
      <c r="AE487" s="24"/>
      <c r="AF487" s="24"/>
      <c r="AG487" s="24"/>
      <c r="AH487" s="24"/>
    </row>
    <row r="488" spans="1:34" x14ac:dyDescent="0.25">
      <c r="A488" s="24" t="str">
        <f>HYPERLINK("https://www.cpso.on.ca/DoctorDetails/David-Charles-Wright/0051655-65634","Wright, David Charles")</f>
        <v>Wright, David Charles</v>
      </c>
      <c r="B488" s="25" t="s">
        <v>5246</v>
      </c>
      <c r="C488" s="24" t="s">
        <v>5247</v>
      </c>
      <c r="D488" s="24" t="s">
        <v>5248</v>
      </c>
      <c r="E488" s="24" t="s">
        <v>29</v>
      </c>
      <c r="F488" s="24" t="s">
        <v>30</v>
      </c>
      <c r="G488" s="24" t="s">
        <v>31</v>
      </c>
      <c r="H488" s="24" t="s">
        <v>5249</v>
      </c>
      <c r="I488" s="24" t="s">
        <v>107</v>
      </c>
      <c r="J488" s="24"/>
      <c r="K488" s="24"/>
      <c r="L488" s="24"/>
      <c r="M488" s="15"/>
      <c r="N488" s="15"/>
      <c r="O488" s="15"/>
      <c r="P488" s="15" t="s">
        <v>5250</v>
      </c>
      <c r="Q488" s="15" t="s">
        <v>5084</v>
      </c>
      <c r="R488" s="15" t="s">
        <v>5251</v>
      </c>
      <c r="S488" s="24" t="s">
        <v>39</v>
      </c>
      <c r="T488" s="24" t="s">
        <v>39</v>
      </c>
      <c r="U488" s="24" t="s">
        <v>39</v>
      </c>
      <c r="V488" s="24" t="s">
        <v>39</v>
      </c>
      <c r="W488" s="24" t="s">
        <v>5252</v>
      </c>
      <c r="X488" s="24" t="s">
        <v>5253</v>
      </c>
      <c r="Y488" s="15" t="s">
        <v>5254</v>
      </c>
      <c r="Z488" s="15" t="s">
        <v>3997</v>
      </c>
      <c r="AA488" s="24"/>
      <c r="AB488" s="24"/>
      <c r="AC488" s="24"/>
      <c r="AD488" s="24"/>
      <c r="AE488" s="24"/>
      <c r="AF488" s="24"/>
      <c r="AG488" s="24"/>
      <c r="AH488" s="24"/>
    </row>
    <row r="489" spans="1:34" ht="45" x14ac:dyDescent="0.25">
      <c r="A489" s="24" t="str">
        <f>HYPERLINK("https://www.cpso.on.ca/DoctorDetails/David-Dorenbaum/0036475-50451","Dorenbaum, David")</f>
        <v>Dorenbaum, David</v>
      </c>
      <c r="B489" s="25" t="s">
        <v>5255</v>
      </c>
      <c r="C489" s="24" t="s">
        <v>3676</v>
      </c>
      <c r="D489" s="24" t="s">
        <v>5256</v>
      </c>
      <c r="E489" s="24" t="s">
        <v>29</v>
      </c>
      <c r="F489" s="24" t="s">
        <v>30</v>
      </c>
      <c r="G489" s="24" t="s">
        <v>115</v>
      </c>
      <c r="H489" s="24" t="s">
        <v>5257</v>
      </c>
      <c r="I489" s="24" t="s">
        <v>2632</v>
      </c>
      <c r="J489" s="24" t="s">
        <v>5258</v>
      </c>
      <c r="K489" s="24"/>
      <c r="L489" s="24" t="s">
        <v>52</v>
      </c>
      <c r="M489" s="15" t="s">
        <v>5259</v>
      </c>
      <c r="N489" s="15"/>
      <c r="O489" s="15"/>
      <c r="P489" s="15" t="s">
        <v>5260</v>
      </c>
      <c r="Q489" s="15" t="s">
        <v>5261</v>
      </c>
      <c r="R489" s="15" t="s">
        <v>5262</v>
      </c>
      <c r="S489" s="24" t="s">
        <v>39</v>
      </c>
      <c r="T489" s="24" t="s">
        <v>39</v>
      </c>
      <c r="U489" s="24" t="s">
        <v>39</v>
      </c>
      <c r="V489" s="24" t="s">
        <v>39</v>
      </c>
      <c r="W489" s="24" t="s">
        <v>5263</v>
      </c>
      <c r="X489" s="24" t="s">
        <v>5264</v>
      </c>
      <c r="Y489" s="15" t="s">
        <v>5265</v>
      </c>
      <c r="Z489" s="15" t="s">
        <v>5266</v>
      </c>
      <c r="AA489" s="24"/>
      <c r="AB489" s="24"/>
      <c r="AC489" s="24"/>
      <c r="AD489" s="24"/>
      <c r="AE489" s="24"/>
      <c r="AF489" s="24"/>
      <c r="AG489" s="24"/>
      <c r="AH489" s="24"/>
    </row>
    <row r="490" spans="1:34" ht="30" x14ac:dyDescent="0.25">
      <c r="A490" s="24" t="str">
        <f>HYPERLINK("https://www.cpso.on.ca/DoctorDetails/David-Elmor-Morrison/0037273-51249","Morrison, David Elmor")</f>
        <v>Morrison, David Elmor</v>
      </c>
      <c r="B490" s="25" t="s">
        <v>5267</v>
      </c>
      <c r="C490" s="24" t="s">
        <v>753</v>
      </c>
      <c r="D490" s="24" t="s">
        <v>5268</v>
      </c>
      <c r="E490" s="24" t="s">
        <v>29</v>
      </c>
      <c r="F490" s="24" t="s">
        <v>30</v>
      </c>
      <c r="G490" s="24" t="s">
        <v>31</v>
      </c>
      <c r="H490" s="24" t="s">
        <v>5269</v>
      </c>
      <c r="I490" s="24" t="s">
        <v>5270</v>
      </c>
      <c r="J490" s="24" t="s">
        <v>5271</v>
      </c>
      <c r="K490" s="24" t="s">
        <v>5272</v>
      </c>
      <c r="L490" s="24" t="s">
        <v>152</v>
      </c>
      <c r="M490" s="15"/>
      <c r="N490" s="15"/>
      <c r="O490" s="15" t="s">
        <v>5273</v>
      </c>
      <c r="P490" s="15" t="s">
        <v>3636</v>
      </c>
      <c r="Q490" s="15"/>
      <c r="R490" s="15" t="s">
        <v>5274</v>
      </c>
      <c r="S490" s="24" t="s">
        <v>39</v>
      </c>
      <c r="T490" s="24" t="s">
        <v>39</v>
      </c>
      <c r="U490" s="24" t="s">
        <v>39</v>
      </c>
      <c r="V490" s="24" t="s">
        <v>39</v>
      </c>
      <c r="W490" s="24"/>
      <c r="X490" s="24"/>
      <c r="Y490" s="15"/>
      <c r="Z490" s="15"/>
      <c r="AA490" s="24"/>
      <c r="AB490" s="24"/>
      <c r="AC490" s="24"/>
      <c r="AD490" s="24"/>
      <c r="AE490" s="24"/>
      <c r="AF490" s="24"/>
      <c r="AG490" s="24"/>
      <c r="AH490" s="24"/>
    </row>
    <row r="491" spans="1:34" ht="60" x14ac:dyDescent="0.25">
      <c r="A491" s="24" t="str">
        <f>HYPERLINK("https://www.cpso.on.ca/DoctorDetails/David-Fredrick-Laing-Dawson/0019926-24714","Dawson, David Fredrick Laing")</f>
        <v>Dawson, David Fredrick Laing</v>
      </c>
      <c r="B491" s="25" t="s">
        <v>5275</v>
      </c>
      <c r="C491" s="24" t="s">
        <v>5276</v>
      </c>
      <c r="D491" s="24" t="s">
        <v>5277</v>
      </c>
      <c r="E491" s="24" t="s">
        <v>29</v>
      </c>
      <c r="F491" s="24" t="s">
        <v>30</v>
      </c>
      <c r="G491" s="24" t="s">
        <v>31</v>
      </c>
      <c r="H491" s="24" t="s">
        <v>5278</v>
      </c>
      <c r="I491" s="24" t="s">
        <v>5279</v>
      </c>
      <c r="J491" s="24" t="s">
        <v>2688</v>
      </c>
      <c r="K491" s="24"/>
      <c r="L491" s="24" t="s">
        <v>152</v>
      </c>
      <c r="M491" s="15" t="s">
        <v>5280</v>
      </c>
      <c r="N491" s="15"/>
      <c r="O491" s="15" t="s">
        <v>2689</v>
      </c>
      <c r="P491" s="15" t="s">
        <v>5281</v>
      </c>
      <c r="Q491" s="15"/>
      <c r="R491" s="15" t="s">
        <v>5282</v>
      </c>
      <c r="S491" s="24" t="s">
        <v>39</v>
      </c>
      <c r="T491" s="24" t="s">
        <v>39</v>
      </c>
      <c r="U491" s="24" t="s">
        <v>39</v>
      </c>
      <c r="V491" s="24" t="s">
        <v>39</v>
      </c>
      <c r="W491" s="24" t="s">
        <v>5283</v>
      </c>
      <c r="X491" s="24" t="s">
        <v>3486</v>
      </c>
      <c r="Y491" s="15" t="s">
        <v>5284</v>
      </c>
      <c r="Z491" s="15" t="s">
        <v>5285</v>
      </c>
      <c r="AA491" s="24"/>
      <c r="AB491" s="24"/>
      <c r="AC491" s="24"/>
      <c r="AD491" s="24"/>
      <c r="AE491" s="24"/>
      <c r="AF491" s="24"/>
      <c r="AG491" s="24"/>
      <c r="AH491" s="24"/>
    </row>
    <row r="492" spans="1:34" ht="75" x14ac:dyDescent="0.25">
      <c r="A492" s="24" t="str">
        <f>HYPERLINK("https://www.cpso.on.ca/DoctorDetails/David-George-Attwood/0056671-68259","Attwood, David George")</f>
        <v>Attwood, David George</v>
      </c>
      <c r="B492" s="25" t="s">
        <v>5286</v>
      </c>
      <c r="C492" s="24" t="s">
        <v>5287</v>
      </c>
      <c r="D492" s="24" t="s">
        <v>5288</v>
      </c>
      <c r="E492" s="24" t="s">
        <v>29</v>
      </c>
      <c r="F492" s="24" t="s">
        <v>30</v>
      </c>
      <c r="G492" s="24" t="s">
        <v>31</v>
      </c>
      <c r="H492" s="24" t="s">
        <v>4194</v>
      </c>
      <c r="I492" s="24" t="s">
        <v>5289</v>
      </c>
      <c r="J492" s="24" t="s">
        <v>5290</v>
      </c>
      <c r="K492" s="24" t="s">
        <v>5291</v>
      </c>
      <c r="L492" s="24" t="s">
        <v>84</v>
      </c>
      <c r="M492" s="15"/>
      <c r="N492" s="15"/>
      <c r="O492" s="15" t="s">
        <v>3045</v>
      </c>
      <c r="P492" s="15" t="s">
        <v>1677</v>
      </c>
      <c r="Q492" s="15" t="s">
        <v>5292</v>
      </c>
      <c r="R492" s="15" t="s">
        <v>5293</v>
      </c>
      <c r="S492" s="24" t="s">
        <v>39</v>
      </c>
      <c r="T492" s="24" t="s">
        <v>39</v>
      </c>
      <c r="U492" s="24" t="s">
        <v>39</v>
      </c>
      <c r="V492" s="24" t="s">
        <v>39</v>
      </c>
      <c r="W492" s="24" t="s">
        <v>5294</v>
      </c>
      <c r="X492" s="24" t="s">
        <v>5295</v>
      </c>
      <c r="Y492" s="15" t="s">
        <v>5296</v>
      </c>
      <c r="Z492" s="15" t="s">
        <v>5297</v>
      </c>
      <c r="AA492" s="24"/>
      <c r="AB492" s="24"/>
      <c r="AC492" s="24"/>
      <c r="AD492" s="24"/>
      <c r="AE492" s="24"/>
      <c r="AF492" s="24"/>
      <c r="AG492" s="24"/>
      <c r="AH492" s="24"/>
    </row>
    <row r="493" spans="1:34" ht="75" x14ac:dyDescent="0.25">
      <c r="A493" s="24" t="str">
        <f>HYPERLINK("https://www.cpso.on.ca/DoctorDetails/David-George-Gratzer/0172740-75146","Gratzer, David George")</f>
        <v>Gratzer, David George</v>
      </c>
      <c r="B493" s="25" t="s">
        <v>5298</v>
      </c>
      <c r="C493" s="24" t="s">
        <v>3642</v>
      </c>
      <c r="D493" s="24" t="s">
        <v>1234</v>
      </c>
      <c r="E493" s="24" t="s">
        <v>29</v>
      </c>
      <c r="F493" s="24" t="s">
        <v>30</v>
      </c>
      <c r="G493" s="24" t="s">
        <v>31</v>
      </c>
      <c r="H493" s="24" t="s">
        <v>5299</v>
      </c>
      <c r="I493" s="24" t="s">
        <v>5300</v>
      </c>
      <c r="J493" s="24" t="s">
        <v>5301</v>
      </c>
      <c r="K493" s="24" t="s">
        <v>5302</v>
      </c>
      <c r="L493" s="24" t="s">
        <v>52</v>
      </c>
      <c r="M493" s="15"/>
      <c r="N493" s="15"/>
      <c r="O493" s="15" t="s">
        <v>842</v>
      </c>
      <c r="P493" s="15" t="s">
        <v>1239</v>
      </c>
      <c r="Q493" s="15" t="s">
        <v>3659</v>
      </c>
      <c r="R493" s="15" t="s">
        <v>3649</v>
      </c>
      <c r="S493" s="24" t="s">
        <v>39</v>
      </c>
      <c r="T493" s="24" t="s">
        <v>39</v>
      </c>
      <c r="U493" s="24" t="s">
        <v>39</v>
      </c>
      <c r="V493" s="24" t="s">
        <v>39</v>
      </c>
      <c r="W493" s="24" t="s">
        <v>5303</v>
      </c>
      <c r="X493" s="24" t="s">
        <v>5304</v>
      </c>
      <c r="Y493" s="15" t="s">
        <v>5305</v>
      </c>
      <c r="Z493" s="15" t="s">
        <v>5306</v>
      </c>
      <c r="AA493" s="24"/>
      <c r="AB493" s="24"/>
      <c r="AC493" s="24"/>
      <c r="AD493" s="24"/>
      <c r="AE493" s="24"/>
      <c r="AF493" s="24"/>
      <c r="AG493" s="24"/>
      <c r="AH493" s="24"/>
    </row>
    <row r="494" spans="1:34" x14ac:dyDescent="0.25">
      <c r="A494" s="24" t="str">
        <f>HYPERLINK("https://www.cpso.on.ca/DoctorDetails/David-Gordon-Ewing/0021432-26220","Ewing, David Gordon")</f>
        <v>Ewing, David Gordon</v>
      </c>
      <c r="B494" s="25" t="s">
        <v>5307</v>
      </c>
      <c r="C494" s="24" t="s">
        <v>5308</v>
      </c>
      <c r="D494" s="24" t="s">
        <v>5309</v>
      </c>
      <c r="E494" s="24" t="s">
        <v>29</v>
      </c>
      <c r="F494" s="24" t="s">
        <v>30</v>
      </c>
      <c r="G494" s="24" t="s">
        <v>31</v>
      </c>
      <c r="H494" s="24" t="s">
        <v>5310</v>
      </c>
      <c r="I494" s="24" t="s">
        <v>5311</v>
      </c>
      <c r="J494" s="24" t="s">
        <v>1944</v>
      </c>
      <c r="K494" s="24" t="s">
        <v>1945</v>
      </c>
      <c r="L494" s="24" t="s">
        <v>36</v>
      </c>
      <c r="M494" s="15" t="s">
        <v>5312</v>
      </c>
      <c r="N494" s="15"/>
      <c r="O494" s="15"/>
      <c r="P494" s="15" t="s">
        <v>4108</v>
      </c>
      <c r="Q494" s="15"/>
      <c r="R494" s="15" t="s">
        <v>5313</v>
      </c>
      <c r="S494" s="24" t="s">
        <v>39</v>
      </c>
      <c r="T494" s="24" t="s">
        <v>39</v>
      </c>
      <c r="U494" s="24" t="s">
        <v>39</v>
      </c>
      <c r="V494" s="24" t="s">
        <v>39</v>
      </c>
      <c r="W494" s="24" t="s">
        <v>5314</v>
      </c>
      <c r="X494" s="24" t="s">
        <v>5315</v>
      </c>
      <c r="Y494" s="15" t="s">
        <v>5316</v>
      </c>
      <c r="Z494" s="15" t="s">
        <v>5317</v>
      </c>
      <c r="AA494" s="24"/>
      <c r="AB494" s="24"/>
      <c r="AC494" s="24"/>
      <c r="AD494" s="24"/>
      <c r="AE494" s="24"/>
      <c r="AF494" s="24"/>
      <c r="AG494" s="24"/>
      <c r="AH494" s="24"/>
    </row>
    <row r="495" spans="1:34" ht="60" x14ac:dyDescent="0.25">
      <c r="A495" s="24" t="str">
        <f>HYPERLINK("https://www.cpso.on.ca/DoctorDetails/David-Gordon-Scroggie/0016341-21126","Scroggie, David Gordon")</f>
        <v>Scroggie, David Gordon</v>
      </c>
      <c r="B495" s="25" t="s">
        <v>5318</v>
      </c>
      <c r="C495" s="24" t="s">
        <v>5319</v>
      </c>
      <c r="D495" s="24" t="s">
        <v>5320</v>
      </c>
      <c r="E495" s="24" t="s">
        <v>29</v>
      </c>
      <c r="F495" s="24" t="s">
        <v>30</v>
      </c>
      <c r="G495" s="24" t="s">
        <v>31</v>
      </c>
      <c r="H495" s="24" t="s">
        <v>3108</v>
      </c>
      <c r="I495" s="24" t="s">
        <v>5321</v>
      </c>
      <c r="J495" s="24" t="s">
        <v>5322</v>
      </c>
      <c r="K495" s="24"/>
      <c r="L495" s="24" t="s">
        <v>52</v>
      </c>
      <c r="M495" s="15"/>
      <c r="N495" s="15"/>
      <c r="O495" s="15"/>
      <c r="P495" s="15" t="s">
        <v>5323</v>
      </c>
      <c r="Q495" s="15"/>
      <c r="R495" s="15" t="s">
        <v>5324</v>
      </c>
      <c r="S495" s="24" t="s">
        <v>39</v>
      </c>
      <c r="T495" s="24" t="s">
        <v>39</v>
      </c>
      <c r="U495" s="24" t="s">
        <v>39</v>
      </c>
      <c r="V495" s="24" t="s">
        <v>39</v>
      </c>
      <c r="W495" s="24"/>
      <c r="X495" s="24"/>
      <c r="Y495" s="15"/>
      <c r="Z495" s="15"/>
      <c r="AA495" s="24"/>
      <c r="AB495" s="24"/>
      <c r="AC495" s="24"/>
      <c r="AD495" s="24"/>
      <c r="AE495" s="24"/>
      <c r="AF495" s="24"/>
      <c r="AG495" s="24"/>
      <c r="AH495" s="24"/>
    </row>
    <row r="496" spans="1:34" ht="30" x14ac:dyDescent="0.25">
      <c r="A496" s="24" t="str">
        <f>HYPERLINK("https://www.cpso.on.ca/DoctorDetails/David-Howard-Futerman/0036626-50602","Futerman, David Howard")</f>
        <v>Futerman, David Howard</v>
      </c>
      <c r="B496" s="25" t="s">
        <v>5325</v>
      </c>
      <c r="C496" s="24" t="s">
        <v>3746</v>
      </c>
      <c r="D496" s="24" t="s">
        <v>5326</v>
      </c>
      <c r="E496" s="24" t="s">
        <v>29</v>
      </c>
      <c r="F496" s="24" t="s">
        <v>30</v>
      </c>
      <c r="G496" s="24" t="s">
        <v>31</v>
      </c>
      <c r="H496" s="24" t="s">
        <v>3737</v>
      </c>
      <c r="I496" s="24" t="s">
        <v>5327</v>
      </c>
      <c r="J496" s="24" t="s">
        <v>5328</v>
      </c>
      <c r="K496" s="24" t="s">
        <v>5329</v>
      </c>
      <c r="L496" s="24" t="s">
        <v>52</v>
      </c>
      <c r="M496" s="15"/>
      <c r="N496" s="15"/>
      <c r="O496" s="15" t="s">
        <v>793</v>
      </c>
      <c r="P496" s="15" t="s">
        <v>785</v>
      </c>
      <c r="Q496" s="15"/>
      <c r="R496" s="15" t="s">
        <v>5330</v>
      </c>
      <c r="S496" s="24" t="s">
        <v>39</v>
      </c>
      <c r="T496" s="24" t="s">
        <v>39</v>
      </c>
      <c r="U496" s="24" t="s">
        <v>39</v>
      </c>
      <c r="V496" s="24" t="s">
        <v>39</v>
      </c>
      <c r="W496" s="24"/>
      <c r="X496" s="24"/>
      <c r="Y496" s="15"/>
      <c r="Z496" s="15"/>
      <c r="AA496" s="24"/>
      <c r="AB496" s="24"/>
      <c r="AC496" s="24"/>
      <c r="AD496" s="24"/>
      <c r="AE496" s="24"/>
      <c r="AF496" s="24"/>
      <c r="AG496" s="24"/>
      <c r="AH496" s="24"/>
    </row>
    <row r="497" spans="1:34" ht="75" x14ac:dyDescent="0.25">
      <c r="A497" s="24" t="str">
        <f>HYPERLINK("https://www.cpso.on.ca/DoctorDetails/David-Jackson-Rodie/0257839-91153","Rodie, David Jackson")</f>
        <v>Rodie, David Jackson</v>
      </c>
      <c r="B497" s="25" t="s">
        <v>5331</v>
      </c>
      <c r="C497" s="24" t="s">
        <v>442</v>
      </c>
      <c r="D497" s="24" t="s">
        <v>443</v>
      </c>
      <c r="E497" s="24" t="s">
        <v>29</v>
      </c>
      <c r="F497" s="24" t="s">
        <v>30</v>
      </c>
      <c r="G497" s="24" t="s">
        <v>31</v>
      </c>
      <c r="H497" s="24" t="s">
        <v>5192</v>
      </c>
      <c r="I497" s="24" t="s">
        <v>5332</v>
      </c>
      <c r="J497" s="24" t="s">
        <v>1262</v>
      </c>
      <c r="K497" s="24"/>
      <c r="L497" s="24" t="s">
        <v>52</v>
      </c>
      <c r="M497" s="15"/>
      <c r="N497" s="15"/>
      <c r="O497" s="15" t="s">
        <v>793</v>
      </c>
      <c r="P497" s="15" t="s">
        <v>449</v>
      </c>
      <c r="Q497" s="15" t="s">
        <v>450</v>
      </c>
      <c r="R497" s="15" t="s">
        <v>451</v>
      </c>
      <c r="S497" s="24" t="s">
        <v>39</v>
      </c>
      <c r="T497" s="24" t="s">
        <v>39</v>
      </c>
      <c r="U497" s="24" t="s">
        <v>39</v>
      </c>
      <c r="V497" s="24" t="s">
        <v>39</v>
      </c>
      <c r="W497" s="24" t="s">
        <v>5333</v>
      </c>
      <c r="X497" s="24" t="s">
        <v>5334</v>
      </c>
      <c r="Y497" s="15" t="s">
        <v>5335</v>
      </c>
      <c r="Z497" s="15" t="s">
        <v>5336</v>
      </c>
      <c r="AA497" s="24"/>
      <c r="AB497" s="24"/>
      <c r="AC497" s="24"/>
      <c r="AD497" s="24"/>
      <c r="AE497" s="24"/>
      <c r="AF497" s="24"/>
      <c r="AG497" s="24"/>
      <c r="AH497" s="24"/>
    </row>
    <row r="498" spans="1:34" ht="90" x14ac:dyDescent="0.25">
      <c r="A498" s="24" t="str">
        <f>HYPERLINK("https://www.cpso.on.ca/DoctorDetails/David-Jeffrey-Robinson/0044324-58302","Robinson, David Jeffrey")</f>
        <v>Robinson, David Jeffrey</v>
      </c>
      <c r="B498" s="25" t="s">
        <v>5337</v>
      </c>
      <c r="C498" s="24" t="s">
        <v>1609</v>
      </c>
      <c r="D498" s="24" t="s">
        <v>5338</v>
      </c>
      <c r="E498" s="24" t="s">
        <v>29</v>
      </c>
      <c r="F498" s="24" t="s">
        <v>30</v>
      </c>
      <c r="G498" s="24" t="s">
        <v>31</v>
      </c>
      <c r="H498" s="24" t="s">
        <v>2189</v>
      </c>
      <c r="I498" s="24" t="s">
        <v>5339</v>
      </c>
      <c r="J498" s="24" t="s">
        <v>5340</v>
      </c>
      <c r="K498" s="24" t="s">
        <v>5341</v>
      </c>
      <c r="L498" s="24" t="s">
        <v>135</v>
      </c>
      <c r="M498" s="15" t="s">
        <v>5342</v>
      </c>
      <c r="N498" s="15"/>
      <c r="O498" s="15"/>
      <c r="P498" s="15" t="s">
        <v>2293</v>
      </c>
      <c r="Q498" s="15" t="s">
        <v>5343</v>
      </c>
      <c r="R498" s="15" t="s">
        <v>5344</v>
      </c>
      <c r="S498" s="24" t="s">
        <v>39</v>
      </c>
      <c r="T498" s="24" t="s">
        <v>39</v>
      </c>
      <c r="U498" s="24" t="s">
        <v>39</v>
      </c>
      <c r="V498" s="24" t="s">
        <v>39</v>
      </c>
      <c r="W498" s="24" t="s">
        <v>5345</v>
      </c>
      <c r="X498" s="24" t="s">
        <v>2140</v>
      </c>
      <c r="Y498" s="15" t="s">
        <v>5346</v>
      </c>
      <c r="Z498" s="15" t="s">
        <v>5347</v>
      </c>
      <c r="AA498" s="24"/>
      <c r="AB498" s="24"/>
      <c r="AC498" s="24"/>
      <c r="AD498" s="24"/>
      <c r="AE498" s="24"/>
      <c r="AF498" s="24"/>
      <c r="AG498" s="24"/>
      <c r="AH498" s="24"/>
    </row>
    <row r="499" spans="1:34" ht="75" x14ac:dyDescent="0.25">
      <c r="A499" s="24" t="str">
        <f>HYPERLINK("https://www.cpso.on.ca/DoctorDetails/David-John-Dixon/0046781-60759","Dixon, David John")</f>
        <v>Dixon, David John</v>
      </c>
      <c r="B499" s="25" t="s">
        <v>5348</v>
      </c>
      <c r="C499" s="24" t="s">
        <v>3323</v>
      </c>
      <c r="D499" s="24" t="s">
        <v>5349</v>
      </c>
      <c r="E499" s="24" t="s">
        <v>29</v>
      </c>
      <c r="F499" s="24" t="s">
        <v>30</v>
      </c>
      <c r="G499" s="24" t="s">
        <v>31</v>
      </c>
      <c r="H499" s="24" t="s">
        <v>3325</v>
      </c>
      <c r="I499" s="24" t="s">
        <v>5350</v>
      </c>
      <c r="J499" s="24" t="s">
        <v>5351</v>
      </c>
      <c r="K499" s="24"/>
      <c r="L499" s="24" t="s">
        <v>52</v>
      </c>
      <c r="M499" s="15"/>
      <c r="N499" s="15"/>
      <c r="O499" s="15"/>
      <c r="P499" s="15" t="s">
        <v>1007</v>
      </c>
      <c r="Q499" s="15" t="s">
        <v>5352</v>
      </c>
      <c r="R499" s="15" t="s">
        <v>5353</v>
      </c>
      <c r="S499" s="24" t="s">
        <v>39</v>
      </c>
      <c r="T499" s="24" t="s">
        <v>39</v>
      </c>
      <c r="U499" s="24" t="s">
        <v>39</v>
      </c>
      <c r="V499" s="24" t="s">
        <v>39</v>
      </c>
      <c r="W499" s="24"/>
      <c r="X499" s="24"/>
      <c r="Y499" s="15"/>
      <c r="Z499" s="15"/>
      <c r="AA499" s="24"/>
      <c r="AB499" s="24"/>
      <c r="AC499" s="24"/>
      <c r="AD499" s="24"/>
      <c r="AE499" s="24"/>
      <c r="AF499" s="24"/>
      <c r="AG499" s="24"/>
      <c r="AH499" s="24"/>
    </row>
    <row r="500" spans="1:34" ht="30" x14ac:dyDescent="0.25">
      <c r="A500" s="24" t="str">
        <f>HYPERLINK("https://www.cpso.on.ca/DoctorDetails/David-Keith-Conn/0027082-31905","Conn, David Keith")</f>
        <v>Conn, David Keith</v>
      </c>
      <c r="B500" s="25" t="s">
        <v>5354</v>
      </c>
      <c r="C500" s="24" t="s">
        <v>5355</v>
      </c>
      <c r="D500" s="24" t="s">
        <v>5356</v>
      </c>
      <c r="E500" s="24" t="s">
        <v>29</v>
      </c>
      <c r="F500" s="24" t="s">
        <v>30</v>
      </c>
      <c r="G500" s="24" t="s">
        <v>31</v>
      </c>
      <c r="H500" s="24" t="s">
        <v>3438</v>
      </c>
      <c r="I500" s="24" t="s">
        <v>5357</v>
      </c>
      <c r="J500" s="24" t="s">
        <v>5358</v>
      </c>
      <c r="K500" s="24" t="s">
        <v>3920</v>
      </c>
      <c r="L500" s="24" t="s">
        <v>52</v>
      </c>
      <c r="M500" s="15"/>
      <c r="N500" s="15"/>
      <c r="O500" s="15" t="s">
        <v>5359</v>
      </c>
      <c r="P500" s="15" t="s">
        <v>233</v>
      </c>
      <c r="Q500" s="15"/>
      <c r="R500" s="15" t="s">
        <v>5360</v>
      </c>
      <c r="S500" s="24" t="s">
        <v>39</v>
      </c>
      <c r="T500" s="24" t="s">
        <v>39</v>
      </c>
      <c r="U500" s="24" t="s">
        <v>39</v>
      </c>
      <c r="V500" s="24" t="s">
        <v>39</v>
      </c>
      <c r="W500" s="24"/>
      <c r="X500" s="24"/>
      <c r="Y500" s="15"/>
      <c r="Z500" s="15"/>
      <c r="AA500" s="24"/>
      <c r="AB500" s="24"/>
      <c r="AC500" s="24"/>
      <c r="AD500" s="24"/>
      <c r="AE500" s="24"/>
      <c r="AF500" s="24"/>
      <c r="AG500" s="24"/>
      <c r="AH500" s="24"/>
    </row>
    <row r="501" spans="1:34" ht="75" x14ac:dyDescent="0.25">
      <c r="A501" s="24" t="str">
        <f>HYPERLINK("https://www.cpso.on.ca/DoctorDetails/David-Kenneth-Cochrane/0045652-59630","Cochrane, David Kenneth")</f>
        <v>Cochrane, David Kenneth</v>
      </c>
      <c r="B501" s="25" t="s">
        <v>5361</v>
      </c>
      <c r="C501" s="24" t="s">
        <v>2286</v>
      </c>
      <c r="D501" s="24" t="s">
        <v>5362</v>
      </c>
      <c r="E501" s="24" t="s">
        <v>29</v>
      </c>
      <c r="F501" s="24" t="s">
        <v>30</v>
      </c>
      <c r="G501" s="24" t="s">
        <v>31</v>
      </c>
      <c r="H501" s="24" t="s">
        <v>2288</v>
      </c>
      <c r="I501" s="24" t="s">
        <v>5363</v>
      </c>
      <c r="J501" s="24" t="s">
        <v>5364</v>
      </c>
      <c r="K501" s="24" t="s">
        <v>5365</v>
      </c>
      <c r="L501" s="24" t="s">
        <v>328</v>
      </c>
      <c r="M501" s="15"/>
      <c r="N501" s="15"/>
      <c r="O501" s="15" t="s">
        <v>329</v>
      </c>
      <c r="P501" s="15" t="s">
        <v>169</v>
      </c>
      <c r="Q501" s="15" t="s">
        <v>5366</v>
      </c>
      <c r="R501" s="15" t="s">
        <v>5367</v>
      </c>
      <c r="S501" s="24" t="s">
        <v>39</v>
      </c>
      <c r="T501" s="24" t="s">
        <v>39</v>
      </c>
      <c r="U501" s="24" t="s">
        <v>39</v>
      </c>
      <c r="V501" s="24" t="s">
        <v>39</v>
      </c>
      <c r="W501" s="24" t="s">
        <v>5368</v>
      </c>
      <c r="X501" s="24" t="s">
        <v>5369</v>
      </c>
      <c r="Y501" s="15" t="s">
        <v>5370</v>
      </c>
      <c r="Z501" s="15" t="s">
        <v>5371</v>
      </c>
      <c r="AA501" s="24"/>
      <c r="AB501" s="24"/>
      <c r="AC501" s="24"/>
      <c r="AD501" s="24"/>
      <c r="AE501" s="24"/>
      <c r="AF501" s="24"/>
      <c r="AG501" s="24"/>
      <c r="AH501" s="24"/>
    </row>
    <row r="502" spans="1:34" ht="105" x14ac:dyDescent="0.25">
      <c r="A502" s="24" t="str">
        <f>HYPERLINK("https://www.cpso.on.ca/DoctorDetails/David-Koczerginski/0038660-52636","Koczerginski, David")</f>
        <v>Koczerginski, David</v>
      </c>
      <c r="B502" s="25" t="s">
        <v>5372</v>
      </c>
      <c r="C502" s="24" t="s">
        <v>3561</v>
      </c>
      <c r="D502" s="24" t="s">
        <v>5373</v>
      </c>
      <c r="E502" s="24" t="s">
        <v>29</v>
      </c>
      <c r="F502" s="24" t="s">
        <v>30</v>
      </c>
      <c r="G502" s="24" t="s">
        <v>31</v>
      </c>
      <c r="H502" s="24" t="s">
        <v>3563</v>
      </c>
      <c r="I502" s="24" t="s">
        <v>5374</v>
      </c>
      <c r="J502" s="24" t="s">
        <v>5375</v>
      </c>
      <c r="K502" s="24" t="s">
        <v>5376</v>
      </c>
      <c r="L502" s="24" t="s">
        <v>52</v>
      </c>
      <c r="M502" s="15"/>
      <c r="N502" s="15"/>
      <c r="O502" s="15" t="s">
        <v>5377</v>
      </c>
      <c r="P502" s="15" t="s">
        <v>259</v>
      </c>
      <c r="Q502" s="15" t="s">
        <v>5378</v>
      </c>
      <c r="R502" s="15" t="s">
        <v>5379</v>
      </c>
      <c r="S502" s="24" t="s">
        <v>39</v>
      </c>
      <c r="T502" s="24" t="s">
        <v>39</v>
      </c>
      <c r="U502" s="24" t="s">
        <v>39</v>
      </c>
      <c r="V502" s="24" t="s">
        <v>39</v>
      </c>
      <c r="W502" s="24" t="s">
        <v>5380</v>
      </c>
      <c r="X502" s="24" t="s">
        <v>5381</v>
      </c>
      <c r="Y502" s="15" t="s">
        <v>5382</v>
      </c>
      <c r="Z502" s="15" t="s">
        <v>4154</v>
      </c>
      <c r="AA502" s="24"/>
      <c r="AB502" s="24"/>
      <c r="AC502" s="24"/>
      <c r="AD502" s="24"/>
      <c r="AE502" s="24"/>
      <c r="AF502" s="24"/>
      <c r="AG502" s="24"/>
      <c r="AH502" s="24"/>
    </row>
    <row r="503" spans="1:34" ht="75" x14ac:dyDescent="0.25">
      <c r="A503" s="24" t="str">
        <f>HYPERLINK("https://www.cpso.on.ca/DoctorDetails/David-Lawrence/0040090-54066","Lawrence, David")</f>
        <v>Lawrence, David</v>
      </c>
      <c r="B503" s="25" t="s">
        <v>5383</v>
      </c>
      <c r="C503" s="24" t="s">
        <v>3450</v>
      </c>
      <c r="D503" s="24" t="s">
        <v>5384</v>
      </c>
      <c r="E503" s="24" t="s">
        <v>29</v>
      </c>
      <c r="F503" s="24" t="s">
        <v>30</v>
      </c>
      <c r="G503" s="24" t="s">
        <v>31</v>
      </c>
      <c r="H503" s="24" t="s">
        <v>3452</v>
      </c>
      <c r="I503" s="24" t="s">
        <v>5385</v>
      </c>
      <c r="J503" s="24" t="s">
        <v>5386</v>
      </c>
      <c r="K503" s="24" t="s">
        <v>5387</v>
      </c>
      <c r="L503" s="24" t="s">
        <v>52</v>
      </c>
      <c r="M503" s="15" t="s">
        <v>5388</v>
      </c>
      <c r="N503" s="15"/>
      <c r="O503" s="15" t="s">
        <v>3482</v>
      </c>
      <c r="P503" s="15" t="s">
        <v>2416</v>
      </c>
      <c r="Q503" s="15" t="s">
        <v>5389</v>
      </c>
      <c r="R503" s="15" t="s">
        <v>5390</v>
      </c>
      <c r="S503" s="24" t="s">
        <v>39</v>
      </c>
      <c r="T503" s="24" t="s">
        <v>39</v>
      </c>
      <c r="U503" s="24" t="s">
        <v>39</v>
      </c>
      <c r="V503" s="24" t="s">
        <v>39</v>
      </c>
      <c r="W503" s="24"/>
      <c r="X503" s="24"/>
      <c r="Y503" s="15"/>
      <c r="Z503" s="15"/>
      <c r="AA503" s="24"/>
      <c r="AB503" s="24"/>
      <c r="AC503" s="24"/>
      <c r="AD503" s="24"/>
      <c r="AE503" s="24"/>
      <c r="AF503" s="24"/>
      <c r="AG503" s="24"/>
      <c r="AH503" s="24"/>
    </row>
    <row r="504" spans="1:34" ht="30" x14ac:dyDescent="0.25">
      <c r="A504" s="24" t="str">
        <f>HYPERLINK("https://www.cpso.on.ca/DoctorDetails/David-Louis-Goldman/0048921-62899","Goldman, David Louis")</f>
        <v>Goldman, David Louis</v>
      </c>
      <c r="B504" s="25" t="s">
        <v>5391</v>
      </c>
      <c r="C504" s="24" t="s">
        <v>5392</v>
      </c>
      <c r="D504" s="24" t="s">
        <v>5393</v>
      </c>
      <c r="E504" s="24" t="s">
        <v>29</v>
      </c>
      <c r="F504" s="24" t="s">
        <v>30</v>
      </c>
      <c r="G504" s="24" t="s">
        <v>813</v>
      </c>
      <c r="H504" s="24" t="s">
        <v>5394</v>
      </c>
      <c r="I504" s="24" t="s">
        <v>107</v>
      </c>
      <c r="J504" s="24"/>
      <c r="K504" s="24"/>
      <c r="L504" s="24"/>
      <c r="M504" s="15"/>
      <c r="N504" s="15" t="s">
        <v>5395</v>
      </c>
      <c r="O504" s="15"/>
      <c r="P504" s="15" t="s">
        <v>727</v>
      </c>
      <c r="Q504" s="15"/>
      <c r="R504" s="15" t="s">
        <v>5396</v>
      </c>
      <c r="S504" s="24" t="s">
        <v>39</v>
      </c>
      <c r="T504" s="24" t="s">
        <v>39</v>
      </c>
      <c r="U504" s="24" t="s">
        <v>39</v>
      </c>
      <c r="V504" s="24" t="s">
        <v>39</v>
      </c>
      <c r="W504" s="24"/>
      <c r="X504" s="24"/>
      <c r="Y504" s="15"/>
      <c r="Z504" s="15"/>
      <c r="AA504" s="24"/>
      <c r="AB504" s="24"/>
      <c r="AC504" s="24"/>
      <c r="AD504" s="24"/>
      <c r="AE504" s="24"/>
      <c r="AF504" s="24"/>
      <c r="AG504" s="24"/>
      <c r="AH504" s="24"/>
    </row>
    <row r="505" spans="1:34" x14ac:dyDescent="0.25">
      <c r="A505" s="24" t="str">
        <f>HYPERLINK("https://www.cpso.on.ca/DoctorDetails/David-Manoharan-Seevaratnam/0048017-61995","Seevaratnam, David Manoharan")</f>
        <v>Seevaratnam, David Manoharan</v>
      </c>
      <c r="B505" s="25" t="s">
        <v>5397</v>
      </c>
      <c r="C505" s="24" t="s">
        <v>5398</v>
      </c>
      <c r="D505" s="24" t="s">
        <v>5399</v>
      </c>
      <c r="E505" s="24" t="s">
        <v>29</v>
      </c>
      <c r="F505" s="24" t="s">
        <v>30</v>
      </c>
      <c r="G505" s="24" t="s">
        <v>31</v>
      </c>
      <c r="H505" s="24" t="s">
        <v>614</v>
      </c>
      <c r="I505" s="24" t="s">
        <v>5400</v>
      </c>
      <c r="J505" s="24" t="s">
        <v>5401</v>
      </c>
      <c r="K505" s="24"/>
      <c r="L505" s="24" t="s">
        <v>36</v>
      </c>
      <c r="M505" s="15"/>
      <c r="N505" s="15"/>
      <c r="O505" s="15"/>
      <c r="P505" s="15" t="s">
        <v>5402</v>
      </c>
      <c r="Q505" s="15"/>
      <c r="R505" s="15" t="s">
        <v>5403</v>
      </c>
      <c r="S505" s="24" t="s">
        <v>39</v>
      </c>
      <c r="T505" s="24" t="s">
        <v>39</v>
      </c>
      <c r="U505" s="24" t="s">
        <v>39</v>
      </c>
      <c r="V505" s="24" t="s">
        <v>39</v>
      </c>
      <c r="W505" s="24" t="s">
        <v>5404</v>
      </c>
      <c r="X505" s="24" t="s">
        <v>5405</v>
      </c>
      <c r="Y505" s="15" t="s">
        <v>5406</v>
      </c>
      <c r="Z505" s="15" t="s">
        <v>5407</v>
      </c>
      <c r="AA505" s="24"/>
      <c r="AB505" s="24"/>
      <c r="AC505" s="24"/>
      <c r="AD505" s="24"/>
      <c r="AE505" s="24"/>
      <c r="AF505" s="24"/>
      <c r="AG505" s="24"/>
      <c r="AH505" s="24"/>
    </row>
    <row r="506" spans="1:34" ht="90" x14ac:dyDescent="0.25">
      <c r="A506" s="24" t="str">
        <f>HYPERLINK("https://www.cpso.on.ca/DoctorDetails/David-Mark-Patrick-Hamilton/0174666-75509","Hamilton, David Mark Patrick")</f>
        <v>Hamilton, David Mark Patrick</v>
      </c>
      <c r="B506" s="25" t="s">
        <v>5408</v>
      </c>
      <c r="C506" s="24" t="s">
        <v>5409</v>
      </c>
      <c r="D506" s="24" t="s">
        <v>5410</v>
      </c>
      <c r="E506" s="24" t="s">
        <v>29</v>
      </c>
      <c r="F506" s="24" t="s">
        <v>30</v>
      </c>
      <c r="G506" s="24" t="s">
        <v>31</v>
      </c>
      <c r="H506" s="24" t="s">
        <v>5411</v>
      </c>
      <c r="I506" s="24" t="s">
        <v>5412</v>
      </c>
      <c r="J506" s="24" t="s">
        <v>5413</v>
      </c>
      <c r="K506" s="24"/>
      <c r="L506" s="24" t="s">
        <v>84</v>
      </c>
      <c r="M506" s="15"/>
      <c r="N506" s="15"/>
      <c r="O506" s="15" t="s">
        <v>549</v>
      </c>
      <c r="P506" s="15" t="s">
        <v>5414</v>
      </c>
      <c r="Q506" s="15" t="s">
        <v>5415</v>
      </c>
      <c r="R506" s="15" t="s">
        <v>5416</v>
      </c>
      <c r="S506" s="24" t="s">
        <v>39</v>
      </c>
      <c r="T506" s="24" t="s">
        <v>39</v>
      </c>
      <c r="U506" s="24" t="s">
        <v>39</v>
      </c>
      <c r="V506" s="24" t="s">
        <v>39</v>
      </c>
      <c r="W506" s="24" t="s">
        <v>5417</v>
      </c>
      <c r="X506" s="24" t="s">
        <v>5418</v>
      </c>
      <c r="Y506" s="15" t="s">
        <v>5419</v>
      </c>
      <c r="Z506" s="15" t="s">
        <v>5420</v>
      </c>
      <c r="AA506" s="24"/>
      <c r="AB506" s="24"/>
      <c r="AC506" s="24"/>
      <c r="AD506" s="24"/>
      <c r="AE506" s="24"/>
      <c r="AF506" s="24"/>
      <c r="AG506" s="24"/>
      <c r="AH506" s="24"/>
    </row>
    <row r="507" spans="1:34" ht="120" x14ac:dyDescent="0.25">
      <c r="A507" s="24" t="str">
        <f>HYPERLINK("https://www.cpso.on.ca/DoctorDetails/David-Michael-Kreindler/0057582-69170","Kreindler, David Michael")</f>
        <v>Kreindler, David Michael</v>
      </c>
      <c r="B507" s="25" t="s">
        <v>5421</v>
      </c>
      <c r="C507" s="24" t="s">
        <v>3831</v>
      </c>
      <c r="D507" s="24" t="s">
        <v>5422</v>
      </c>
      <c r="E507" s="24" t="s">
        <v>29</v>
      </c>
      <c r="F507" s="24" t="s">
        <v>30</v>
      </c>
      <c r="G507" s="24" t="s">
        <v>31</v>
      </c>
      <c r="H507" s="24" t="s">
        <v>5423</v>
      </c>
      <c r="I507" s="24" t="s">
        <v>5424</v>
      </c>
      <c r="J507" s="24" t="s">
        <v>5425</v>
      </c>
      <c r="K507" s="24" t="s">
        <v>4908</v>
      </c>
      <c r="L507" s="24" t="s">
        <v>52</v>
      </c>
      <c r="M507" s="15"/>
      <c r="N507" s="15"/>
      <c r="O507" s="15" t="s">
        <v>1397</v>
      </c>
      <c r="P507" s="15" t="s">
        <v>5426</v>
      </c>
      <c r="Q507" s="15" t="s">
        <v>5427</v>
      </c>
      <c r="R507" s="15" t="s">
        <v>5428</v>
      </c>
      <c r="S507" s="24" t="s">
        <v>39</v>
      </c>
      <c r="T507" s="24" t="s">
        <v>39</v>
      </c>
      <c r="U507" s="24" t="s">
        <v>39</v>
      </c>
      <c r="V507" s="24" t="s">
        <v>39</v>
      </c>
      <c r="W507" s="24" t="s">
        <v>5429</v>
      </c>
      <c r="X507" s="24" t="s">
        <v>5430</v>
      </c>
      <c r="Y507" s="15" t="s">
        <v>5431</v>
      </c>
      <c r="Z507" s="15" t="s">
        <v>5432</v>
      </c>
      <c r="AA507" s="24"/>
      <c r="AB507" s="24"/>
      <c r="AC507" s="24"/>
      <c r="AD507" s="24"/>
      <c r="AE507" s="24"/>
      <c r="AF507" s="24"/>
      <c r="AG507" s="24"/>
      <c r="AH507" s="24"/>
    </row>
    <row r="508" spans="1:34" x14ac:dyDescent="0.25">
      <c r="A508" s="24" t="str">
        <f>HYPERLINK("https://www.cpso.on.ca/DoctorDetails/David-Michael-Magder/0018652-23439","Magder, David Michael")</f>
        <v>Magder, David Michael</v>
      </c>
      <c r="B508" s="25" t="s">
        <v>5433</v>
      </c>
      <c r="C508" s="24" t="s">
        <v>5434</v>
      </c>
      <c r="D508" s="24" t="s">
        <v>5435</v>
      </c>
      <c r="E508" s="24" t="s">
        <v>29</v>
      </c>
      <c r="F508" s="24" t="s">
        <v>30</v>
      </c>
      <c r="G508" s="24" t="s">
        <v>31</v>
      </c>
      <c r="H508" s="24" t="s">
        <v>5436</v>
      </c>
      <c r="I508" s="24" t="s">
        <v>5437</v>
      </c>
      <c r="J508" s="24" t="s">
        <v>5438</v>
      </c>
      <c r="K508" s="24" t="s">
        <v>5439</v>
      </c>
      <c r="L508" s="24" t="s">
        <v>52</v>
      </c>
      <c r="M508" s="15" t="s">
        <v>5440</v>
      </c>
      <c r="N508" s="15"/>
      <c r="O508" s="15" t="s">
        <v>981</v>
      </c>
      <c r="P508" s="15" t="s">
        <v>5441</v>
      </c>
      <c r="Q508" s="15"/>
      <c r="R508" s="15" t="s">
        <v>5442</v>
      </c>
      <c r="S508" s="24" t="s">
        <v>39</v>
      </c>
      <c r="T508" s="24" t="s">
        <v>39</v>
      </c>
      <c r="U508" s="24" t="s">
        <v>39</v>
      </c>
      <c r="V508" s="24" t="s">
        <v>39</v>
      </c>
      <c r="W508" s="24"/>
      <c r="X508" s="24"/>
      <c r="Y508" s="15"/>
      <c r="Z508" s="15"/>
      <c r="AA508" s="24"/>
      <c r="AB508" s="24"/>
      <c r="AC508" s="24"/>
      <c r="AD508" s="24"/>
      <c r="AE508" s="24"/>
      <c r="AF508" s="24"/>
      <c r="AG508" s="24"/>
      <c r="AH508" s="24"/>
    </row>
    <row r="509" spans="1:34" ht="75" x14ac:dyDescent="0.25">
      <c r="A509" s="24" t="str">
        <f>HYPERLINK("https://www.cpso.on.ca/DoctorDetails/David-Ng/0056542-68130","Ng, David")</f>
        <v>Ng, David</v>
      </c>
      <c r="B509" s="25" t="s">
        <v>5443</v>
      </c>
      <c r="C509" s="24" t="s">
        <v>1669</v>
      </c>
      <c r="D509" s="24" t="s">
        <v>5444</v>
      </c>
      <c r="E509" s="24" t="s">
        <v>29</v>
      </c>
      <c r="F509" s="24" t="s">
        <v>30</v>
      </c>
      <c r="G509" s="24" t="s">
        <v>1392</v>
      </c>
      <c r="H509" s="24" t="s">
        <v>1671</v>
      </c>
      <c r="I509" s="24" t="s">
        <v>5445</v>
      </c>
      <c r="J509" s="24" t="s">
        <v>5446</v>
      </c>
      <c r="K509" s="24" t="s">
        <v>5447</v>
      </c>
      <c r="L509" s="24" t="s">
        <v>52</v>
      </c>
      <c r="M509" s="15" t="s">
        <v>5448</v>
      </c>
      <c r="N509" s="15"/>
      <c r="O509" s="15" t="s">
        <v>5449</v>
      </c>
      <c r="P509" s="15" t="s">
        <v>5450</v>
      </c>
      <c r="Q509" s="15" t="s">
        <v>5451</v>
      </c>
      <c r="R509" s="15" t="s">
        <v>5452</v>
      </c>
      <c r="S509" s="24" t="s">
        <v>39</v>
      </c>
      <c r="T509" s="24" t="s">
        <v>39</v>
      </c>
      <c r="U509" s="24" t="s">
        <v>39</v>
      </c>
      <c r="V509" s="24" t="s">
        <v>39</v>
      </c>
      <c r="W509" s="24" t="s">
        <v>5453</v>
      </c>
      <c r="X509" s="24" t="s">
        <v>5454</v>
      </c>
      <c r="Y509" s="15" t="s">
        <v>5455</v>
      </c>
      <c r="Z509" s="15" t="s">
        <v>5456</v>
      </c>
      <c r="AA509" s="24"/>
      <c r="AB509" s="24"/>
      <c r="AC509" s="24"/>
      <c r="AD509" s="24"/>
      <c r="AE509" s="24"/>
      <c r="AF509" s="24"/>
      <c r="AG509" s="24"/>
      <c r="AH509" s="24"/>
    </row>
    <row r="510" spans="1:34" ht="105" x14ac:dyDescent="0.25">
      <c r="A510" s="24" t="str">
        <f>HYPERLINK("https://www.cpso.on.ca/DoctorDetails/David-Orr-Harel/0288391-100507","Harel, David Orr")</f>
        <v>Harel, David Orr</v>
      </c>
      <c r="B510" s="25" t="s">
        <v>5457</v>
      </c>
      <c r="C510" s="24" t="s">
        <v>199</v>
      </c>
      <c r="D510" s="24" t="s">
        <v>5458</v>
      </c>
      <c r="E510" s="24" t="s">
        <v>29</v>
      </c>
      <c r="F510" s="24" t="s">
        <v>30</v>
      </c>
      <c r="G510" s="24" t="s">
        <v>31</v>
      </c>
      <c r="H510" s="24" t="s">
        <v>5459</v>
      </c>
      <c r="I510" s="24" t="s">
        <v>5460</v>
      </c>
      <c r="J510" s="24" t="s">
        <v>5461</v>
      </c>
      <c r="K510" s="24"/>
      <c r="L510" s="24" t="s">
        <v>84</v>
      </c>
      <c r="M510" s="15"/>
      <c r="N510" s="15"/>
      <c r="O510" s="15"/>
      <c r="P510" s="15" t="s">
        <v>5462</v>
      </c>
      <c r="Q510" s="15" t="s">
        <v>5463</v>
      </c>
      <c r="R510" s="15" t="s">
        <v>5464</v>
      </c>
      <c r="S510" s="24" t="s">
        <v>39</v>
      </c>
      <c r="T510" s="24" t="s">
        <v>39</v>
      </c>
      <c r="U510" s="24" t="s">
        <v>39</v>
      </c>
      <c r="V510" s="24" t="s">
        <v>39</v>
      </c>
      <c r="W510" s="24"/>
      <c r="X510" s="24"/>
      <c r="Y510" s="15"/>
      <c r="Z510" s="15"/>
      <c r="AA510" s="24"/>
      <c r="AB510" s="24"/>
      <c r="AC510" s="24"/>
      <c r="AD510" s="24"/>
      <c r="AE510" s="24"/>
      <c r="AF510" s="24"/>
      <c r="AG510" s="24"/>
      <c r="AH510" s="24"/>
    </row>
    <row r="511" spans="1:34" ht="30" x14ac:dyDescent="0.25">
      <c r="A511" s="24" t="str">
        <f>HYPERLINK("https://www.cpso.on.ca/DoctorDetails/David-Rakoff/0044651-58629","Rakoff, David")</f>
        <v>Rakoff, David</v>
      </c>
      <c r="B511" s="25" t="s">
        <v>5465</v>
      </c>
      <c r="C511" s="24" t="s">
        <v>3161</v>
      </c>
      <c r="D511" s="24" t="s">
        <v>5466</v>
      </c>
      <c r="E511" s="24" t="s">
        <v>29</v>
      </c>
      <c r="F511" s="24" t="s">
        <v>30</v>
      </c>
      <c r="G511" s="24" t="s">
        <v>31</v>
      </c>
      <c r="H511" s="24" t="s">
        <v>5467</v>
      </c>
      <c r="I511" s="24" t="s">
        <v>5468</v>
      </c>
      <c r="J511" s="24" t="s">
        <v>5469</v>
      </c>
      <c r="K511" s="24"/>
      <c r="L511" s="24" t="s">
        <v>52</v>
      </c>
      <c r="M511" s="15"/>
      <c r="N511" s="15"/>
      <c r="O511" s="15"/>
      <c r="P511" s="15" t="s">
        <v>3433</v>
      </c>
      <c r="Q511" s="15" t="s">
        <v>5470</v>
      </c>
      <c r="R511" s="15" t="s">
        <v>5471</v>
      </c>
      <c r="S511" s="24" t="s">
        <v>39</v>
      </c>
      <c r="T511" s="24" t="s">
        <v>39</v>
      </c>
      <c r="U511" s="24" t="s">
        <v>39</v>
      </c>
      <c r="V511" s="24" t="s">
        <v>39</v>
      </c>
      <c r="W511" s="24" t="s">
        <v>5472</v>
      </c>
      <c r="X511" s="24" t="s">
        <v>5473</v>
      </c>
      <c r="Y511" s="15" t="s">
        <v>5474</v>
      </c>
      <c r="Z511" s="15" t="s">
        <v>5475</v>
      </c>
      <c r="AA511" s="24"/>
      <c r="AB511" s="24"/>
      <c r="AC511" s="24"/>
      <c r="AD511" s="24"/>
      <c r="AE511" s="24"/>
      <c r="AF511" s="24"/>
      <c r="AG511" s="24"/>
      <c r="AH511" s="24"/>
    </row>
    <row r="512" spans="1:34" ht="75" x14ac:dyDescent="0.25">
      <c r="A512" s="24" t="str">
        <f>HYPERLINK("https://www.cpso.on.ca/DoctorDetails/David-Randall-Boddam/0041347-55323","Boddam, David Randall")</f>
        <v>Boddam, David Randall</v>
      </c>
      <c r="B512" s="25" t="s">
        <v>5476</v>
      </c>
      <c r="C512" s="24" t="s">
        <v>2132</v>
      </c>
      <c r="D512" s="24" t="s">
        <v>5477</v>
      </c>
      <c r="E512" s="24" t="s">
        <v>29</v>
      </c>
      <c r="F512" s="24" t="s">
        <v>30</v>
      </c>
      <c r="G512" s="24" t="s">
        <v>31</v>
      </c>
      <c r="H512" s="24" t="s">
        <v>4592</v>
      </c>
      <c r="I512" s="24" t="s">
        <v>5478</v>
      </c>
      <c r="J512" s="24" t="s">
        <v>5479</v>
      </c>
      <c r="K512" s="24" t="s">
        <v>5480</v>
      </c>
      <c r="L512" s="24" t="s">
        <v>340</v>
      </c>
      <c r="M512" s="15" t="s">
        <v>5481</v>
      </c>
      <c r="N512" s="15"/>
      <c r="O512" s="15"/>
      <c r="P512" s="15" t="s">
        <v>1842</v>
      </c>
      <c r="Q512" s="15" t="s">
        <v>5482</v>
      </c>
      <c r="R512" s="15" t="s">
        <v>5483</v>
      </c>
      <c r="S512" s="24" t="s">
        <v>39</v>
      </c>
      <c r="T512" s="24" t="s">
        <v>39</v>
      </c>
      <c r="U512" s="24" t="s">
        <v>39</v>
      </c>
      <c r="V512" s="24" t="s">
        <v>39</v>
      </c>
      <c r="W512" s="24"/>
      <c r="X512" s="24"/>
      <c r="Y512" s="15"/>
      <c r="Z512" s="15"/>
      <c r="AA512" s="24"/>
      <c r="AB512" s="24"/>
      <c r="AC512" s="24"/>
      <c r="AD512" s="24"/>
      <c r="AE512" s="24"/>
      <c r="AF512" s="24"/>
      <c r="AG512" s="24"/>
      <c r="AH512" s="24"/>
    </row>
    <row r="513" spans="1:34" ht="30" x14ac:dyDescent="0.25">
      <c r="A513" s="24" t="str">
        <f>HYPERLINK("https://www.cpso.on.ca/DoctorDetails/David-Raymond-Freebury/0014418-19201","Freebury, David Raymond")</f>
        <v>Freebury, David Raymond</v>
      </c>
      <c r="B513" s="25" t="s">
        <v>5484</v>
      </c>
      <c r="C513" s="24" t="s">
        <v>5485</v>
      </c>
      <c r="D513" s="24" t="s">
        <v>5486</v>
      </c>
      <c r="E513" s="24" t="s">
        <v>29</v>
      </c>
      <c r="F513" s="24" t="s">
        <v>30</v>
      </c>
      <c r="G513" s="24" t="s">
        <v>31</v>
      </c>
      <c r="H513" s="24" t="s">
        <v>5487</v>
      </c>
      <c r="I513" s="24" t="s">
        <v>5488</v>
      </c>
      <c r="J513" s="24" t="s">
        <v>5489</v>
      </c>
      <c r="K513" s="24" t="s">
        <v>5490</v>
      </c>
      <c r="L513" s="24" t="s">
        <v>184</v>
      </c>
      <c r="M513" s="15"/>
      <c r="N513" s="15"/>
      <c r="O513" s="15"/>
      <c r="P513" s="15" t="s">
        <v>5491</v>
      </c>
      <c r="Q513" s="15"/>
      <c r="R513" s="15" t="s">
        <v>5492</v>
      </c>
      <c r="S513" s="24" t="s">
        <v>39</v>
      </c>
      <c r="T513" s="24" t="s">
        <v>39</v>
      </c>
      <c r="U513" s="24" t="s">
        <v>39</v>
      </c>
      <c r="V513" s="24" t="s">
        <v>39</v>
      </c>
      <c r="W513" s="24"/>
      <c r="X513" s="24"/>
      <c r="Y513" s="15"/>
      <c r="Z513" s="15"/>
      <c r="AA513" s="24"/>
      <c r="AB513" s="24"/>
      <c r="AC513" s="24"/>
      <c r="AD513" s="24"/>
      <c r="AE513" s="24"/>
      <c r="AF513" s="24"/>
      <c r="AG513" s="24"/>
      <c r="AH513" s="24"/>
    </row>
    <row r="514" spans="1:34" ht="75" x14ac:dyDescent="0.25">
      <c r="A514" s="24" t="str">
        <f>HYPERLINK("https://www.cpso.on.ca/DoctorDetails/David-Richard-McBride/0142519-71553","McBride, David Richard")</f>
        <v>McBride, David Richard</v>
      </c>
      <c r="B514" s="25" t="s">
        <v>5493</v>
      </c>
      <c r="C514" s="24" t="s">
        <v>5494</v>
      </c>
      <c r="D514" s="24" t="s">
        <v>5495</v>
      </c>
      <c r="E514" s="24" t="s">
        <v>29</v>
      </c>
      <c r="F514" s="24" t="s">
        <v>30</v>
      </c>
      <c r="G514" s="24" t="s">
        <v>31</v>
      </c>
      <c r="H514" s="24" t="s">
        <v>4752</v>
      </c>
      <c r="I514" s="24" t="s">
        <v>5496</v>
      </c>
      <c r="J514" s="24" t="s">
        <v>4975</v>
      </c>
      <c r="K514" s="24"/>
      <c r="L514" s="24" t="s">
        <v>84</v>
      </c>
      <c r="M514" s="15"/>
      <c r="N514" s="15"/>
      <c r="O514" s="15" t="s">
        <v>3979</v>
      </c>
      <c r="P514" s="15" t="s">
        <v>1398</v>
      </c>
      <c r="Q514" s="15" t="s">
        <v>5497</v>
      </c>
      <c r="R514" s="15" t="s">
        <v>5498</v>
      </c>
      <c r="S514" s="24" t="s">
        <v>39</v>
      </c>
      <c r="T514" s="24" t="s">
        <v>39</v>
      </c>
      <c r="U514" s="24" t="s">
        <v>39</v>
      </c>
      <c r="V514" s="24" t="s">
        <v>39</v>
      </c>
      <c r="W514" s="24"/>
      <c r="X514" s="24"/>
      <c r="Y514" s="15"/>
      <c r="Z514" s="15"/>
      <c r="AA514" s="24"/>
      <c r="AB514" s="24"/>
      <c r="AC514" s="24"/>
      <c r="AD514" s="24"/>
      <c r="AE514" s="24"/>
      <c r="AF514" s="24"/>
      <c r="AG514" s="24"/>
      <c r="AH514" s="24"/>
    </row>
    <row r="515" spans="1:34" ht="45" x14ac:dyDescent="0.25">
      <c r="A515" s="24" t="str">
        <f>HYPERLINK("https://www.cpso.on.ca/DoctorDetails/David-Robert-Campbell/0039667-53643","Campbell, David Robert")</f>
        <v>Campbell, David Robert</v>
      </c>
      <c r="B515" s="25" t="s">
        <v>5499</v>
      </c>
      <c r="C515" s="24" t="s">
        <v>5500</v>
      </c>
      <c r="D515" s="24" t="s">
        <v>5501</v>
      </c>
      <c r="E515" s="24" t="s">
        <v>29</v>
      </c>
      <c r="F515" s="24" t="s">
        <v>30</v>
      </c>
      <c r="G515" s="24" t="s">
        <v>31</v>
      </c>
      <c r="H515" s="24" t="s">
        <v>5502</v>
      </c>
      <c r="I515" s="24" t="s">
        <v>5503</v>
      </c>
      <c r="J515" s="24" t="s">
        <v>5504</v>
      </c>
      <c r="K515" s="24" t="s">
        <v>5504</v>
      </c>
      <c r="L515" s="24" t="s">
        <v>135</v>
      </c>
      <c r="M515" s="15" t="s">
        <v>5505</v>
      </c>
      <c r="N515" s="15" t="s">
        <v>2508</v>
      </c>
      <c r="O515" s="15" t="s">
        <v>913</v>
      </c>
      <c r="P515" s="15" t="s">
        <v>5506</v>
      </c>
      <c r="Q515" s="15"/>
      <c r="R515" s="15" t="s">
        <v>5507</v>
      </c>
      <c r="S515" s="24" t="s">
        <v>39</v>
      </c>
      <c r="T515" s="24" t="s">
        <v>39</v>
      </c>
      <c r="U515" s="24" t="s">
        <v>39</v>
      </c>
      <c r="V515" s="24" t="s">
        <v>39</v>
      </c>
      <c r="W515" s="24" t="s">
        <v>5508</v>
      </c>
      <c r="X515" s="24" t="s">
        <v>5509</v>
      </c>
      <c r="Y515" s="15" t="s">
        <v>5510</v>
      </c>
      <c r="Z515" s="15" t="s">
        <v>5511</v>
      </c>
      <c r="AA515" s="24"/>
      <c r="AB515" s="24"/>
      <c r="AC515" s="24"/>
      <c r="AD515" s="24"/>
      <c r="AE515" s="24"/>
      <c r="AF515" s="24"/>
      <c r="AG515" s="24"/>
      <c r="AH515" s="24"/>
    </row>
    <row r="516" spans="1:34" x14ac:dyDescent="0.25">
      <c r="A516" s="24" t="str">
        <f>HYPERLINK("https://www.cpso.on.ca/DoctorDetails/David-Ross-Stewart-Haslam/0062849-74058","Haslam, David Ross Stewart")</f>
        <v>Haslam, David Ross Stewart</v>
      </c>
      <c r="B516" s="25" t="s">
        <v>5512</v>
      </c>
      <c r="C516" s="24" t="s">
        <v>3254</v>
      </c>
      <c r="D516" s="24" t="s">
        <v>1670</v>
      </c>
      <c r="E516" s="24" t="s">
        <v>29</v>
      </c>
      <c r="F516" s="24" t="s">
        <v>30</v>
      </c>
      <c r="G516" s="24" t="s">
        <v>31</v>
      </c>
      <c r="H516" s="24" t="s">
        <v>5513</v>
      </c>
      <c r="I516" s="24" t="s">
        <v>5514</v>
      </c>
      <c r="J516" s="24" t="s">
        <v>5515</v>
      </c>
      <c r="K516" s="24" t="s">
        <v>5516</v>
      </c>
      <c r="L516" s="24"/>
      <c r="M516" s="15"/>
      <c r="N516" s="15" t="s">
        <v>1370</v>
      </c>
      <c r="O516" s="15"/>
      <c r="P516" s="15" t="s">
        <v>5517</v>
      </c>
      <c r="Q516" s="15"/>
      <c r="R516" s="15" t="s">
        <v>5518</v>
      </c>
      <c r="S516" s="24" t="s">
        <v>39</v>
      </c>
      <c r="T516" s="24" t="s">
        <v>39</v>
      </c>
      <c r="U516" s="24" t="s">
        <v>39</v>
      </c>
      <c r="V516" s="24" t="s">
        <v>39</v>
      </c>
      <c r="W516" s="24" t="s">
        <v>5519</v>
      </c>
      <c r="X516" s="24" t="s">
        <v>5520</v>
      </c>
      <c r="Y516" s="15"/>
      <c r="Z516" s="15"/>
      <c r="AA516" s="24"/>
      <c r="AB516" s="24"/>
      <c r="AC516" s="24"/>
      <c r="AD516" s="24"/>
      <c r="AE516" s="24"/>
      <c r="AF516" s="24"/>
      <c r="AG516" s="24"/>
      <c r="AH516" s="24"/>
    </row>
    <row r="517" spans="1:34" x14ac:dyDescent="0.25">
      <c r="A517" s="24" t="str">
        <f>HYPERLINK("https://www.cpso.on.ca/DoctorDetails/David-Samuel-Goldbloom/0041235-55211","Goldbloom, David Samuel")</f>
        <v>Goldbloom, David Samuel</v>
      </c>
      <c r="B517" s="25" t="s">
        <v>5521</v>
      </c>
      <c r="C517" s="24" t="s">
        <v>5522</v>
      </c>
      <c r="D517" s="24" t="s">
        <v>5523</v>
      </c>
      <c r="E517" s="24" t="s">
        <v>29</v>
      </c>
      <c r="F517" s="24" t="s">
        <v>30</v>
      </c>
      <c r="G517" s="24" t="s">
        <v>813</v>
      </c>
      <c r="H517" s="24" t="s">
        <v>5524</v>
      </c>
      <c r="I517" s="24" t="s">
        <v>5525</v>
      </c>
      <c r="J517" s="24" t="s">
        <v>5526</v>
      </c>
      <c r="K517" s="24" t="s">
        <v>1219</v>
      </c>
      <c r="L517" s="24" t="s">
        <v>52</v>
      </c>
      <c r="M517" s="15"/>
      <c r="N517" s="15" t="s">
        <v>342</v>
      </c>
      <c r="O517" s="15" t="s">
        <v>793</v>
      </c>
      <c r="P517" s="15" t="s">
        <v>1947</v>
      </c>
      <c r="Q517" s="15"/>
      <c r="R517" s="15" t="s">
        <v>5527</v>
      </c>
      <c r="S517" s="24" t="s">
        <v>39</v>
      </c>
      <c r="T517" s="24" t="s">
        <v>39</v>
      </c>
      <c r="U517" s="24" t="s">
        <v>39</v>
      </c>
      <c r="V517" s="24" t="s">
        <v>39</v>
      </c>
      <c r="W517" s="24" t="s">
        <v>5528</v>
      </c>
      <c r="X517" s="24" t="s">
        <v>5529</v>
      </c>
      <c r="Y517" s="15" t="s">
        <v>5530</v>
      </c>
      <c r="Z517" s="15" t="s">
        <v>5531</v>
      </c>
      <c r="AA517" s="24"/>
      <c r="AB517" s="24"/>
      <c r="AC517" s="24"/>
      <c r="AD517" s="24"/>
      <c r="AE517" s="24"/>
      <c r="AF517" s="24"/>
      <c r="AG517" s="24"/>
      <c r="AH517" s="24"/>
    </row>
    <row r="518" spans="1:34" ht="30" x14ac:dyDescent="0.25">
      <c r="A518" s="24" t="str">
        <f>HYPERLINK("https://www.cpso.on.ca/DoctorDetails/David-Seymour-Palframan/0019379-24166","Palframan, David Seymour")</f>
        <v>Palframan, David Seymour</v>
      </c>
      <c r="B518" s="25" t="s">
        <v>5532</v>
      </c>
      <c r="C518" s="24" t="s">
        <v>5533</v>
      </c>
      <c r="D518" s="24" t="s">
        <v>5534</v>
      </c>
      <c r="E518" s="24" t="s">
        <v>29</v>
      </c>
      <c r="F518" s="24" t="s">
        <v>30</v>
      </c>
      <c r="G518" s="24" t="s">
        <v>813</v>
      </c>
      <c r="H518" s="24" t="s">
        <v>5535</v>
      </c>
      <c r="I518" s="24" t="s">
        <v>5536</v>
      </c>
      <c r="J518" s="24" t="s">
        <v>5537</v>
      </c>
      <c r="K518" s="24"/>
      <c r="L518" s="24" t="s">
        <v>84</v>
      </c>
      <c r="M518" s="15"/>
      <c r="N518" s="15"/>
      <c r="O518" s="15" t="s">
        <v>5538</v>
      </c>
      <c r="P518" s="15" t="s">
        <v>5539</v>
      </c>
      <c r="Q518" s="15"/>
      <c r="R518" s="15" t="s">
        <v>5540</v>
      </c>
      <c r="S518" s="24" t="s">
        <v>39</v>
      </c>
      <c r="T518" s="24" t="s">
        <v>39</v>
      </c>
      <c r="U518" s="24" t="s">
        <v>39</v>
      </c>
      <c r="V518" s="24" t="s">
        <v>39</v>
      </c>
      <c r="W518" s="24" t="s">
        <v>5541</v>
      </c>
      <c r="X518" s="24" t="s">
        <v>5542</v>
      </c>
      <c r="Y518" s="15"/>
      <c r="Z518" s="15"/>
      <c r="AA518" s="24"/>
      <c r="AB518" s="24"/>
      <c r="AC518" s="24"/>
      <c r="AD518" s="24"/>
      <c r="AE518" s="24"/>
      <c r="AF518" s="24"/>
      <c r="AG518" s="24"/>
      <c r="AH518" s="24"/>
    </row>
    <row r="519" spans="1:34" ht="45" x14ac:dyDescent="0.25">
      <c r="A519" s="24" t="str">
        <f>HYPERLINK("https://www.cpso.on.ca/DoctorDetails/David-Shih/0022601-27392","Shih, David")</f>
        <v>Shih, David</v>
      </c>
      <c r="B519" s="25" t="s">
        <v>5543</v>
      </c>
      <c r="C519" s="24" t="s">
        <v>5544</v>
      </c>
      <c r="D519" s="24" t="s">
        <v>5545</v>
      </c>
      <c r="E519" s="24" t="s">
        <v>29</v>
      </c>
      <c r="F519" s="24" t="s">
        <v>30</v>
      </c>
      <c r="G519" s="24" t="s">
        <v>31</v>
      </c>
      <c r="H519" s="24" t="s">
        <v>5546</v>
      </c>
      <c r="I519" s="24" t="s">
        <v>5547</v>
      </c>
      <c r="J519" s="24" t="s">
        <v>5548</v>
      </c>
      <c r="K519" s="24" t="s">
        <v>5549</v>
      </c>
      <c r="L519" s="24" t="s">
        <v>152</v>
      </c>
      <c r="M519" s="15"/>
      <c r="N519" s="15"/>
      <c r="O519" s="15"/>
      <c r="P519" s="15" t="s">
        <v>5550</v>
      </c>
      <c r="Q519" s="15" t="s">
        <v>5551</v>
      </c>
      <c r="R519" s="15" t="s">
        <v>5552</v>
      </c>
      <c r="S519" s="24" t="s">
        <v>39</v>
      </c>
      <c r="T519" s="24" t="s">
        <v>39</v>
      </c>
      <c r="U519" s="24" t="s">
        <v>39</v>
      </c>
      <c r="V519" s="24" t="s">
        <v>39</v>
      </c>
      <c r="W519" s="24"/>
      <c r="X519" s="24"/>
      <c r="Y519" s="15"/>
      <c r="Z519" s="15"/>
      <c r="AA519" s="24"/>
      <c r="AB519" s="24"/>
      <c r="AC519" s="24"/>
      <c r="AD519" s="24"/>
      <c r="AE519" s="24"/>
      <c r="AF519" s="24"/>
      <c r="AG519" s="24"/>
      <c r="AH519" s="24"/>
    </row>
    <row r="520" spans="1:34" ht="60" x14ac:dyDescent="0.25">
      <c r="A520" s="24" t="str">
        <f>HYPERLINK("https://www.cpso.on.ca/DoctorDetails/David-Stanley-Heath/0020007-24795","Heath, David Stanley")</f>
        <v>Heath, David Stanley</v>
      </c>
      <c r="B520" s="25" t="s">
        <v>5553</v>
      </c>
      <c r="C520" s="24" t="s">
        <v>5554</v>
      </c>
      <c r="D520" s="24" t="s">
        <v>5555</v>
      </c>
      <c r="E520" s="24" t="s">
        <v>29</v>
      </c>
      <c r="F520" s="24" t="s">
        <v>30</v>
      </c>
      <c r="G520" s="24" t="s">
        <v>31</v>
      </c>
      <c r="H520" s="24" t="s">
        <v>5556</v>
      </c>
      <c r="I520" s="24" t="s">
        <v>5557</v>
      </c>
      <c r="J520" s="24" t="s">
        <v>5558</v>
      </c>
      <c r="K520" s="24"/>
      <c r="L520" s="24" t="s">
        <v>152</v>
      </c>
      <c r="M520" s="15"/>
      <c r="N520" s="15"/>
      <c r="O520" s="15"/>
      <c r="P520" s="15" t="s">
        <v>5281</v>
      </c>
      <c r="Q520" s="15"/>
      <c r="R520" s="15" t="s">
        <v>5559</v>
      </c>
      <c r="S520" s="24" t="s">
        <v>39</v>
      </c>
      <c r="T520" s="24" t="s">
        <v>39</v>
      </c>
      <c r="U520" s="24" t="s">
        <v>39</v>
      </c>
      <c r="V520" s="24" t="s">
        <v>39</v>
      </c>
      <c r="W520" s="24" t="s">
        <v>5560</v>
      </c>
      <c r="X520" s="24" t="s">
        <v>5561</v>
      </c>
      <c r="Y520" s="15" t="s">
        <v>5562</v>
      </c>
      <c r="Z520" s="15" t="s">
        <v>5563</v>
      </c>
      <c r="AA520" s="24"/>
      <c r="AB520" s="24"/>
      <c r="AC520" s="24"/>
      <c r="AD520" s="24"/>
      <c r="AE520" s="24"/>
      <c r="AF520" s="24"/>
      <c r="AG520" s="24"/>
      <c r="AH520" s="24"/>
    </row>
    <row r="521" spans="1:34" ht="45" x14ac:dyDescent="0.25">
      <c r="A521" s="24" t="str">
        <f>HYPERLINK("https://www.cpso.on.ca/DoctorDetails/David-Tzvi-Neger/0311270-110797","Neger, David Tzvi")</f>
        <v>Neger, David Tzvi</v>
      </c>
      <c r="B521" s="25" t="s">
        <v>5564</v>
      </c>
      <c r="C521" s="24" t="s">
        <v>5565</v>
      </c>
      <c r="D521" s="24" t="s">
        <v>5566</v>
      </c>
      <c r="E521" s="24" t="s">
        <v>29</v>
      </c>
      <c r="F521" s="24" t="s">
        <v>30</v>
      </c>
      <c r="G521" s="24" t="s">
        <v>31</v>
      </c>
      <c r="H521" s="24" t="s">
        <v>5567</v>
      </c>
      <c r="I521" s="24" t="s">
        <v>5568</v>
      </c>
      <c r="J521" s="24" t="s">
        <v>5569</v>
      </c>
      <c r="K521" s="24"/>
      <c r="L521" s="24" t="s">
        <v>36</v>
      </c>
      <c r="M521" s="15"/>
      <c r="N521" s="15"/>
      <c r="O521" s="15"/>
      <c r="P521" s="15" t="s">
        <v>5570</v>
      </c>
      <c r="Q521" s="15"/>
      <c r="R521" s="15" t="s">
        <v>5571</v>
      </c>
      <c r="S521" s="24" t="s">
        <v>71</v>
      </c>
      <c r="T521" s="24" t="s">
        <v>39</v>
      </c>
      <c r="U521" s="24" t="s">
        <v>39</v>
      </c>
      <c r="V521" s="24" t="s">
        <v>39</v>
      </c>
      <c r="W521" s="24"/>
      <c r="X521" s="24"/>
      <c r="Y521" s="15"/>
      <c r="Z521" s="15"/>
      <c r="AA521" s="24"/>
      <c r="AB521" s="24"/>
      <c r="AC521" s="24"/>
      <c r="AD521" s="24"/>
      <c r="AE521" s="24"/>
      <c r="AF521" s="24"/>
      <c r="AG521" s="24"/>
      <c r="AH521" s="24"/>
    </row>
    <row r="522" spans="1:34" ht="75" x14ac:dyDescent="0.25">
      <c r="A522" s="24" t="str">
        <f>HYPERLINK("https://www.cpso.on.ca/DoctorDetails/David-Walter-Robertson/0180527-76537","Robertson, David Walter")</f>
        <v>Robertson, David Walter</v>
      </c>
      <c r="B522" s="25" t="s">
        <v>5572</v>
      </c>
      <c r="C522" s="24" t="s">
        <v>1130</v>
      </c>
      <c r="D522" s="24" t="s">
        <v>4401</v>
      </c>
      <c r="E522" s="24" t="s">
        <v>29</v>
      </c>
      <c r="F522" s="24" t="s">
        <v>30</v>
      </c>
      <c r="G522" s="24" t="s">
        <v>813</v>
      </c>
      <c r="H522" s="24" t="s">
        <v>4402</v>
      </c>
      <c r="I522" s="24" t="s">
        <v>5573</v>
      </c>
      <c r="J522" s="24" t="s">
        <v>5574</v>
      </c>
      <c r="K522" s="24" t="s">
        <v>218</v>
      </c>
      <c r="L522" s="24" t="s">
        <v>52</v>
      </c>
      <c r="M522" s="15"/>
      <c r="N522" s="15"/>
      <c r="O522" s="15" t="s">
        <v>219</v>
      </c>
      <c r="P522" s="15" t="s">
        <v>1149</v>
      </c>
      <c r="Q522" s="15" t="s">
        <v>3063</v>
      </c>
      <c r="R522" s="15" t="s">
        <v>4407</v>
      </c>
      <c r="S522" s="24" t="s">
        <v>39</v>
      </c>
      <c r="T522" s="24" t="s">
        <v>39</v>
      </c>
      <c r="U522" s="24" t="s">
        <v>39</v>
      </c>
      <c r="V522" s="24" t="s">
        <v>39</v>
      </c>
      <c r="W522" s="24" t="s">
        <v>5575</v>
      </c>
      <c r="X522" s="24" t="s">
        <v>5576</v>
      </c>
      <c r="Y522" s="15" t="s">
        <v>5577</v>
      </c>
      <c r="Z522" s="15" t="s">
        <v>5578</v>
      </c>
      <c r="AA522" s="24"/>
      <c r="AB522" s="24"/>
      <c r="AC522" s="24"/>
      <c r="AD522" s="24"/>
      <c r="AE522" s="24"/>
      <c r="AF522" s="24"/>
      <c r="AG522" s="24"/>
      <c r="AH522" s="24"/>
    </row>
    <row r="523" spans="1:34" ht="45" x14ac:dyDescent="0.25">
      <c r="A523" s="24" t="str">
        <f>HYPERLINK("https://www.cpso.on.ca/DoctorDetails/David-Winston-Watson-Lowe/0030477-42457","Lowe, David Winston Watson")</f>
        <v>Lowe, David Winston Watson</v>
      </c>
      <c r="B523" s="25" t="s">
        <v>5579</v>
      </c>
      <c r="C523" s="24" t="s">
        <v>5580</v>
      </c>
      <c r="D523" s="24" t="s">
        <v>5581</v>
      </c>
      <c r="E523" s="24" t="s">
        <v>29</v>
      </c>
      <c r="F523" s="24" t="s">
        <v>30</v>
      </c>
      <c r="G523" s="24" t="s">
        <v>31</v>
      </c>
      <c r="H523" s="24" t="s">
        <v>5582</v>
      </c>
      <c r="I523" s="24" t="s">
        <v>5583</v>
      </c>
      <c r="J523" s="24" t="s">
        <v>5584</v>
      </c>
      <c r="K523" s="24" t="s">
        <v>5585</v>
      </c>
      <c r="L523" s="24" t="s">
        <v>52</v>
      </c>
      <c r="M523" s="15"/>
      <c r="N523" s="15"/>
      <c r="O523" s="15" t="s">
        <v>5586</v>
      </c>
      <c r="P523" s="15" t="s">
        <v>4336</v>
      </c>
      <c r="Q523" s="15"/>
      <c r="R523" s="15" t="s">
        <v>5587</v>
      </c>
      <c r="S523" s="24" t="s">
        <v>39</v>
      </c>
      <c r="T523" s="24" t="s">
        <v>39</v>
      </c>
      <c r="U523" s="24" t="s">
        <v>39</v>
      </c>
      <c r="V523" s="24" t="s">
        <v>39</v>
      </c>
      <c r="W523" s="24" t="s">
        <v>5588</v>
      </c>
      <c r="X523" s="24" t="s">
        <v>5157</v>
      </c>
      <c r="Y523" s="15" t="s">
        <v>5589</v>
      </c>
      <c r="Z523" s="15" t="s">
        <v>5590</v>
      </c>
      <c r="AA523" s="24"/>
      <c r="AB523" s="24"/>
      <c r="AC523" s="24"/>
      <c r="AD523" s="24"/>
      <c r="AE523" s="24"/>
      <c r="AF523" s="24"/>
      <c r="AG523" s="24"/>
      <c r="AH523" s="24"/>
    </row>
    <row r="524" spans="1:34" ht="105" x14ac:dyDescent="0.25">
      <c r="A524" s="24" t="str">
        <f>HYPERLINK("https://www.cpso.on.ca/DoctorDetails/Davit-Khachatryan/0280532-97653","Khachatryan, Davit")</f>
        <v>Khachatryan, Davit</v>
      </c>
      <c r="B524" s="25" t="s">
        <v>5591</v>
      </c>
      <c r="C524" s="24" t="s">
        <v>544</v>
      </c>
      <c r="D524" s="24" t="s">
        <v>5592</v>
      </c>
      <c r="E524" s="24" t="s">
        <v>29</v>
      </c>
      <c r="F524" s="24" t="s">
        <v>30</v>
      </c>
      <c r="G524" s="24" t="s">
        <v>508</v>
      </c>
      <c r="H524" s="24" t="s">
        <v>5593</v>
      </c>
      <c r="I524" s="24" t="s">
        <v>5110</v>
      </c>
      <c r="J524" s="24" t="s">
        <v>5594</v>
      </c>
      <c r="K524" s="24"/>
      <c r="L524" s="24" t="s">
        <v>36</v>
      </c>
      <c r="M524" s="15"/>
      <c r="N524" s="15"/>
      <c r="O524" s="15" t="s">
        <v>1691</v>
      </c>
      <c r="P524" s="15" t="s">
        <v>5595</v>
      </c>
      <c r="Q524" s="15" t="s">
        <v>5596</v>
      </c>
      <c r="R524" s="15" t="s">
        <v>5597</v>
      </c>
      <c r="S524" s="24" t="s">
        <v>39</v>
      </c>
      <c r="T524" s="24" t="s">
        <v>39</v>
      </c>
      <c r="U524" s="24" t="s">
        <v>39</v>
      </c>
      <c r="V524" s="24" t="s">
        <v>39</v>
      </c>
      <c r="W524" s="24" t="s">
        <v>5598</v>
      </c>
      <c r="X524" s="24" t="s">
        <v>5599</v>
      </c>
      <c r="Y524" s="15" t="s">
        <v>5600</v>
      </c>
      <c r="Z524" s="15" t="s">
        <v>5601</v>
      </c>
      <c r="AA524" s="24"/>
      <c r="AB524" s="24"/>
      <c r="AC524" s="24"/>
      <c r="AD524" s="24"/>
      <c r="AE524" s="24"/>
      <c r="AF524" s="24"/>
      <c r="AG524" s="24"/>
      <c r="AH524" s="24"/>
    </row>
    <row r="525" spans="1:34" ht="30" x14ac:dyDescent="0.25">
      <c r="A525" s="24" t="str">
        <f>HYPERLINK("https://www.cpso.on.ca/DoctorDetails/Dean-Patrick-Eyre/0026157-30980","Eyre, Dean Patrick")</f>
        <v>Eyre, Dean Patrick</v>
      </c>
      <c r="B525" s="25" t="s">
        <v>5602</v>
      </c>
      <c r="C525" s="24" t="s">
        <v>5603</v>
      </c>
      <c r="D525" s="24" t="s">
        <v>5604</v>
      </c>
      <c r="E525" s="24" t="s">
        <v>29</v>
      </c>
      <c r="F525" s="24" t="s">
        <v>30</v>
      </c>
      <c r="G525" s="24" t="s">
        <v>31</v>
      </c>
      <c r="H525" s="24" t="s">
        <v>5605</v>
      </c>
      <c r="I525" s="24" t="s">
        <v>5606</v>
      </c>
      <c r="J525" s="24" t="s">
        <v>5607</v>
      </c>
      <c r="K525" s="24"/>
      <c r="L525" s="24" t="s">
        <v>84</v>
      </c>
      <c r="M525" s="15"/>
      <c r="N525" s="15"/>
      <c r="O525" s="15"/>
      <c r="P525" s="15" t="s">
        <v>5608</v>
      </c>
      <c r="Q525" s="15"/>
      <c r="R525" s="15" t="s">
        <v>5609</v>
      </c>
      <c r="S525" s="24" t="s">
        <v>39</v>
      </c>
      <c r="T525" s="24" t="s">
        <v>39</v>
      </c>
      <c r="U525" s="24" t="s">
        <v>39</v>
      </c>
      <c r="V525" s="24" t="s">
        <v>39</v>
      </c>
      <c r="W525" s="24"/>
      <c r="X525" s="24"/>
      <c r="Y525" s="15"/>
      <c r="Z525" s="15"/>
      <c r="AA525" s="24"/>
      <c r="AB525" s="24"/>
      <c r="AC525" s="24"/>
      <c r="AD525" s="24"/>
      <c r="AE525" s="24"/>
      <c r="AF525" s="24"/>
      <c r="AG525" s="24"/>
      <c r="AH525" s="24"/>
    </row>
    <row r="526" spans="1:34" x14ac:dyDescent="0.25">
      <c r="A526" s="24" t="str">
        <f>HYPERLINK("https://www.cpso.on.ca/DoctorDetails/Deanna-Constance-Chaukos/0319196-112983","Chaukos, Deanna Constance")</f>
        <v>Chaukos, Deanna Constance</v>
      </c>
      <c r="B526" s="25" t="s">
        <v>5610</v>
      </c>
      <c r="C526" s="24" t="s">
        <v>3052</v>
      </c>
      <c r="D526" s="24" t="s">
        <v>545</v>
      </c>
      <c r="E526" s="24" t="s">
        <v>29</v>
      </c>
      <c r="F526" s="24" t="s">
        <v>47</v>
      </c>
      <c r="G526" s="24" t="s">
        <v>31</v>
      </c>
      <c r="H526" s="24" t="s">
        <v>977</v>
      </c>
      <c r="I526" s="24" t="s">
        <v>5611</v>
      </c>
      <c r="J526" s="24" t="s">
        <v>5612</v>
      </c>
      <c r="K526" s="24" t="s">
        <v>5613</v>
      </c>
      <c r="L526" s="24" t="s">
        <v>52</v>
      </c>
      <c r="M526" s="15"/>
      <c r="N526" s="15" t="s">
        <v>5614</v>
      </c>
      <c r="O526" s="15"/>
      <c r="P526" s="15" t="s">
        <v>550</v>
      </c>
      <c r="Q526" s="15"/>
      <c r="R526" s="15" t="s">
        <v>5615</v>
      </c>
      <c r="S526" s="24" t="s">
        <v>39</v>
      </c>
      <c r="T526" s="24" t="s">
        <v>39</v>
      </c>
      <c r="U526" s="24" t="s">
        <v>39</v>
      </c>
      <c r="V526" s="24" t="s">
        <v>39</v>
      </c>
      <c r="W526" s="24"/>
      <c r="X526" s="24"/>
      <c r="Y526" s="15"/>
      <c r="Z526" s="15"/>
      <c r="AA526" s="24"/>
      <c r="AB526" s="24"/>
      <c r="AC526" s="24"/>
      <c r="AD526" s="24"/>
      <c r="AE526" s="24"/>
      <c r="AF526" s="24"/>
      <c r="AG526" s="24"/>
      <c r="AH526" s="24"/>
    </row>
    <row r="527" spans="1:34" ht="75" x14ac:dyDescent="0.25">
      <c r="A527" s="24" t="str">
        <f>HYPERLINK("https://www.cpso.on.ca/DoctorDetails/Deanna-Maria-Elisa-Bruno/0200994-79300","Bruno, Deanna Maria Elisa")</f>
        <v>Bruno, Deanna Maria Elisa</v>
      </c>
      <c r="B527" s="25" t="s">
        <v>5616</v>
      </c>
      <c r="C527" s="24" t="s">
        <v>871</v>
      </c>
      <c r="D527" s="24" t="s">
        <v>872</v>
      </c>
      <c r="E527" s="24" t="s">
        <v>29</v>
      </c>
      <c r="F527" s="24" t="s">
        <v>47</v>
      </c>
      <c r="G527" s="24" t="s">
        <v>31</v>
      </c>
      <c r="H527" s="24" t="s">
        <v>5617</v>
      </c>
      <c r="I527" s="24" t="s">
        <v>5618</v>
      </c>
      <c r="J527" s="24" t="s">
        <v>5619</v>
      </c>
      <c r="K527" s="24" t="s">
        <v>51</v>
      </c>
      <c r="L527" s="24" t="s">
        <v>52</v>
      </c>
      <c r="M527" s="15"/>
      <c r="N527" s="15"/>
      <c r="O527" s="15" t="s">
        <v>1110</v>
      </c>
      <c r="P527" s="15" t="s">
        <v>880</v>
      </c>
      <c r="Q527" s="15" t="s">
        <v>1607</v>
      </c>
      <c r="R527" s="15" t="s">
        <v>882</v>
      </c>
      <c r="S527" s="24" t="s">
        <v>39</v>
      </c>
      <c r="T527" s="24" t="s">
        <v>39</v>
      </c>
      <c r="U527" s="24" t="s">
        <v>39</v>
      </c>
      <c r="V527" s="24" t="s">
        <v>39</v>
      </c>
      <c r="W527" s="24" t="s">
        <v>5620</v>
      </c>
      <c r="X527" s="24" t="s">
        <v>5621</v>
      </c>
      <c r="Y527" s="15" t="s">
        <v>5622</v>
      </c>
      <c r="Z527" s="15" t="s">
        <v>5623</v>
      </c>
      <c r="AA527" s="24"/>
      <c r="AB527" s="24"/>
      <c r="AC527" s="24"/>
      <c r="AD527" s="24"/>
      <c r="AE527" s="24"/>
      <c r="AF527" s="24"/>
      <c r="AG527" s="24"/>
      <c r="AH527" s="24"/>
    </row>
    <row r="528" spans="1:34" ht="105" x14ac:dyDescent="0.25">
      <c r="A528" s="24" t="str">
        <f>HYPERLINK("https://www.cpso.on.ca/DoctorDetails/Deanna-Marie-Mercer/0044627-58605","Mercer, Deanna Marie")</f>
        <v>Mercer, Deanna Marie</v>
      </c>
      <c r="B528" s="25" t="s">
        <v>5624</v>
      </c>
      <c r="C528" s="24" t="s">
        <v>3161</v>
      </c>
      <c r="D528" s="24" t="s">
        <v>5625</v>
      </c>
      <c r="E528" s="24" t="s">
        <v>5626</v>
      </c>
      <c r="F528" s="24" t="s">
        <v>47</v>
      </c>
      <c r="G528" s="24" t="s">
        <v>31</v>
      </c>
      <c r="H528" s="24" t="s">
        <v>1839</v>
      </c>
      <c r="I528" s="24" t="s">
        <v>5627</v>
      </c>
      <c r="J528" s="24" t="s">
        <v>4975</v>
      </c>
      <c r="K528" s="24" t="s">
        <v>5628</v>
      </c>
      <c r="L528" s="24" t="s">
        <v>84</v>
      </c>
      <c r="M528" s="15" t="s">
        <v>5629</v>
      </c>
      <c r="N528" s="15"/>
      <c r="O528" s="15" t="s">
        <v>3979</v>
      </c>
      <c r="P528" s="15" t="s">
        <v>3954</v>
      </c>
      <c r="Q528" s="15" t="s">
        <v>5630</v>
      </c>
      <c r="R528" s="15" t="s">
        <v>5631</v>
      </c>
      <c r="S528" s="24" t="s">
        <v>39</v>
      </c>
      <c r="T528" s="24" t="s">
        <v>39</v>
      </c>
      <c r="U528" s="24" t="s">
        <v>39</v>
      </c>
      <c r="V528" s="24" t="s">
        <v>39</v>
      </c>
      <c r="W528" s="24" t="s">
        <v>5632</v>
      </c>
      <c r="X528" s="24" t="s">
        <v>5633</v>
      </c>
      <c r="Y528" s="15" t="s">
        <v>5634</v>
      </c>
      <c r="Z528" s="15" t="s">
        <v>5635</v>
      </c>
      <c r="AA528" s="24"/>
      <c r="AB528" s="24"/>
      <c r="AC528" s="24"/>
      <c r="AD528" s="24"/>
      <c r="AE528" s="24"/>
      <c r="AF528" s="24"/>
      <c r="AG528" s="24"/>
      <c r="AH528" s="24"/>
    </row>
    <row r="529" spans="1:34" ht="45" x14ac:dyDescent="0.25">
      <c r="A529" s="24" t="str">
        <f>HYPERLINK("https://www.cpso.on.ca/DoctorDetails/Debbie-Carol-Schachter/0039759-53735","Schachter, Debbie Carol")</f>
        <v>Schachter, Debbie Carol</v>
      </c>
      <c r="B529" s="25" t="s">
        <v>5636</v>
      </c>
      <c r="C529" s="24" t="s">
        <v>5637</v>
      </c>
      <c r="D529" s="24" t="s">
        <v>5638</v>
      </c>
      <c r="E529" s="24" t="s">
        <v>29</v>
      </c>
      <c r="F529" s="24" t="s">
        <v>47</v>
      </c>
      <c r="G529" s="24" t="s">
        <v>813</v>
      </c>
      <c r="H529" s="24" t="s">
        <v>5639</v>
      </c>
      <c r="I529" s="24" t="s">
        <v>5640</v>
      </c>
      <c r="J529" s="24" t="s">
        <v>5641</v>
      </c>
      <c r="K529" s="24" t="s">
        <v>5642</v>
      </c>
      <c r="L529" s="24" t="s">
        <v>52</v>
      </c>
      <c r="M529" s="15" t="s">
        <v>5643</v>
      </c>
      <c r="N529" s="15"/>
      <c r="O529" s="15" t="s">
        <v>5644</v>
      </c>
      <c r="P529" s="15" t="s">
        <v>5645</v>
      </c>
      <c r="Q529" s="15"/>
      <c r="R529" s="15" t="s">
        <v>5646</v>
      </c>
      <c r="S529" s="24" t="s">
        <v>39</v>
      </c>
      <c r="T529" s="24" t="s">
        <v>39</v>
      </c>
      <c r="U529" s="24" t="s">
        <v>39</v>
      </c>
      <c r="V529" s="24" t="s">
        <v>39</v>
      </c>
      <c r="W529" s="24" t="s">
        <v>5647</v>
      </c>
      <c r="X529" s="24" t="s">
        <v>5648</v>
      </c>
      <c r="Y529" s="15" t="s">
        <v>5649</v>
      </c>
      <c r="Z529" s="15" t="s">
        <v>5650</v>
      </c>
      <c r="AA529" s="24"/>
      <c r="AB529" s="24"/>
      <c r="AC529" s="24"/>
      <c r="AD529" s="24"/>
      <c r="AE529" s="24"/>
      <c r="AF529" s="24"/>
      <c r="AG529" s="24"/>
      <c r="AH529" s="24"/>
    </row>
    <row r="530" spans="1:34" ht="75" x14ac:dyDescent="0.25">
      <c r="A530" s="24" t="str">
        <f>HYPERLINK("https://www.cpso.on.ca/DoctorDetails/Deborah-Frances-Kahan/0288711-100476","Kahan, Deborah Frances")</f>
        <v>Kahan, Deborah Frances</v>
      </c>
      <c r="B530" s="25" t="s">
        <v>5651</v>
      </c>
      <c r="C530" s="24" t="s">
        <v>5652</v>
      </c>
      <c r="D530" s="24" t="s">
        <v>5653</v>
      </c>
      <c r="E530" s="24" t="s">
        <v>29</v>
      </c>
      <c r="F530" s="24" t="s">
        <v>47</v>
      </c>
      <c r="G530" s="24" t="s">
        <v>31</v>
      </c>
      <c r="H530" s="24" t="s">
        <v>2992</v>
      </c>
      <c r="I530" s="24" t="s">
        <v>5654</v>
      </c>
      <c r="J530" s="24"/>
      <c r="K530" s="24"/>
      <c r="L530" s="24" t="s">
        <v>52</v>
      </c>
      <c r="M530" s="15"/>
      <c r="N530" s="15"/>
      <c r="O530" s="15"/>
      <c r="P530" s="15" t="s">
        <v>205</v>
      </c>
      <c r="Q530" s="15" t="s">
        <v>206</v>
      </c>
      <c r="R530" s="15" t="s">
        <v>5655</v>
      </c>
      <c r="S530" s="24" t="s">
        <v>39</v>
      </c>
      <c r="T530" s="24" t="s">
        <v>39</v>
      </c>
      <c r="U530" s="24" t="s">
        <v>39</v>
      </c>
      <c r="V530" s="24" t="s">
        <v>39</v>
      </c>
      <c r="W530" s="24"/>
      <c r="X530" s="24"/>
      <c r="Y530" s="15"/>
      <c r="Z530" s="15"/>
      <c r="AA530" s="24"/>
      <c r="AB530" s="24"/>
      <c r="AC530" s="24"/>
      <c r="AD530" s="24"/>
      <c r="AE530" s="24"/>
      <c r="AF530" s="24"/>
      <c r="AG530" s="24"/>
      <c r="AH530" s="24"/>
    </row>
    <row r="531" spans="1:34" ht="60" x14ac:dyDescent="0.25">
      <c r="A531" s="24" t="str">
        <f>HYPERLINK("https://www.cpso.on.ca/DoctorDetails/Deborah-Frances-Leibow/0026542-31365","Leibow, Deborah Frances")</f>
        <v>Leibow, Deborah Frances</v>
      </c>
      <c r="B531" s="25" t="s">
        <v>5656</v>
      </c>
      <c r="C531" s="24" t="s">
        <v>5657</v>
      </c>
      <c r="D531" s="24" t="s">
        <v>5658</v>
      </c>
      <c r="E531" s="24" t="s">
        <v>29</v>
      </c>
      <c r="F531" s="24" t="s">
        <v>47</v>
      </c>
      <c r="G531" s="24" t="s">
        <v>31</v>
      </c>
      <c r="H531" s="24" t="s">
        <v>1216</v>
      </c>
      <c r="I531" s="24" t="s">
        <v>5659</v>
      </c>
      <c r="J531" s="24" t="s">
        <v>5660</v>
      </c>
      <c r="K531" s="24"/>
      <c r="L531" s="24" t="s">
        <v>52</v>
      </c>
      <c r="M531" s="15"/>
      <c r="N531" s="15"/>
      <c r="O531" s="15"/>
      <c r="P531" s="15" t="s">
        <v>1794</v>
      </c>
      <c r="Q531" s="15"/>
      <c r="R531" s="15" t="s">
        <v>5661</v>
      </c>
      <c r="S531" s="24" t="s">
        <v>39</v>
      </c>
      <c r="T531" s="24" t="s">
        <v>39</v>
      </c>
      <c r="U531" s="24" t="s">
        <v>39</v>
      </c>
      <c r="V531" s="24" t="s">
        <v>39</v>
      </c>
      <c r="W531" s="24" t="s">
        <v>5662</v>
      </c>
      <c r="X531" s="24" t="s">
        <v>5663</v>
      </c>
      <c r="Y531" s="15" t="s">
        <v>5664</v>
      </c>
      <c r="Z531" s="15" t="s">
        <v>5665</v>
      </c>
      <c r="AA531" s="24"/>
      <c r="AB531" s="24"/>
      <c r="AC531" s="24"/>
      <c r="AD531" s="24"/>
      <c r="AE531" s="24"/>
      <c r="AF531" s="24"/>
      <c r="AG531" s="24"/>
      <c r="AH531" s="24"/>
    </row>
    <row r="532" spans="1:34" ht="60" x14ac:dyDescent="0.25">
      <c r="A532" s="24" t="str">
        <f>HYPERLINK("https://www.cpso.on.ca/DoctorDetails/Deborah-Lynn-Elliott/0036525-50501","Elliott, Deborah Lynn")</f>
        <v>Elliott, Deborah Lynn</v>
      </c>
      <c r="B532" s="25" t="s">
        <v>5666</v>
      </c>
      <c r="C532" s="24" t="s">
        <v>5667</v>
      </c>
      <c r="D532" s="24" t="s">
        <v>5668</v>
      </c>
      <c r="E532" s="24" t="s">
        <v>29</v>
      </c>
      <c r="F532" s="24" t="s">
        <v>47</v>
      </c>
      <c r="G532" s="24" t="s">
        <v>31</v>
      </c>
      <c r="H532" s="24" t="s">
        <v>5669</v>
      </c>
      <c r="I532" s="24" t="s">
        <v>5670</v>
      </c>
      <c r="J532" s="24" t="s">
        <v>5671</v>
      </c>
      <c r="K532" s="24" t="s">
        <v>5672</v>
      </c>
      <c r="L532" s="24" t="s">
        <v>340</v>
      </c>
      <c r="M532" s="15"/>
      <c r="N532" s="15"/>
      <c r="O532" s="15"/>
      <c r="P532" s="15" t="s">
        <v>4108</v>
      </c>
      <c r="Q532" s="15"/>
      <c r="R532" s="15" t="s">
        <v>5673</v>
      </c>
      <c r="S532" s="24" t="s">
        <v>39</v>
      </c>
      <c r="T532" s="24" t="s">
        <v>39</v>
      </c>
      <c r="U532" s="24" t="s">
        <v>39</v>
      </c>
      <c r="V532" s="24" t="s">
        <v>39</v>
      </c>
      <c r="W532" s="24" t="s">
        <v>5674</v>
      </c>
      <c r="X532" s="24" t="s">
        <v>502</v>
      </c>
      <c r="Y532" s="15" t="s">
        <v>5675</v>
      </c>
      <c r="Z532" s="15" t="s">
        <v>5676</v>
      </c>
      <c r="AA532" s="24"/>
      <c r="AB532" s="24"/>
      <c r="AC532" s="24"/>
      <c r="AD532" s="24"/>
      <c r="AE532" s="24"/>
      <c r="AF532" s="24"/>
      <c r="AG532" s="24"/>
      <c r="AH532" s="24"/>
    </row>
    <row r="533" spans="1:34" ht="90" x14ac:dyDescent="0.25">
      <c r="A533" s="24" t="str">
        <f>HYPERLINK("https://www.cpso.on.ca/DoctorDetails/Deborah-Nacson/0193959-77830","Nacson, Deborah")</f>
        <v>Nacson, Deborah</v>
      </c>
      <c r="B533" s="25" t="s">
        <v>5677</v>
      </c>
      <c r="C533" s="24" t="s">
        <v>921</v>
      </c>
      <c r="D533" s="24" t="s">
        <v>872</v>
      </c>
      <c r="E533" s="24" t="s">
        <v>5678</v>
      </c>
      <c r="F533" s="24" t="s">
        <v>47</v>
      </c>
      <c r="G533" s="24" t="s">
        <v>31</v>
      </c>
      <c r="H533" s="24" t="s">
        <v>5679</v>
      </c>
      <c r="I533" s="24" t="s">
        <v>5680</v>
      </c>
      <c r="J533" s="24" t="s">
        <v>5681</v>
      </c>
      <c r="K533" s="24" t="s">
        <v>770</v>
      </c>
      <c r="L533" s="24" t="s">
        <v>52</v>
      </c>
      <c r="M533" s="15"/>
      <c r="N533" s="15"/>
      <c r="O533" s="15" t="s">
        <v>5682</v>
      </c>
      <c r="P533" s="15" t="s">
        <v>880</v>
      </c>
      <c r="Q533" s="15" t="s">
        <v>5683</v>
      </c>
      <c r="R533" s="15" t="s">
        <v>5684</v>
      </c>
      <c r="S533" s="24" t="s">
        <v>39</v>
      </c>
      <c r="T533" s="24" t="s">
        <v>39</v>
      </c>
      <c r="U533" s="24" t="s">
        <v>39</v>
      </c>
      <c r="V533" s="24" t="s">
        <v>39</v>
      </c>
      <c r="W533" s="24" t="s">
        <v>5685</v>
      </c>
      <c r="X533" s="24" t="s">
        <v>5686</v>
      </c>
      <c r="Y533" s="15" t="s">
        <v>5687</v>
      </c>
      <c r="Z533" s="15" t="s">
        <v>5688</v>
      </c>
      <c r="AA533" s="24"/>
      <c r="AB533" s="24"/>
      <c r="AC533" s="24"/>
      <c r="AD533" s="24"/>
      <c r="AE533" s="24"/>
      <c r="AF533" s="24"/>
      <c r="AG533" s="24"/>
      <c r="AH533" s="24"/>
    </row>
    <row r="534" spans="1:34" ht="90" x14ac:dyDescent="0.25">
      <c r="A534" s="24" t="str">
        <f>HYPERLINK("https://www.cpso.on.ca/DoctorDetails/Deborah-Pink/0258357-90751","Pink, Deborah")</f>
        <v>Pink, Deborah</v>
      </c>
      <c r="B534" s="25" t="s">
        <v>5689</v>
      </c>
      <c r="C534" s="24" t="s">
        <v>5690</v>
      </c>
      <c r="D534" s="24" t="s">
        <v>443</v>
      </c>
      <c r="E534" s="24" t="s">
        <v>29</v>
      </c>
      <c r="F534" s="24" t="s">
        <v>47</v>
      </c>
      <c r="G534" s="24" t="s">
        <v>31</v>
      </c>
      <c r="H534" s="24" t="s">
        <v>5691</v>
      </c>
      <c r="I534" s="24" t="s">
        <v>5692</v>
      </c>
      <c r="J534" s="24" t="s">
        <v>5693</v>
      </c>
      <c r="K534" s="24" t="s">
        <v>5694</v>
      </c>
      <c r="L534" s="24" t="s">
        <v>52</v>
      </c>
      <c r="M534" s="15"/>
      <c r="N534" s="15"/>
      <c r="O534" s="15" t="s">
        <v>219</v>
      </c>
      <c r="P534" s="15" t="s">
        <v>449</v>
      </c>
      <c r="Q534" s="15" t="s">
        <v>5695</v>
      </c>
      <c r="R534" s="15" t="s">
        <v>5696</v>
      </c>
      <c r="S534" s="24" t="s">
        <v>39</v>
      </c>
      <c r="T534" s="24" t="s">
        <v>39</v>
      </c>
      <c r="U534" s="24" t="s">
        <v>39</v>
      </c>
      <c r="V534" s="24" t="s">
        <v>39</v>
      </c>
      <c r="W534" s="24"/>
      <c r="X534" s="24"/>
      <c r="Y534" s="15"/>
      <c r="Z534" s="15"/>
      <c r="AA534" s="24"/>
      <c r="AB534" s="24"/>
      <c r="AC534" s="24"/>
      <c r="AD534" s="24"/>
      <c r="AE534" s="24"/>
      <c r="AF534" s="24"/>
      <c r="AG534" s="24"/>
      <c r="AH534" s="24"/>
    </row>
    <row r="535" spans="1:34" ht="90" x14ac:dyDescent="0.25">
      <c r="A535" s="24" t="str">
        <f>HYPERLINK("https://www.cpso.on.ca/DoctorDetails/Deborah-Ruth-Schuller/0041414-55390","Schuller, Deborah Ruth")</f>
        <v>Schuller, Deborah Ruth</v>
      </c>
      <c r="B535" s="25" t="s">
        <v>5697</v>
      </c>
      <c r="C535" s="24" t="s">
        <v>2902</v>
      </c>
      <c r="D535" s="24" t="s">
        <v>5698</v>
      </c>
      <c r="E535" s="24" t="s">
        <v>29</v>
      </c>
      <c r="F535" s="24" t="s">
        <v>47</v>
      </c>
      <c r="G535" s="24" t="s">
        <v>31</v>
      </c>
      <c r="H535" s="24" t="s">
        <v>4592</v>
      </c>
      <c r="I535" s="24" t="s">
        <v>107</v>
      </c>
      <c r="J535" s="24"/>
      <c r="K535" s="24"/>
      <c r="L535" s="24"/>
      <c r="M535" s="15"/>
      <c r="N535" s="15"/>
      <c r="O535" s="15"/>
      <c r="P535" s="15" t="s">
        <v>2908</v>
      </c>
      <c r="Q535" s="15" t="s">
        <v>5699</v>
      </c>
      <c r="R535" s="15" t="s">
        <v>5700</v>
      </c>
      <c r="S535" s="24" t="s">
        <v>39</v>
      </c>
      <c r="T535" s="24" t="s">
        <v>39</v>
      </c>
      <c r="U535" s="24" t="s">
        <v>39</v>
      </c>
      <c r="V535" s="24" t="s">
        <v>39</v>
      </c>
      <c r="W535" s="24" t="s">
        <v>5701</v>
      </c>
      <c r="X535" s="24" t="s">
        <v>5702</v>
      </c>
      <c r="Y535" s="15"/>
      <c r="Z535" s="15"/>
      <c r="AA535" s="24"/>
      <c r="AB535" s="24"/>
      <c r="AC535" s="24"/>
      <c r="AD535" s="24"/>
      <c r="AE535" s="24"/>
      <c r="AF535" s="24"/>
      <c r="AG535" s="24"/>
      <c r="AH535" s="24"/>
    </row>
    <row r="536" spans="1:34" ht="90" x14ac:dyDescent="0.25">
      <c r="A536" s="24" t="str">
        <f>HYPERLINK("https://www.cpso.on.ca/DoctorDetails/Deborah-Susan-Reddick/0054398-67512","Reddick, Deborah Susan")</f>
        <v>Reddick, Deborah Susan</v>
      </c>
      <c r="B536" s="25" t="s">
        <v>5703</v>
      </c>
      <c r="C536" s="24" t="s">
        <v>5704</v>
      </c>
      <c r="D536" s="24" t="s">
        <v>5705</v>
      </c>
      <c r="E536" s="24" t="s">
        <v>29</v>
      </c>
      <c r="F536" s="24" t="s">
        <v>47</v>
      </c>
      <c r="G536" s="24" t="s">
        <v>31</v>
      </c>
      <c r="H536" s="24" t="s">
        <v>4768</v>
      </c>
      <c r="I536" s="24" t="s">
        <v>5706</v>
      </c>
      <c r="J536" s="24" t="s">
        <v>5707</v>
      </c>
      <c r="K536" s="24"/>
      <c r="L536" s="24" t="s">
        <v>52</v>
      </c>
      <c r="M536" s="15" t="s">
        <v>5708</v>
      </c>
      <c r="N536" s="15"/>
      <c r="O536" s="15"/>
      <c r="P536" s="15" t="s">
        <v>562</v>
      </c>
      <c r="Q536" s="15" t="s">
        <v>5709</v>
      </c>
      <c r="R536" s="15" t="s">
        <v>5710</v>
      </c>
      <c r="S536" s="24" t="s">
        <v>39</v>
      </c>
      <c r="T536" s="24" t="s">
        <v>39</v>
      </c>
      <c r="U536" s="24" t="s">
        <v>39</v>
      </c>
      <c r="V536" s="24" t="s">
        <v>39</v>
      </c>
      <c r="W536" s="24"/>
      <c r="X536" s="24"/>
      <c r="Y536" s="15"/>
      <c r="Z536" s="15"/>
      <c r="AA536" s="24"/>
      <c r="AB536" s="24"/>
      <c r="AC536" s="24"/>
      <c r="AD536" s="24"/>
      <c r="AE536" s="24"/>
      <c r="AF536" s="24"/>
      <c r="AG536" s="24"/>
      <c r="AH536" s="24"/>
    </row>
    <row r="537" spans="1:34" ht="75" x14ac:dyDescent="0.25">
      <c r="A537" s="24" t="str">
        <f>HYPERLINK("https://www.cpso.on.ca/DoctorDetails/Deborah-Wing-Sze-Leung/0210985-80846","Leung, Deborah Wing Sze")</f>
        <v>Leung, Deborah Wing Sze</v>
      </c>
      <c r="B537" s="25" t="s">
        <v>5711</v>
      </c>
      <c r="C537" s="24" t="s">
        <v>45</v>
      </c>
      <c r="D537" s="24" t="s">
        <v>46</v>
      </c>
      <c r="E537" s="24" t="s">
        <v>5712</v>
      </c>
      <c r="F537" s="24" t="s">
        <v>47</v>
      </c>
      <c r="G537" s="24" t="s">
        <v>31</v>
      </c>
      <c r="H537" s="24" t="s">
        <v>908</v>
      </c>
      <c r="I537" s="24" t="s">
        <v>5713</v>
      </c>
      <c r="J537" s="24" t="s">
        <v>244</v>
      </c>
      <c r="K537" s="24" t="s">
        <v>5714</v>
      </c>
      <c r="L537" s="24" t="s">
        <v>36</v>
      </c>
      <c r="M537" s="15" t="s">
        <v>5715</v>
      </c>
      <c r="N537" s="15"/>
      <c r="O537" s="15" t="s">
        <v>4094</v>
      </c>
      <c r="P537" s="15" t="s">
        <v>5716</v>
      </c>
      <c r="Q537" s="15" t="s">
        <v>56</v>
      </c>
      <c r="R537" s="15" t="s">
        <v>57</v>
      </c>
      <c r="S537" s="24" t="s">
        <v>39</v>
      </c>
      <c r="T537" s="24" t="s">
        <v>39</v>
      </c>
      <c r="U537" s="24" t="s">
        <v>39</v>
      </c>
      <c r="V537" s="24" t="s">
        <v>39</v>
      </c>
      <c r="W537" s="24" t="s">
        <v>5717</v>
      </c>
      <c r="X537" s="24" t="s">
        <v>3713</v>
      </c>
      <c r="Y537" s="15" t="s">
        <v>5718</v>
      </c>
      <c r="Z537" s="15" t="s">
        <v>5719</v>
      </c>
      <c r="AA537" s="24"/>
      <c r="AB537" s="24"/>
      <c r="AC537" s="24"/>
      <c r="AD537" s="24"/>
      <c r="AE537" s="24"/>
      <c r="AF537" s="24"/>
      <c r="AG537" s="24"/>
      <c r="AH537" s="24"/>
    </row>
    <row r="538" spans="1:34" ht="90" x14ac:dyDescent="0.25">
      <c r="A538" s="24" t="str">
        <f>HYPERLINK("https://www.cpso.on.ca/DoctorDetails/Debra-Gail-Stein/0180543-76368","Stein, Debra Gail")</f>
        <v>Stein, Debra Gail</v>
      </c>
      <c r="B538" s="25" t="s">
        <v>5720</v>
      </c>
      <c r="C538" s="24" t="s">
        <v>1130</v>
      </c>
      <c r="D538" s="24" t="s">
        <v>922</v>
      </c>
      <c r="E538" s="24" t="s">
        <v>29</v>
      </c>
      <c r="F538" s="24" t="s">
        <v>47</v>
      </c>
      <c r="G538" s="24" t="s">
        <v>813</v>
      </c>
      <c r="H538" s="24" t="s">
        <v>4402</v>
      </c>
      <c r="I538" s="24" t="s">
        <v>5721</v>
      </c>
      <c r="J538" s="24" t="s">
        <v>5722</v>
      </c>
      <c r="K538" s="24" t="s">
        <v>5723</v>
      </c>
      <c r="L538" s="24" t="s">
        <v>52</v>
      </c>
      <c r="M538" s="15"/>
      <c r="N538" s="15"/>
      <c r="O538" s="15"/>
      <c r="P538" s="15" t="s">
        <v>5724</v>
      </c>
      <c r="Q538" s="15" t="s">
        <v>5725</v>
      </c>
      <c r="R538" s="15" t="s">
        <v>5726</v>
      </c>
      <c r="S538" s="24" t="s">
        <v>39</v>
      </c>
      <c r="T538" s="24" t="s">
        <v>39</v>
      </c>
      <c r="U538" s="24" t="s">
        <v>39</v>
      </c>
      <c r="V538" s="24" t="s">
        <v>39</v>
      </c>
      <c r="W538" s="24"/>
      <c r="X538" s="24"/>
      <c r="Y538" s="15"/>
      <c r="Z538" s="15"/>
      <c r="AA538" s="24"/>
      <c r="AB538" s="24"/>
      <c r="AC538" s="24"/>
      <c r="AD538" s="24"/>
      <c r="AE538" s="24"/>
      <c r="AF538" s="24"/>
      <c r="AG538" s="24"/>
      <c r="AH538" s="24"/>
    </row>
    <row r="539" spans="1:34" ht="105" x14ac:dyDescent="0.25">
      <c r="A539" s="24" t="str">
        <f>HYPERLINK("https://www.cpso.on.ca/DoctorDetails/Debra-Michelle-Hamer/0265776-93896","Hamer, Debra Michelle")</f>
        <v>Hamer, Debra Michelle</v>
      </c>
      <c r="B539" s="25" t="s">
        <v>5727</v>
      </c>
      <c r="C539" s="24" t="s">
        <v>5728</v>
      </c>
      <c r="D539" s="24" t="s">
        <v>5729</v>
      </c>
      <c r="E539" s="24" t="s">
        <v>29</v>
      </c>
      <c r="F539" s="24" t="s">
        <v>47</v>
      </c>
      <c r="G539" s="24" t="s">
        <v>31</v>
      </c>
      <c r="H539" s="24" t="s">
        <v>5730</v>
      </c>
      <c r="I539" s="24" t="s">
        <v>5731</v>
      </c>
      <c r="J539" s="24" t="s">
        <v>5732</v>
      </c>
      <c r="K539" s="24"/>
      <c r="L539" s="24" t="s">
        <v>340</v>
      </c>
      <c r="M539" s="15"/>
      <c r="N539" s="15"/>
      <c r="O539" s="15" t="s">
        <v>1122</v>
      </c>
      <c r="P539" s="15" t="s">
        <v>5733</v>
      </c>
      <c r="Q539" s="15" t="s">
        <v>5734</v>
      </c>
      <c r="R539" s="15" t="s">
        <v>5735</v>
      </c>
      <c r="S539" s="24" t="s">
        <v>39</v>
      </c>
      <c r="T539" s="24" t="s">
        <v>39</v>
      </c>
      <c r="U539" s="24" t="s">
        <v>39</v>
      </c>
      <c r="V539" s="24" t="s">
        <v>39</v>
      </c>
      <c r="W539" s="24"/>
      <c r="X539" s="24"/>
      <c r="Y539" s="15"/>
      <c r="Z539" s="15"/>
      <c r="AA539" s="24"/>
      <c r="AB539" s="24"/>
      <c r="AC539" s="24"/>
      <c r="AD539" s="24"/>
      <c r="AE539" s="24"/>
      <c r="AF539" s="24"/>
      <c r="AG539" s="24"/>
      <c r="AH539" s="24"/>
    </row>
    <row r="540" spans="1:34" ht="30" x14ac:dyDescent="0.25">
      <c r="A540" s="24" t="str">
        <f>HYPERLINK("https://www.cpso.on.ca/DoctorDetails/Declan-Peter-Boylan/0172769-74810","Boylan, Declan Peter")</f>
        <v>Boylan, Declan Peter</v>
      </c>
      <c r="B540" s="25" t="s">
        <v>5736</v>
      </c>
      <c r="C540" s="24" t="s">
        <v>3642</v>
      </c>
      <c r="D540" s="24" t="s">
        <v>2674</v>
      </c>
      <c r="E540" s="24" t="s">
        <v>29</v>
      </c>
      <c r="F540" s="24" t="s">
        <v>30</v>
      </c>
      <c r="G540" s="24" t="s">
        <v>31</v>
      </c>
      <c r="H540" s="24" t="s">
        <v>5737</v>
      </c>
      <c r="I540" s="24" t="s">
        <v>5738</v>
      </c>
      <c r="J540" s="24" t="s">
        <v>1769</v>
      </c>
      <c r="K540" s="24" t="s">
        <v>1744</v>
      </c>
      <c r="L540" s="24" t="s">
        <v>328</v>
      </c>
      <c r="M540" s="15"/>
      <c r="N540" s="15"/>
      <c r="O540" s="15" t="s">
        <v>1746</v>
      </c>
      <c r="P540" s="15" t="s">
        <v>2678</v>
      </c>
      <c r="Q540" s="15" t="s">
        <v>5739</v>
      </c>
      <c r="R540" s="15" t="s">
        <v>5740</v>
      </c>
      <c r="S540" s="24" t="s">
        <v>39</v>
      </c>
      <c r="T540" s="24" t="s">
        <v>39</v>
      </c>
      <c r="U540" s="24" t="s">
        <v>39</v>
      </c>
      <c r="V540" s="24" t="s">
        <v>39</v>
      </c>
      <c r="W540" s="24" t="s">
        <v>5741</v>
      </c>
      <c r="X540" s="24" t="s">
        <v>5742</v>
      </c>
      <c r="Y540" s="15" t="s">
        <v>5743</v>
      </c>
      <c r="Z540" s="15" t="s">
        <v>5744</v>
      </c>
      <c r="AA540" s="24"/>
      <c r="AB540" s="24"/>
      <c r="AC540" s="24"/>
      <c r="AD540" s="24"/>
      <c r="AE540" s="24"/>
      <c r="AF540" s="24"/>
      <c r="AG540" s="24"/>
      <c r="AH540" s="24"/>
    </row>
    <row r="541" spans="1:34" ht="30" x14ac:dyDescent="0.25">
      <c r="A541" s="24" t="str">
        <f>HYPERLINK("https://www.cpso.on.ca/DoctorDetails/Denis-John-OFlanagan/0025525-30348","O'Flanagan, Denis John")</f>
        <v>O'Flanagan, Denis John</v>
      </c>
      <c r="B541" s="25" t="s">
        <v>5745</v>
      </c>
      <c r="C541" s="24" t="s">
        <v>5746</v>
      </c>
      <c r="D541" s="24" t="s">
        <v>5747</v>
      </c>
      <c r="E541" s="24" t="s">
        <v>29</v>
      </c>
      <c r="F541" s="24" t="s">
        <v>30</v>
      </c>
      <c r="G541" s="24" t="s">
        <v>31</v>
      </c>
      <c r="H541" s="24" t="s">
        <v>5748</v>
      </c>
      <c r="I541" s="24" t="s">
        <v>5749</v>
      </c>
      <c r="J541" s="24" t="s">
        <v>5750</v>
      </c>
      <c r="K541" s="24"/>
      <c r="L541" s="24" t="s">
        <v>328</v>
      </c>
      <c r="M541" s="15"/>
      <c r="N541" s="15"/>
      <c r="O541" s="15" t="s">
        <v>3307</v>
      </c>
      <c r="P541" s="15" t="s">
        <v>5751</v>
      </c>
      <c r="Q541" s="15"/>
      <c r="R541" s="15" t="s">
        <v>5752</v>
      </c>
      <c r="S541" s="24" t="s">
        <v>39</v>
      </c>
      <c r="T541" s="24" t="s">
        <v>39</v>
      </c>
      <c r="U541" s="24" t="s">
        <v>39</v>
      </c>
      <c r="V541" s="24" t="s">
        <v>39</v>
      </c>
      <c r="W541" s="24" t="s">
        <v>5753</v>
      </c>
      <c r="X541" s="24" t="s">
        <v>5754</v>
      </c>
      <c r="Y541" s="15" t="s">
        <v>5755</v>
      </c>
      <c r="Z541" s="15" t="s">
        <v>5756</v>
      </c>
      <c r="AA541" s="24"/>
      <c r="AB541" s="24"/>
      <c r="AC541" s="24"/>
      <c r="AD541" s="24"/>
      <c r="AE541" s="24"/>
      <c r="AF541" s="24"/>
      <c r="AG541" s="24"/>
      <c r="AH541" s="24"/>
    </row>
    <row r="542" spans="1:34" ht="75" x14ac:dyDescent="0.25">
      <c r="A542" s="24" t="str">
        <f>HYPERLINK("https://www.cpso.on.ca/DoctorDetails/Denise-Abby-Sum/0266250-93536","Sum, Denise Abby")</f>
        <v>Sum, Denise Abby</v>
      </c>
      <c r="B542" s="25" t="s">
        <v>5757</v>
      </c>
      <c r="C542" s="24" t="s">
        <v>570</v>
      </c>
      <c r="D542" s="24" t="s">
        <v>5758</v>
      </c>
      <c r="E542" s="24" t="s">
        <v>29</v>
      </c>
      <c r="F542" s="24" t="s">
        <v>47</v>
      </c>
      <c r="G542" s="24" t="s">
        <v>31</v>
      </c>
      <c r="H542" s="24" t="s">
        <v>5730</v>
      </c>
      <c r="I542" s="24" t="s">
        <v>5759</v>
      </c>
      <c r="J542" s="24" t="s">
        <v>5760</v>
      </c>
      <c r="K542" s="24" t="s">
        <v>3000</v>
      </c>
      <c r="L542" s="24" t="s">
        <v>52</v>
      </c>
      <c r="M542" s="15"/>
      <c r="N542" s="15"/>
      <c r="O542" s="15" t="s">
        <v>5761</v>
      </c>
      <c r="P542" s="15" t="s">
        <v>629</v>
      </c>
      <c r="Q542" s="15" t="s">
        <v>4824</v>
      </c>
      <c r="R542" s="15" t="s">
        <v>5762</v>
      </c>
      <c r="S542" s="24" t="s">
        <v>39</v>
      </c>
      <c r="T542" s="24" t="s">
        <v>39</v>
      </c>
      <c r="U542" s="24" t="s">
        <v>39</v>
      </c>
      <c r="V542" s="24" t="s">
        <v>39</v>
      </c>
      <c r="W542" s="24" t="s">
        <v>5763</v>
      </c>
      <c r="X542" s="24" t="s">
        <v>5764</v>
      </c>
      <c r="Y542" s="15" t="s">
        <v>5765</v>
      </c>
      <c r="Z542" s="15" t="s">
        <v>5766</v>
      </c>
      <c r="AA542" s="24"/>
      <c r="AB542" s="24"/>
      <c r="AC542" s="24"/>
      <c r="AD542" s="24"/>
      <c r="AE542" s="24"/>
      <c r="AF542" s="24"/>
      <c r="AG542" s="24"/>
      <c r="AH542" s="24"/>
    </row>
    <row r="543" spans="1:34" ht="45" x14ac:dyDescent="0.25">
      <c r="A543" s="24" t="str">
        <f>HYPERLINK("https://www.cpso.on.ca/DoctorDetails/Denise-Sequeira/0042894-56872","Sequeira, Denise")</f>
        <v>Sequeira, Denise</v>
      </c>
      <c r="B543" s="25" t="s">
        <v>5767</v>
      </c>
      <c r="C543" s="24" t="s">
        <v>3427</v>
      </c>
      <c r="D543" s="24" t="s">
        <v>5768</v>
      </c>
      <c r="E543" s="24" t="s">
        <v>29</v>
      </c>
      <c r="F543" s="24" t="s">
        <v>47</v>
      </c>
      <c r="G543" s="24" t="s">
        <v>31</v>
      </c>
      <c r="H543" s="24" t="s">
        <v>3429</v>
      </c>
      <c r="I543" s="24" t="s">
        <v>5769</v>
      </c>
      <c r="J543" s="24" t="s">
        <v>5770</v>
      </c>
      <c r="K543" s="24"/>
      <c r="L543" s="24" t="s">
        <v>52</v>
      </c>
      <c r="M543" s="15"/>
      <c r="N543" s="15"/>
      <c r="O543" s="15"/>
      <c r="P543" s="15" t="s">
        <v>1033</v>
      </c>
      <c r="Q543" s="15" t="s">
        <v>5771</v>
      </c>
      <c r="R543" s="15" t="s">
        <v>5772</v>
      </c>
      <c r="S543" s="24" t="s">
        <v>39</v>
      </c>
      <c r="T543" s="24" t="s">
        <v>39</v>
      </c>
      <c r="U543" s="24" t="s">
        <v>39</v>
      </c>
      <c r="V543" s="24" t="s">
        <v>39</v>
      </c>
      <c r="W543" s="24" t="s">
        <v>5773</v>
      </c>
      <c r="X543" s="24" t="s">
        <v>5774</v>
      </c>
      <c r="Y543" s="15" t="s">
        <v>5775</v>
      </c>
      <c r="Z543" s="15" t="s">
        <v>5776</v>
      </c>
      <c r="AA543" s="24"/>
      <c r="AB543" s="24"/>
      <c r="AC543" s="24"/>
      <c r="AD543" s="24"/>
      <c r="AE543" s="24"/>
      <c r="AF543" s="24"/>
      <c r="AG543" s="24"/>
      <c r="AH543" s="24"/>
    </row>
    <row r="544" spans="1:34" ht="45" x14ac:dyDescent="0.25">
      <c r="A544" s="24" t="str">
        <f>HYPERLINK("https://www.cpso.on.ca/DoctorDetails/Dennis-Joseph-Kussin/0028561-33384","Kussin, Dennis Joseph")</f>
        <v>Kussin, Dennis Joseph</v>
      </c>
      <c r="B544" s="25" t="s">
        <v>5777</v>
      </c>
      <c r="C544" s="24" t="s">
        <v>5778</v>
      </c>
      <c r="D544" s="24" t="s">
        <v>5779</v>
      </c>
      <c r="E544" s="24" t="s">
        <v>29</v>
      </c>
      <c r="F544" s="24" t="s">
        <v>30</v>
      </c>
      <c r="G544" s="24" t="s">
        <v>31</v>
      </c>
      <c r="H544" s="24" t="s">
        <v>5780</v>
      </c>
      <c r="I544" s="24" t="s">
        <v>5781</v>
      </c>
      <c r="J544" s="24" t="s">
        <v>5782</v>
      </c>
      <c r="K544" s="24" t="s">
        <v>5783</v>
      </c>
      <c r="L544" s="24" t="s">
        <v>52</v>
      </c>
      <c r="M544" s="15"/>
      <c r="N544" s="15"/>
      <c r="O544" s="15" t="s">
        <v>5784</v>
      </c>
      <c r="P544" s="15" t="s">
        <v>5785</v>
      </c>
      <c r="Q544" s="15"/>
      <c r="R544" s="15" t="s">
        <v>5786</v>
      </c>
      <c r="S544" s="24" t="s">
        <v>39</v>
      </c>
      <c r="T544" s="24" t="s">
        <v>39</v>
      </c>
      <c r="U544" s="24" t="s">
        <v>39</v>
      </c>
      <c r="V544" s="24" t="s">
        <v>39</v>
      </c>
      <c r="W544" s="24"/>
      <c r="X544" s="24"/>
      <c r="Y544" s="15"/>
      <c r="Z544" s="15"/>
      <c r="AA544" s="24"/>
      <c r="AB544" s="24"/>
      <c r="AC544" s="24"/>
      <c r="AD544" s="24"/>
      <c r="AE544" s="24"/>
      <c r="AF544" s="24"/>
      <c r="AG544" s="24"/>
      <c r="AH544" s="24"/>
    </row>
    <row r="545" spans="1:34" ht="45" x14ac:dyDescent="0.25">
      <c r="A545" s="24" t="str">
        <f>HYPERLINK("https://www.cpso.on.ca/DoctorDetails/Derek-Charles-Hopgood/0023820-28612","Hopgood, Derek Charles")</f>
        <v>Hopgood, Derek Charles</v>
      </c>
      <c r="B545" s="25" t="s">
        <v>5787</v>
      </c>
      <c r="C545" s="24" t="s">
        <v>5788</v>
      </c>
      <c r="D545" s="24" t="s">
        <v>5789</v>
      </c>
      <c r="E545" s="24" t="s">
        <v>29</v>
      </c>
      <c r="F545" s="24" t="s">
        <v>30</v>
      </c>
      <c r="G545" s="24" t="s">
        <v>31</v>
      </c>
      <c r="H545" s="24" t="s">
        <v>5790</v>
      </c>
      <c r="I545" s="24" t="s">
        <v>5791</v>
      </c>
      <c r="J545" s="24" t="s">
        <v>5792</v>
      </c>
      <c r="K545" s="24"/>
      <c r="L545" s="24" t="s">
        <v>328</v>
      </c>
      <c r="M545" s="15"/>
      <c r="N545" s="15"/>
      <c r="O545" s="15" t="s">
        <v>1855</v>
      </c>
      <c r="P545" s="15" t="s">
        <v>2042</v>
      </c>
      <c r="Q545" s="15" t="s">
        <v>5793</v>
      </c>
      <c r="R545" s="15" t="s">
        <v>5794</v>
      </c>
      <c r="S545" s="24" t="s">
        <v>39</v>
      </c>
      <c r="T545" s="24" t="s">
        <v>39</v>
      </c>
      <c r="U545" s="24" t="s">
        <v>39</v>
      </c>
      <c r="V545" s="24" t="s">
        <v>39</v>
      </c>
      <c r="W545" s="24" t="s">
        <v>5795</v>
      </c>
      <c r="X545" s="24" t="s">
        <v>5796</v>
      </c>
      <c r="Y545" s="15" t="s">
        <v>5797</v>
      </c>
      <c r="Z545" s="15" t="s">
        <v>5798</v>
      </c>
      <c r="AA545" s="24"/>
      <c r="AB545" s="24"/>
      <c r="AC545" s="24"/>
      <c r="AD545" s="24"/>
      <c r="AE545" s="24"/>
      <c r="AF545" s="24"/>
      <c r="AG545" s="24"/>
      <c r="AH545" s="24"/>
    </row>
    <row r="546" spans="1:34" ht="90" x14ac:dyDescent="0.25">
      <c r="A546" s="24" t="str">
        <f>HYPERLINK("https://www.cpso.on.ca/DoctorDetails/Derek-Gordon-Puddester/0057558-69146","Puddester, Derek Gordon")</f>
        <v>Puddester, Derek Gordon</v>
      </c>
      <c r="B546" s="25" t="s">
        <v>5799</v>
      </c>
      <c r="C546" s="24" t="s">
        <v>3831</v>
      </c>
      <c r="D546" s="24" t="s">
        <v>5800</v>
      </c>
      <c r="E546" s="24" t="s">
        <v>29</v>
      </c>
      <c r="F546" s="24" t="s">
        <v>30</v>
      </c>
      <c r="G546" s="24" t="s">
        <v>31</v>
      </c>
      <c r="H546" s="24" t="s">
        <v>5801</v>
      </c>
      <c r="I546" s="24" t="s">
        <v>5802</v>
      </c>
      <c r="J546" s="24" t="s">
        <v>5803</v>
      </c>
      <c r="K546" s="24" t="s">
        <v>5804</v>
      </c>
      <c r="L546" s="24" t="s">
        <v>84</v>
      </c>
      <c r="M546" s="15" t="s">
        <v>5805</v>
      </c>
      <c r="N546" s="15"/>
      <c r="O546" s="15" t="s">
        <v>2156</v>
      </c>
      <c r="P546" s="15" t="s">
        <v>946</v>
      </c>
      <c r="Q546" s="15" t="s">
        <v>5806</v>
      </c>
      <c r="R546" s="15" t="s">
        <v>5807</v>
      </c>
      <c r="S546" s="24" t="s">
        <v>39</v>
      </c>
      <c r="T546" s="24" t="s">
        <v>39</v>
      </c>
      <c r="U546" s="24" t="s">
        <v>39</v>
      </c>
      <c r="V546" s="24" t="s">
        <v>39</v>
      </c>
      <c r="W546" s="24" t="s">
        <v>5808</v>
      </c>
      <c r="X546" s="24" t="s">
        <v>5809</v>
      </c>
      <c r="Y546" s="15" t="s">
        <v>5810</v>
      </c>
      <c r="Z546" s="15" t="s">
        <v>5811</v>
      </c>
      <c r="AA546" s="24"/>
      <c r="AB546" s="24"/>
      <c r="AC546" s="24"/>
      <c r="AD546" s="24"/>
      <c r="AE546" s="24"/>
      <c r="AF546" s="24"/>
      <c r="AG546" s="24"/>
      <c r="AH546" s="24"/>
    </row>
    <row r="547" spans="1:34" ht="75" x14ac:dyDescent="0.25">
      <c r="A547" s="24" t="str">
        <f>HYPERLINK("https://www.cpso.on.ca/DoctorDetails/Derek-Vello-Pallandi/0057362-68950","Pallandi, Derek Vello")</f>
        <v>Pallandi, Derek Vello</v>
      </c>
      <c r="B547" s="25" t="s">
        <v>5812</v>
      </c>
      <c r="C547" s="24" t="s">
        <v>3831</v>
      </c>
      <c r="D547" s="24" t="s">
        <v>214</v>
      </c>
      <c r="E547" s="24" t="s">
        <v>29</v>
      </c>
      <c r="F547" s="24" t="s">
        <v>30</v>
      </c>
      <c r="G547" s="24" t="s">
        <v>5813</v>
      </c>
      <c r="H547" s="24" t="s">
        <v>3932</v>
      </c>
      <c r="I547" s="24" t="s">
        <v>5814</v>
      </c>
      <c r="J547" s="24" t="s">
        <v>5815</v>
      </c>
      <c r="K547" s="24" t="s">
        <v>5816</v>
      </c>
      <c r="L547" s="24" t="s">
        <v>52</v>
      </c>
      <c r="M547" s="15" t="s">
        <v>5817</v>
      </c>
      <c r="N547" s="15"/>
      <c r="O547" s="15" t="s">
        <v>5818</v>
      </c>
      <c r="P547" s="15" t="s">
        <v>1343</v>
      </c>
      <c r="Q547" s="15" t="s">
        <v>4714</v>
      </c>
      <c r="R547" s="15" t="s">
        <v>3839</v>
      </c>
      <c r="S547" s="24" t="s">
        <v>39</v>
      </c>
      <c r="T547" s="24" t="s">
        <v>39</v>
      </c>
      <c r="U547" s="24" t="s">
        <v>39</v>
      </c>
      <c r="V547" s="24" t="s">
        <v>39</v>
      </c>
      <c r="W547" s="24"/>
      <c r="X547" s="24"/>
      <c r="Y547" s="15"/>
      <c r="Z547" s="15"/>
      <c r="AA547" s="24"/>
      <c r="AB547" s="24"/>
      <c r="AC547" s="24"/>
      <c r="AD547" s="24"/>
      <c r="AE547" s="24"/>
      <c r="AF547" s="24"/>
      <c r="AG547" s="24"/>
      <c r="AH547" s="24"/>
    </row>
    <row r="548" spans="1:34" ht="30" x14ac:dyDescent="0.25">
      <c r="A548" s="24" t="str">
        <f>HYPERLINK("https://www.cpso.on.ca/DoctorDetails/Desanka-Krstich/0037788-51764","Krstich, Desanka")</f>
        <v>Krstich, Desanka</v>
      </c>
      <c r="B548" s="25" t="s">
        <v>5819</v>
      </c>
      <c r="C548" s="24" t="s">
        <v>5820</v>
      </c>
      <c r="D548" s="24" t="s">
        <v>5821</v>
      </c>
      <c r="E548" s="24" t="s">
        <v>29</v>
      </c>
      <c r="F548" s="24" t="s">
        <v>47</v>
      </c>
      <c r="G548" s="24" t="s">
        <v>5822</v>
      </c>
      <c r="H548" s="24" t="s">
        <v>5823</v>
      </c>
      <c r="I548" s="24" t="s">
        <v>5824</v>
      </c>
      <c r="J548" s="24" t="s">
        <v>5825</v>
      </c>
      <c r="K548" s="24" t="s">
        <v>5826</v>
      </c>
      <c r="L548" s="24" t="s">
        <v>52</v>
      </c>
      <c r="M548" s="15"/>
      <c r="N548" s="15"/>
      <c r="O548" s="15"/>
      <c r="P548" s="15" t="s">
        <v>5827</v>
      </c>
      <c r="Q548" s="15"/>
      <c r="R548" s="15" t="s">
        <v>5828</v>
      </c>
      <c r="S548" s="24" t="s">
        <v>39</v>
      </c>
      <c r="T548" s="24" t="s">
        <v>39</v>
      </c>
      <c r="U548" s="24" t="s">
        <v>39</v>
      </c>
      <c r="V548" s="24" t="s">
        <v>39</v>
      </c>
      <c r="W548" s="24" t="s">
        <v>5829</v>
      </c>
      <c r="X548" s="24" t="s">
        <v>5830</v>
      </c>
      <c r="Y548" s="15" t="s">
        <v>5831</v>
      </c>
      <c r="Z548" s="15" t="s">
        <v>5832</v>
      </c>
      <c r="AA548" s="24"/>
      <c r="AB548" s="24"/>
      <c r="AC548" s="24"/>
      <c r="AD548" s="24"/>
      <c r="AE548" s="24"/>
      <c r="AF548" s="24"/>
      <c r="AG548" s="24"/>
      <c r="AH548" s="24"/>
    </row>
    <row r="549" spans="1:34" ht="30" x14ac:dyDescent="0.25">
      <c r="A549" s="24" t="str">
        <f>HYPERLINK("https://www.cpso.on.ca/DoctorDetails/Desi-Yitzhak-Brownstone/0036240-50216","Brownstone, Desi Yitzhak")</f>
        <v>Brownstone, Desi Yitzhak</v>
      </c>
      <c r="B549" s="25" t="s">
        <v>5833</v>
      </c>
      <c r="C549" s="24" t="s">
        <v>3417</v>
      </c>
      <c r="D549" s="24" t="s">
        <v>5834</v>
      </c>
      <c r="E549" s="24" t="s">
        <v>29</v>
      </c>
      <c r="F549" s="24" t="s">
        <v>30</v>
      </c>
      <c r="G549" s="24" t="s">
        <v>31</v>
      </c>
      <c r="H549" s="24" t="s">
        <v>4000</v>
      </c>
      <c r="I549" s="24" t="s">
        <v>5835</v>
      </c>
      <c r="J549" s="24" t="s">
        <v>5836</v>
      </c>
      <c r="K549" s="24" t="s">
        <v>5837</v>
      </c>
      <c r="L549" s="24" t="s">
        <v>135</v>
      </c>
      <c r="M549" s="15" t="s">
        <v>5838</v>
      </c>
      <c r="N549" s="15"/>
      <c r="O549" s="15"/>
      <c r="P549" s="15" t="s">
        <v>5839</v>
      </c>
      <c r="Q549" s="15"/>
      <c r="R549" s="15" t="s">
        <v>5840</v>
      </c>
      <c r="S549" s="24" t="s">
        <v>39</v>
      </c>
      <c r="T549" s="24" t="s">
        <v>39</v>
      </c>
      <c r="U549" s="24" t="s">
        <v>39</v>
      </c>
      <c r="V549" s="24" t="s">
        <v>39</v>
      </c>
      <c r="W549" s="24" t="s">
        <v>5841</v>
      </c>
      <c r="X549" s="24" t="s">
        <v>5842</v>
      </c>
      <c r="Y549" s="15" t="s">
        <v>5843</v>
      </c>
      <c r="Z549" s="15" t="s">
        <v>5844</v>
      </c>
      <c r="AA549" s="24"/>
      <c r="AB549" s="24"/>
      <c r="AC549" s="24"/>
      <c r="AD549" s="24"/>
      <c r="AE549" s="24"/>
      <c r="AF549" s="24"/>
      <c r="AG549" s="24"/>
      <c r="AH549" s="24"/>
    </row>
    <row r="550" spans="1:34" ht="30" x14ac:dyDescent="0.25">
      <c r="A550" s="24" t="str">
        <f>HYPERLINK("https://www.cpso.on.ca/DoctorDetails/Desmond-Michael-Potopsingh/0030458-42438","Potopsingh, Desmond Michael")</f>
        <v>Potopsingh, Desmond Michael</v>
      </c>
      <c r="B550" s="25" t="s">
        <v>5845</v>
      </c>
      <c r="C550" s="24" t="s">
        <v>826</v>
      </c>
      <c r="D550" s="24" t="s">
        <v>5846</v>
      </c>
      <c r="E550" s="24" t="s">
        <v>29</v>
      </c>
      <c r="F550" s="24" t="s">
        <v>30</v>
      </c>
      <c r="G550" s="24" t="s">
        <v>31</v>
      </c>
      <c r="H550" s="24" t="s">
        <v>5847</v>
      </c>
      <c r="I550" s="24" t="s">
        <v>5848</v>
      </c>
      <c r="J550" s="24" t="s">
        <v>3610</v>
      </c>
      <c r="K550" s="24" t="s">
        <v>5849</v>
      </c>
      <c r="L550" s="24" t="s">
        <v>340</v>
      </c>
      <c r="M550" s="15"/>
      <c r="N550" s="15"/>
      <c r="O550" s="15"/>
      <c r="P550" s="15" t="s">
        <v>1192</v>
      </c>
      <c r="Q550" s="15"/>
      <c r="R550" s="15" t="s">
        <v>5850</v>
      </c>
      <c r="S550" s="24" t="s">
        <v>39</v>
      </c>
      <c r="T550" s="24" t="s">
        <v>39</v>
      </c>
      <c r="U550" s="24" t="s">
        <v>39</v>
      </c>
      <c r="V550" s="24" t="s">
        <v>39</v>
      </c>
      <c r="W550" s="24"/>
      <c r="X550" s="24"/>
      <c r="Y550" s="15"/>
      <c r="Z550" s="15"/>
      <c r="AA550" s="24"/>
      <c r="AB550" s="24"/>
      <c r="AC550" s="24"/>
      <c r="AD550" s="24"/>
      <c r="AE550" s="24"/>
      <c r="AF550" s="24"/>
      <c r="AG550" s="24"/>
      <c r="AH550" s="24"/>
    </row>
    <row r="551" spans="1:34" ht="60" x14ac:dyDescent="0.25">
      <c r="A551" s="24" t="str">
        <f>HYPERLINK("https://www.cpso.on.ca/DoctorDetails/Devanshu-Dolatrai-Desai/0043253-57231","Desai, Devanshu Dolatrai")</f>
        <v>Desai, Devanshu Dolatrai</v>
      </c>
      <c r="B551" s="25" t="s">
        <v>5851</v>
      </c>
      <c r="C551" s="24" t="s">
        <v>5852</v>
      </c>
      <c r="D551" s="24" t="s">
        <v>5853</v>
      </c>
      <c r="E551" s="24" t="s">
        <v>29</v>
      </c>
      <c r="F551" s="24" t="s">
        <v>30</v>
      </c>
      <c r="G551" s="24" t="s">
        <v>2275</v>
      </c>
      <c r="H551" s="24" t="s">
        <v>5854</v>
      </c>
      <c r="I551" s="24" t="s">
        <v>5855</v>
      </c>
      <c r="J551" s="24" t="s">
        <v>5856</v>
      </c>
      <c r="K551" s="24" t="s">
        <v>4720</v>
      </c>
      <c r="L551" s="24" t="s">
        <v>52</v>
      </c>
      <c r="M551" s="15" t="s">
        <v>5857</v>
      </c>
      <c r="N551" s="15"/>
      <c r="O551" s="15" t="s">
        <v>271</v>
      </c>
      <c r="P551" s="15" t="s">
        <v>3433</v>
      </c>
      <c r="Q551" s="15" t="s">
        <v>2909</v>
      </c>
      <c r="R551" s="15" t="s">
        <v>5858</v>
      </c>
      <c r="S551" s="24" t="s">
        <v>39</v>
      </c>
      <c r="T551" s="24" t="s">
        <v>39</v>
      </c>
      <c r="U551" s="24" t="s">
        <v>39</v>
      </c>
      <c r="V551" s="24" t="s">
        <v>39</v>
      </c>
      <c r="W551" s="24" t="s">
        <v>5859</v>
      </c>
      <c r="X551" s="24" t="s">
        <v>5860</v>
      </c>
      <c r="Y551" s="15" t="s">
        <v>5861</v>
      </c>
      <c r="Z551" s="15" t="s">
        <v>5862</v>
      </c>
      <c r="AA551" s="24"/>
      <c r="AB551" s="24"/>
      <c r="AC551" s="24"/>
      <c r="AD551" s="24"/>
      <c r="AE551" s="24"/>
      <c r="AF551" s="24"/>
      <c r="AG551" s="24"/>
      <c r="AH551" s="24"/>
    </row>
    <row r="552" spans="1:34" ht="60" x14ac:dyDescent="0.25">
      <c r="A552" s="24" t="str">
        <f>HYPERLINK("https://www.cpso.on.ca/DoctorDetails/Devayanee-Madhusudan-Bhide/0030513-42493","Bhide, Devayanee Madhusudan")</f>
        <v>Bhide, Devayanee Madhusudan</v>
      </c>
      <c r="B552" s="25" t="s">
        <v>5863</v>
      </c>
      <c r="C552" s="24" t="s">
        <v>5864</v>
      </c>
      <c r="D552" s="24" t="s">
        <v>5865</v>
      </c>
      <c r="E552" s="24" t="s">
        <v>29</v>
      </c>
      <c r="F552" s="24" t="s">
        <v>47</v>
      </c>
      <c r="G552" s="24" t="s">
        <v>2248</v>
      </c>
      <c r="H552" s="24" t="s">
        <v>5866</v>
      </c>
      <c r="I552" s="24" t="s">
        <v>5867</v>
      </c>
      <c r="J552" s="24" t="s">
        <v>5868</v>
      </c>
      <c r="K552" s="24" t="s">
        <v>3533</v>
      </c>
      <c r="L552" s="24" t="s">
        <v>52</v>
      </c>
      <c r="M552" s="15"/>
      <c r="N552" s="15"/>
      <c r="O552" s="15" t="s">
        <v>793</v>
      </c>
      <c r="P552" s="15" t="s">
        <v>1794</v>
      </c>
      <c r="Q552" s="15"/>
      <c r="R552" s="15" t="s">
        <v>5869</v>
      </c>
      <c r="S552" s="24" t="s">
        <v>39</v>
      </c>
      <c r="T552" s="24" t="s">
        <v>39</v>
      </c>
      <c r="U552" s="24" t="s">
        <v>39</v>
      </c>
      <c r="V552" s="24" t="s">
        <v>39</v>
      </c>
      <c r="W552" s="24"/>
      <c r="X552" s="24"/>
      <c r="Y552" s="15"/>
      <c r="Z552" s="15"/>
      <c r="AA552" s="24"/>
      <c r="AB552" s="24"/>
      <c r="AC552" s="24"/>
      <c r="AD552" s="24"/>
      <c r="AE552" s="24"/>
      <c r="AF552" s="24"/>
      <c r="AG552" s="24"/>
      <c r="AH552" s="24"/>
    </row>
    <row r="553" spans="1:34" ht="90" x14ac:dyDescent="0.25">
      <c r="A553" s="24" t="str">
        <f>HYPERLINK("https://www.cpso.on.ca/DoctorDetails/Devina-Maya-Wadhwa/0280823-98266","Wadhwa, Devina Maya")</f>
        <v>Wadhwa, Devina Maya</v>
      </c>
      <c r="B553" s="25" t="s">
        <v>5870</v>
      </c>
      <c r="C553" s="24" t="s">
        <v>5871</v>
      </c>
      <c r="D553" s="24" t="s">
        <v>545</v>
      </c>
      <c r="E553" s="24" t="s">
        <v>5872</v>
      </c>
      <c r="F553" s="24" t="s">
        <v>47</v>
      </c>
      <c r="G553" s="24" t="s">
        <v>5873</v>
      </c>
      <c r="H553" s="24" t="s">
        <v>2997</v>
      </c>
      <c r="I553" s="24" t="s">
        <v>5874</v>
      </c>
      <c r="J553" s="24" t="s">
        <v>5875</v>
      </c>
      <c r="K553" s="24"/>
      <c r="L553" s="24" t="s">
        <v>3849</v>
      </c>
      <c r="M553" s="15"/>
      <c r="N553" s="15"/>
      <c r="O553" s="15" t="s">
        <v>2315</v>
      </c>
      <c r="P553" s="15" t="s">
        <v>550</v>
      </c>
      <c r="Q553" s="15" t="s">
        <v>982</v>
      </c>
      <c r="R553" s="15" t="s">
        <v>5876</v>
      </c>
      <c r="S553" s="24" t="s">
        <v>39</v>
      </c>
      <c r="T553" s="24" t="s">
        <v>39</v>
      </c>
      <c r="U553" s="24" t="s">
        <v>39</v>
      </c>
      <c r="V553" s="24" t="s">
        <v>39</v>
      </c>
      <c r="W553" s="24" t="s">
        <v>5877</v>
      </c>
      <c r="X553" s="24" t="s">
        <v>5878</v>
      </c>
      <c r="Y553" s="15" t="s">
        <v>5879</v>
      </c>
      <c r="Z553" s="15" t="s">
        <v>5880</v>
      </c>
      <c r="AA553" s="24"/>
      <c r="AB553" s="24"/>
      <c r="AC553" s="24"/>
      <c r="AD553" s="24"/>
      <c r="AE553" s="24"/>
      <c r="AF553" s="24"/>
      <c r="AG553" s="24"/>
      <c r="AH553" s="24"/>
    </row>
    <row r="554" spans="1:34" ht="60" x14ac:dyDescent="0.25">
      <c r="A554" s="24" t="str">
        <f>HYPERLINK("https://www.cpso.on.ca/DoctorDetails/Dheemathie-Sushila-Jayasuriya/0036871-50847","Jayasuriya, Dheemathie Sushila")</f>
        <v>Jayasuriya, Dheemathie Sushila</v>
      </c>
      <c r="B554" s="25" t="s">
        <v>5881</v>
      </c>
      <c r="C554" s="24" t="s">
        <v>5882</v>
      </c>
      <c r="D554" s="24" t="s">
        <v>5883</v>
      </c>
      <c r="E554" s="24" t="s">
        <v>29</v>
      </c>
      <c r="F554" s="24" t="s">
        <v>47</v>
      </c>
      <c r="G554" s="24" t="s">
        <v>5884</v>
      </c>
      <c r="H554" s="24" t="s">
        <v>5885</v>
      </c>
      <c r="I554" s="24" t="s">
        <v>5886</v>
      </c>
      <c r="J554" s="24" t="s">
        <v>4975</v>
      </c>
      <c r="K554" s="24"/>
      <c r="L554" s="24" t="s">
        <v>84</v>
      </c>
      <c r="M554" s="15"/>
      <c r="N554" s="15" t="s">
        <v>5887</v>
      </c>
      <c r="O554" s="15" t="s">
        <v>5888</v>
      </c>
      <c r="P554" s="15" t="s">
        <v>5889</v>
      </c>
      <c r="Q554" s="15"/>
      <c r="R554" s="15" t="s">
        <v>5890</v>
      </c>
      <c r="S554" s="24" t="s">
        <v>39</v>
      </c>
      <c r="T554" s="24" t="s">
        <v>39</v>
      </c>
      <c r="U554" s="24" t="s">
        <v>39</v>
      </c>
      <c r="V554" s="24" t="s">
        <v>39</v>
      </c>
      <c r="W554" s="24"/>
      <c r="X554" s="24"/>
      <c r="Y554" s="15"/>
      <c r="Z554" s="15"/>
      <c r="AA554" s="24"/>
      <c r="AB554" s="24"/>
      <c r="AC554" s="24"/>
      <c r="AD554" s="24"/>
      <c r="AE554" s="24"/>
      <c r="AF554" s="24"/>
      <c r="AG554" s="24"/>
      <c r="AH554" s="24"/>
    </row>
    <row r="555" spans="1:34" ht="75" x14ac:dyDescent="0.25">
      <c r="A555" s="24" t="str">
        <f>HYPERLINK("https://www.cpso.on.ca/DoctorDetails/Dhiraj-Aggarwal/0200986-79039","Aggarwal, Dhiraj")</f>
        <v>Aggarwal, Dhiraj</v>
      </c>
      <c r="B555" s="25" t="s">
        <v>5891</v>
      </c>
      <c r="C555" s="24" t="s">
        <v>5892</v>
      </c>
      <c r="D555" s="24" t="s">
        <v>5893</v>
      </c>
      <c r="E555" s="24" t="s">
        <v>29</v>
      </c>
      <c r="F555" s="24" t="s">
        <v>30</v>
      </c>
      <c r="G555" s="24" t="s">
        <v>31</v>
      </c>
      <c r="H555" s="24" t="s">
        <v>5617</v>
      </c>
      <c r="I555" s="24" t="s">
        <v>5894</v>
      </c>
      <c r="J555" s="24" t="s">
        <v>5537</v>
      </c>
      <c r="K555" s="24" t="s">
        <v>5895</v>
      </c>
      <c r="L555" s="24" t="s">
        <v>84</v>
      </c>
      <c r="M555" s="15" t="s">
        <v>5896</v>
      </c>
      <c r="N555" s="15"/>
      <c r="O555" s="15" t="s">
        <v>2156</v>
      </c>
      <c r="P555" s="15" t="s">
        <v>880</v>
      </c>
      <c r="Q555" s="15" t="s">
        <v>1607</v>
      </c>
      <c r="R555" s="15" t="s">
        <v>5897</v>
      </c>
      <c r="S555" s="24" t="s">
        <v>39</v>
      </c>
      <c r="T555" s="24" t="s">
        <v>39</v>
      </c>
      <c r="U555" s="24" t="s">
        <v>39</v>
      </c>
      <c r="V555" s="24" t="s">
        <v>39</v>
      </c>
      <c r="W555" s="24" t="s">
        <v>5898</v>
      </c>
      <c r="X555" s="24" t="s">
        <v>5899</v>
      </c>
      <c r="Y555" s="15" t="s">
        <v>5900</v>
      </c>
      <c r="Z555" s="15" t="s">
        <v>5901</v>
      </c>
      <c r="AA555" s="24"/>
      <c r="AB555" s="24"/>
      <c r="AC555" s="24"/>
      <c r="AD555" s="24"/>
      <c r="AE555" s="24"/>
      <c r="AF555" s="24"/>
      <c r="AG555" s="24"/>
      <c r="AH555" s="24"/>
    </row>
    <row r="556" spans="1:34" x14ac:dyDescent="0.25">
      <c r="A556" s="24" t="str">
        <f>HYPERLINK("https://www.cpso.on.ca/DoctorDetails/Diamond-Allidina/0022942-27733","Allidina, Diamond")</f>
        <v>Allidina, Diamond</v>
      </c>
      <c r="B556" s="25" t="s">
        <v>5902</v>
      </c>
      <c r="C556" s="24" t="s">
        <v>5903</v>
      </c>
      <c r="D556" s="24" t="s">
        <v>5904</v>
      </c>
      <c r="E556" s="24" t="s">
        <v>29</v>
      </c>
      <c r="F556" s="24" t="s">
        <v>30</v>
      </c>
      <c r="G556" s="24" t="s">
        <v>5905</v>
      </c>
      <c r="H556" s="24" t="s">
        <v>5906</v>
      </c>
      <c r="I556" s="24" t="s">
        <v>5907</v>
      </c>
      <c r="J556" s="24" t="s">
        <v>5908</v>
      </c>
      <c r="K556" s="24"/>
      <c r="L556" s="24" t="s">
        <v>84</v>
      </c>
      <c r="M556" s="15"/>
      <c r="N556" s="15"/>
      <c r="O556" s="15"/>
      <c r="P556" s="15" t="s">
        <v>4862</v>
      </c>
      <c r="Q556" s="15"/>
      <c r="R556" s="15" t="s">
        <v>5909</v>
      </c>
      <c r="S556" s="24" t="s">
        <v>39</v>
      </c>
      <c r="T556" s="24" t="s">
        <v>39</v>
      </c>
      <c r="U556" s="24" t="s">
        <v>39</v>
      </c>
      <c r="V556" s="24" t="s">
        <v>39</v>
      </c>
      <c r="W556" s="24"/>
      <c r="X556" s="24"/>
      <c r="Y556" s="15"/>
      <c r="Z556" s="15"/>
      <c r="AA556" s="24"/>
      <c r="AB556" s="24"/>
      <c r="AC556" s="24"/>
      <c r="AD556" s="24"/>
      <c r="AE556" s="24"/>
      <c r="AF556" s="24"/>
      <c r="AG556" s="24"/>
      <c r="AH556" s="24"/>
    </row>
    <row r="557" spans="1:34" ht="30" x14ac:dyDescent="0.25">
      <c r="A557" s="24" t="str">
        <f>HYPERLINK("https://www.cpso.on.ca/DoctorDetails/Diamond-Mahedi-Kanji/0024091-28913","Kanji, Diamond Mahedi")</f>
        <v>Kanji, Diamond Mahedi</v>
      </c>
      <c r="B557" s="25" t="s">
        <v>5910</v>
      </c>
      <c r="C557" s="24" t="s">
        <v>5911</v>
      </c>
      <c r="D557" s="24" t="s">
        <v>5912</v>
      </c>
      <c r="E557" s="24" t="s">
        <v>29</v>
      </c>
      <c r="F557" s="24" t="s">
        <v>30</v>
      </c>
      <c r="G557" s="24" t="s">
        <v>5905</v>
      </c>
      <c r="H557" s="24" t="s">
        <v>5913</v>
      </c>
      <c r="I557" s="24" t="s">
        <v>5914</v>
      </c>
      <c r="J557" s="24" t="s">
        <v>5915</v>
      </c>
      <c r="K557" s="24" t="s">
        <v>5916</v>
      </c>
      <c r="L557" s="24" t="s">
        <v>52</v>
      </c>
      <c r="M557" s="15"/>
      <c r="N557" s="15"/>
      <c r="O557" s="15"/>
      <c r="P557" s="15" t="s">
        <v>2459</v>
      </c>
      <c r="Q557" s="15"/>
      <c r="R557" s="15" t="s">
        <v>5917</v>
      </c>
      <c r="S557" s="24" t="s">
        <v>39</v>
      </c>
      <c r="T557" s="24" t="s">
        <v>39</v>
      </c>
      <c r="U557" s="24" t="s">
        <v>39</v>
      </c>
      <c r="V557" s="24" t="s">
        <v>39</v>
      </c>
      <c r="W557" s="24"/>
      <c r="X557" s="24"/>
      <c r="Y557" s="15"/>
      <c r="Z557" s="15"/>
      <c r="AA557" s="24"/>
      <c r="AB557" s="24"/>
      <c r="AC557" s="24"/>
      <c r="AD557" s="24"/>
      <c r="AE557" s="24"/>
      <c r="AF557" s="24"/>
      <c r="AG557" s="24"/>
      <c r="AH557" s="24"/>
    </row>
    <row r="558" spans="1:34" ht="120" x14ac:dyDescent="0.25">
      <c r="A558" s="24" t="str">
        <f>HYPERLINK("https://www.cpso.on.ca/DoctorDetails/Diana-Felicia-Nicolici/0249246-89063","Nicolici, Diana Felicia")</f>
        <v>Nicolici, Diana Felicia</v>
      </c>
      <c r="B558" s="25" t="s">
        <v>5918</v>
      </c>
      <c r="C558" s="24" t="s">
        <v>846</v>
      </c>
      <c r="D558" s="24" t="s">
        <v>5919</v>
      </c>
      <c r="E558" s="24" t="s">
        <v>29</v>
      </c>
      <c r="F558" s="24" t="s">
        <v>47</v>
      </c>
      <c r="G558" s="24" t="s">
        <v>923</v>
      </c>
      <c r="H558" s="24" t="s">
        <v>5920</v>
      </c>
      <c r="I558" s="24" t="s">
        <v>5921</v>
      </c>
      <c r="J558" s="24" t="s">
        <v>5104</v>
      </c>
      <c r="K558" s="24" t="s">
        <v>5105</v>
      </c>
      <c r="L558" s="24" t="s">
        <v>36</v>
      </c>
      <c r="M558" s="15"/>
      <c r="N558" s="15"/>
      <c r="O558" s="15" t="s">
        <v>5922</v>
      </c>
      <c r="P558" s="15" t="s">
        <v>5923</v>
      </c>
      <c r="Q558" s="15" t="s">
        <v>5924</v>
      </c>
      <c r="R558" s="15" t="s">
        <v>5925</v>
      </c>
      <c r="S558" s="24" t="s">
        <v>39</v>
      </c>
      <c r="T558" s="24" t="s">
        <v>39</v>
      </c>
      <c r="U558" s="24" t="s">
        <v>39</v>
      </c>
      <c r="V558" s="24" t="s">
        <v>39</v>
      </c>
      <c r="W558" s="24" t="s">
        <v>5926</v>
      </c>
      <c r="X558" s="24" t="s">
        <v>5927</v>
      </c>
      <c r="Y558" s="15" t="s">
        <v>5928</v>
      </c>
      <c r="Z558" s="15" t="s">
        <v>5929</v>
      </c>
      <c r="AA558" s="24"/>
      <c r="AB558" s="24"/>
      <c r="AC558" s="24"/>
      <c r="AD558" s="24"/>
      <c r="AE558" s="24"/>
      <c r="AF558" s="24"/>
      <c r="AG558" s="24"/>
      <c r="AH558" s="24"/>
    </row>
    <row r="559" spans="1:34" ht="30" x14ac:dyDescent="0.25">
      <c r="A559" s="24" t="str">
        <f>HYPERLINK("https://www.cpso.on.ca/DoctorDetails/Diana-Grigoreva/0253228-90043","Grigoreva, Diana")</f>
        <v>Grigoreva, Diana</v>
      </c>
      <c r="B559" s="25" t="s">
        <v>5930</v>
      </c>
      <c r="C559" s="24" t="s">
        <v>5931</v>
      </c>
      <c r="D559" s="24" t="s">
        <v>5932</v>
      </c>
      <c r="E559" s="24" t="s">
        <v>29</v>
      </c>
      <c r="F559" s="24" t="s">
        <v>47</v>
      </c>
      <c r="G559" s="24" t="s">
        <v>873</v>
      </c>
      <c r="H559" s="24" t="s">
        <v>5933</v>
      </c>
      <c r="I559" s="24" t="s">
        <v>5934</v>
      </c>
      <c r="J559" s="24" t="s">
        <v>244</v>
      </c>
      <c r="K559" s="24" t="s">
        <v>5935</v>
      </c>
      <c r="L559" s="24" t="s">
        <v>36</v>
      </c>
      <c r="M559" s="15" t="s">
        <v>5936</v>
      </c>
      <c r="N559" s="15"/>
      <c r="O559" s="15" t="s">
        <v>4094</v>
      </c>
      <c r="P559" s="15" t="s">
        <v>5937</v>
      </c>
      <c r="Q559" s="15"/>
      <c r="R559" s="15" t="s">
        <v>5938</v>
      </c>
      <c r="S559" s="24" t="s">
        <v>39</v>
      </c>
      <c r="T559" s="24" t="s">
        <v>39</v>
      </c>
      <c r="U559" s="24" t="s">
        <v>39</v>
      </c>
      <c r="V559" s="24" t="s">
        <v>39</v>
      </c>
      <c r="W559" s="24"/>
      <c r="X559" s="24"/>
      <c r="Y559" s="15"/>
      <c r="Z559" s="15"/>
      <c r="AA559" s="24"/>
      <c r="AB559" s="24"/>
      <c r="AC559" s="24"/>
      <c r="AD559" s="24"/>
      <c r="AE559" s="24"/>
      <c r="AF559" s="24"/>
      <c r="AG559" s="24"/>
      <c r="AH559" s="24"/>
    </row>
    <row r="560" spans="1:34" ht="120" x14ac:dyDescent="0.25">
      <c r="A560" s="24" t="str">
        <f>HYPERLINK("https://www.cpso.on.ca/DoctorDetails/Diana-Kljenak/0050834-64813","Kljenak, Diana")</f>
        <v>Kljenak, Diana</v>
      </c>
      <c r="B560" s="25" t="s">
        <v>5939</v>
      </c>
      <c r="C560" s="24" t="s">
        <v>5940</v>
      </c>
      <c r="D560" s="24" t="s">
        <v>5941</v>
      </c>
      <c r="E560" s="24" t="s">
        <v>29</v>
      </c>
      <c r="F560" s="24" t="s">
        <v>47</v>
      </c>
      <c r="G560" s="24" t="s">
        <v>5942</v>
      </c>
      <c r="H560" s="24" t="s">
        <v>5943</v>
      </c>
      <c r="I560" s="24" t="s">
        <v>5944</v>
      </c>
      <c r="J560" s="24" t="s">
        <v>5945</v>
      </c>
      <c r="K560" s="24" t="s">
        <v>5783</v>
      </c>
      <c r="L560" s="24" t="s">
        <v>52</v>
      </c>
      <c r="M560" s="15" t="s">
        <v>5946</v>
      </c>
      <c r="N560" s="15"/>
      <c r="O560" s="15" t="s">
        <v>1867</v>
      </c>
      <c r="P560" s="15" t="s">
        <v>3954</v>
      </c>
      <c r="Q560" s="15" t="s">
        <v>5947</v>
      </c>
      <c r="R560" s="15" t="s">
        <v>5948</v>
      </c>
      <c r="S560" s="24" t="s">
        <v>39</v>
      </c>
      <c r="T560" s="24" t="s">
        <v>39</v>
      </c>
      <c r="U560" s="24" t="s">
        <v>39</v>
      </c>
      <c r="V560" s="24" t="s">
        <v>39</v>
      </c>
      <c r="W560" s="24" t="s">
        <v>5949</v>
      </c>
      <c r="X560" s="24" t="s">
        <v>5950</v>
      </c>
      <c r="Y560" s="15" t="s">
        <v>5951</v>
      </c>
      <c r="Z560" s="15" t="s">
        <v>5952</v>
      </c>
      <c r="AA560" s="24"/>
      <c r="AB560" s="24"/>
      <c r="AC560" s="24"/>
      <c r="AD560" s="24"/>
      <c r="AE560" s="24"/>
      <c r="AF560" s="24"/>
      <c r="AG560" s="24"/>
      <c r="AH560" s="24"/>
    </row>
    <row r="561" spans="1:34" ht="75" x14ac:dyDescent="0.25">
      <c r="A561" s="24" t="str">
        <f>HYPERLINK("https://www.cpso.on.ca/DoctorDetails/Diana-Sabina-Blank/0232728-84996","Blank, Diana Sabina")</f>
        <v>Blank, Diana Sabina</v>
      </c>
      <c r="B561" s="25" t="s">
        <v>5953</v>
      </c>
      <c r="C561" s="24" t="s">
        <v>647</v>
      </c>
      <c r="D561" s="24" t="s">
        <v>648</v>
      </c>
      <c r="E561" s="24" t="s">
        <v>29</v>
      </c>
      <c r="F561" s="24" t="s">
        <v>47</v>
      </c>
      <c r="G561" s="24" t="s">
        <v>923</v>
      </c>
      <c r="H561" s="24" t="s">
        <v>2613</v>
      </c>
      <c r="I561" s="24" t="s">
        <v>5954</v>
      </c>
      <c r="J561" s="24" t="s">
        <v>5955</v>
      </c>
      <c r="K561" s="24"/>
      <c r="L561" s="24" t="s">
        <v>52</v>
      </c>
      <c r="M561" s="15"/>
      <c r="N561" s="15"/>
      <c r="O561" s="15"/>
      <c r="P561" s="15" t="s">
        <v>654</v>
      </c>
      <c r="Q561" s="15" t="s">
        <v>655</v>
      </c>
      <c r="R561" s="15" t="s">
        <v>656</v>
      </c>
      <c r="S561" s="24" t="s">
        <v>39</v>
      </c>
      <c r="T561" s="24" t="s">
        <v>39</v>
      </c>
      <c r="U561" s="24" t="s">
        <v>39</v>
      </c>
      <c r="V561" s="24" t="s">
        <v>39</v>
      </c>
      <c r="W561" s="24" t="s">
        <v>5956</v>
      </c>
      <c r="X561" s="24" t="s">
        <v>5957</v>
      </c>
      <c r="Y561" s="15" t="s">
        <v>5958</v>
      </c>
      <c r="Z561" s="15" t="s">
        <v>5959</v>
      </c>
      <c r="AA561" s="24"/>
      <c r="AB561" s="24"/>
      <c r="AC561" s="24"/>
      <c r="AD561" s="24"/>
      <c r="AE561" s="24"/>
      <c r="AF561" s="24"/>
      <c r="AG561" s="24"/>
      <c r="AH561" s="24"/>
    </row>
    <row r="562" spans="1:34" ht="45" x14ac:dyDescent="0.25">
      <c r="A562" s="24" t="str">
        <f>HYPERLINK("https://www.cpso.on.ca/DoctorDetails/Diane-Audrey-Philipp/0048574-62552","Philipp, Diane Audrey")</f>
        <v>Philipp, Diane Audrey</v>
      </c>
      <c r="B562" s="25" t="s">
        <v>5960</v>
      </c>
      <c r="C562" s="24" t="s">
        <v>5961</v>
      </c>
      <c r="D562" s="24" t="s">
        <v>5962</v>
      </c>
      <c r="E562" s="24" t="s">
        <v>29</v>
      </c>
      <c r="F562" s="24" t="s">
        <v>47</v>
      </c>
      <c r="G562" s="24" t="s">
        <v>813</v>
      </c>
      <c r="H562" s="24" t="s">
        <v>1956</v>
      </c>
      <c r="I562" s="24" t="s">
        <v>5963</v>
      </c>
      <c r="J562" s="24" t="s">
        <v>5964</v>
      </c>
      <c r="K562" s="24" t="s">
        <v>5723</v>
      </c>
      <c r="L562" s="24" t="s">
        <v>52</v>
      </c>
      <c r="M562" s="15"/>
      <c r="N562" s="15" t="s">
        <v>5614</v>
      </c>
      <c r="O562" s="15"/>
      <c r="P562" s="15" t="s">
        <v>5965</v>
      </c>
      <c r="Q562" s="15" t="s">
        <v>5966</v>
      </c>
      <c r="R562" s="15" t="s">
        <v>5967</v>
      </c>
      <c r="S562" s="24" t="s">
        <v>39</v>
      </c>
      <c r="T562" s="24" t="s">
        <v>39</v>
      </c>
      <c r="U562" s="24" t="s">
        <v>39</v>
      </c>
      <c r="V562" s="24" t="s">
        <v>39</v>
      </c>
      <c r="W562" s="24"/>
      <c r="X562" s="24"/>
      <c r="Y562" s="15"/>
      <c r="Z562" s="15"/>
      <c r="AA562" s="24"/>
      <c r="AB562" s="24"/>
      <c r="AC562" s="24"/>
      <c r="AD562" s="24"/>
      <c r="AE562" s="24"/>
      <c r="AF562" s="24"/>
      <c r="AG562" s="24"/>
      <c r="AH562" s="24"/>
    </row>
    <row r="563" spans="1:34" x14ac:dyDescent="0.25">
      <c r="A563" s="24" t="str">
        <f>HYPERLINK("https://www.cpso.on.ca/DoctorDetails/Diane-Benoit/0042521-56499","Benoit, Diane")</f>
        <v>Benoit, Diane</v>
      </c>
      <c r="B563" s="25" t="s">
        <v>5968</v>
      </c>
      <c r="C563" s="24" t="s">
        <v>5969</v>
      </c>
      <c r="D563" s="24" t="s">
        <v>5970</v>
      </c>
      <c r="E563" s="24" t="s">
        <v>29</v>
      </c>
      <c r="F563" s="24" t="s">
        <v>47</v>
      </c>
      <c r="G563" s="24" t="s">
        <v>813</v>
      </c>
      <c r="H563" s="24" t="s">
        <v>5971</v>
      </c>
      <c r="I563" s="24" t="s">
        <v>5972</v>
      </c>
      <c r="J563" s="24" t="s">
        <v>5973</v>
      </c>
      <c r="K563" s="24" t="s">
        <v>5974</v>
      </c>
      <c r="L563" s="24" t="s">
        <v>52</v>
      </c>
      <c r="M563" s="15"/>
      <c r="N563" s="15"/>
      <c r="O563" s="15" t="s">
        <v>121</v>
      </c>
      <c r="P563" s="15" t="s">
        <v>527</v>
      </c>
      <c r="Q563" s="15"/>
      <c r="R563" s="15" t="s">
        <v>5975</v>
      </c>
      <c r="S563" s="24" t="s">
        <v>39</v>
      </c>
      <c r="T563" s="24" t="s">
        <v>39</v>
      </c>
      <c r="U563" s="24" t="s">
        <v>39</v>
      </c>
      <c r="V563" s="24" t="s">
        <v>39</v>
      </c>
      <c r="W563" s="24"/>
      <c r="X563" s="24"/>
      <c r="Y563" s="15"/>
      <c r="Z563" s="15"/>
      <c r="AA563" s="24"/>
      <c r="AB563" s="24"/>
      <c r="AC563" s="24"/>
      <c r="AD563" s="24"/>
      <c r="AE563" s="24"/>
      <c r="AF563" s="24"/>
      <c r="AG563" s="24"/>
      <c r="AH563" s="24"/>
    </row>
    <row r="564" spans="1:34" ht="60" x14ac:dyDescent="0.25">
      <c r="A564" s="24" t="str">
        <f>HYPERLINK("https://www.cpso.on.ca/DoctorDetails/Diane-Caron-Meschino/0041710-55686","Meschino, Diane Caron")</f>
        <v>Meschino, Diane Caron</v>
      </c>
      <c r="B564" s="25" t="s">
        <v>5976</v>
      </c>
      <c r="C564" s="24" t="s">
        <v>5977</v>
      </c>
      <c r="D564" s="24" t="s">
        <v>5978</v>
      </c>
      <c r="E564" s="24" t="s">
        <v>29</v>
      </c>
      <c r="F564" s="24" t="s">
        <v>47</v>
      </c>
      <c r="G564" s="24" t="s">
        <v>31</v>
      </c>
      <c r="H564" s="24" t="s">
        <v>2904</v>
      </c>
      <c r="I564" s="24" t="s">
        <v>5979</v>
      </c>
      <c r="J564" s="24" t="s">
        <v>5980</v>
      </c>
      <c r="K564" s="24" t="s">
        <v>51</v>
      </c>
      <c r="L564" s="24" t="s">
        <v>52</v>
      </c>
      <c r="M564" s="15"/>
      <c r="N564" s="15"/>
      <c r="O564" s="15" t="s">
        <v>1110</v>
      </c>
      <c r="P564" s="15" t="s">
        <v>5981</v>
      </c>
      <c r="Q564" s="15" t="s">
        <v>5982</v>
      </c>
      <c r="R564" s="15" t="s">
        <v>5983</v>
      </c>
      <c r="S564" s="24" t="s">
        <v>39</v>
      </c>
      <c r="T564" s="24" t="s">
        <v>39</v>
      </c>
      <c r="U564" s="24" t="s">
        <v>39</v>
      </c>
      <c r="V564" s="24" t="s">
        <v>39</v>
      </c>
      <c r="W564" s="24"/>
      <c r="X564" s="24"/>
      <c r="Y564" s="15"/>
      <c r="Z564" s="15"/>
      <c r="AA564" s="24"/>
      <c r="AB564" s="24"/>
      <c r="AC564" s="24"/>
      <c r="AD564" s="24"/>
      <c r="AE564" s="24"/>
      <c r="AF564" s="24"/>
      <c r="AG564" s="24"/>
      <c r="AH564" s="24"/>
    </row>
    <row r="565" spans="1:34" x14ac:dyDescent="0.25">
      <c r="A565" s="24" t="str">
        <f>HYPERLINK("https://www.cpso.on.ca/DoctorDetails/Diane-Elizabeth-Eastwood/0061493-80074","Eastwood, Diane Elizabeth")</f>
        <v>Eastwood, Diane Elizabeth</v>
      </c>
      <c r="B565" s="25" t="s">
        <v>5984</v>
      </c>
      <c r="C565" s="24" t="s">
        <v>5985</v>
      </c>
      <c r="D565" s="24" t="s">
        <v>5986</v>
      </c>
      <c r="E565" s="24" t="s">
        <v>29</v>
      </c>
      <c r="F565" s="24" t="s">
        <v>47</v>
      </c>
      <c r="G565" s="24" t="s">
        <v>31</v>
      </c>
      <c r="H565" s="24" t="s">
        <v>5669</v>
      </c>
      <c r="I565" s="24" t="s">
        <v>5987</v>
      </c>
      <c r="J565" s="24" t="s">
        <v>5988</v>
      </c>
      <c r="K565" s="24" t="s">
        <v>2717</v>
      </c>
      <c r="L565" s="24" t="s">
        <v>135</v>
      </c>
      <c r="M565" s="15"/>
      <c r="N565" s="15"/>
      <c r="O565" s="15"/>
      <c r="P565" s="15" t="s">
        <v>2864</v>
      </c>
      <c r="Q565" s="15"/>
      <c r="R565" s="15" t="s">
        <v>5989</v>
      </c>
      <c r="S565" s="24" t="s">
        <v>39</v>
      </c>
      <c r="T565" s="24" t="s">
        <v>39</v>
      </c>
      <c r="U565" s="24" t="s">
        <v>39</v>
      </c>
      <c r="V565" s="24" t="s">
        <v>39</v>
      </c>
      <c r="W565" s="24"/>
      <c r="X565" s="24"/>
      <c r="Y565" s="15"/>
      <c r="Z565" s="15"/>
      <c r="AA565" s="24"/>
      <c r="AB565" s="24"/>
      <c r="AC565" s="24"/>
      <c r="AD565" s="24"/>
      <c r="AE565" s="24"/>
      <c r="AF565" s="24"/>
      <c r="AG565" s="24"/>
      <c r="AH565" s="24"/>
    </row>
    <row r="566" spans="1:34" ht="75" x14ac:dyDescent="0.25">
      <c r="A566" s="24" t="str">
        <f>HYPERLINK("https://www.cpso.on.ca/DoctorDetails/Diane-Katherine-Whitney/0045625-59603","Whitney, Diane Katherine")</f>
        <v>Whitney, Diane Katherine</v>
      </c>
      <c r="B566" s="25" t="s">
        <v>5990</v>
      </c>
      <c r="C566" s="24" t="s">
        <v>2286</v>
      </c>
      <c r="D566" s="24" t="s">
        <v>5991</v>
      </c>
      <c r="E566" s="24" t="s">
        <v>29</v>
      </c>
      <c r="F566" s="24" t="s">
        <v>47</v>
      </c>
      <c r="G566" s="24" t="s">
        <v>31</v>
      </c>
      <c r="H566" s="24" t="s">
        <v>5992</v>
      </c>
      <c r="I566" s="24" t="s">
        <v>5993</v>
      </c>
      <c r="J566" s="24" t="s">
        <v>5994</v>
      </c>
      <c r="K566" s="24" t="s">
        <v>5995</v>
      </c>
      <c r="L566" s="24" t="s">
        <v>3849</v>
      </c>
      <c r="M566" s="15" t="s">
        <v>5996</v>
      </c>
      <c r="N566" s="15"/>
      <c r="O566" s="15" t="s">
        <v>2315</v>
      </c>
      <c r="P566" s="15" t="s">
        <v>3954</v>
      </c>
      <c r="Q566" s="15" t="s">
        <v>5997</v>
      </c>
      <c r="R566" s="15" t="s">
        <v>5998</v>
      </c>
      <c r="S566" s="24" t="s">
        <v>39</v>
      </c>
      <c r="T566" s="24" t="s">
        <v>39</v>
      </c>
      <c r="U566" s="24" t="s">
        <v>39</v>
      </c>
      <c r="V566" s="24" t="s">
        <v>39</v>
      </c>
      <c r="W566" s="24" t="s">
        <v>5999</v>
      </c>
      <c r="X566" s="24" t="s">
        <v>6000</v>
      </c>
      <c r="Y566" s="15" t="s">
        <v>6001</v>
      </c>
      <c r="Z566" s="15" t="s">
        <v>6002</v>
      </c>
      <c r="AA566" s="24"/>
      <c r="AB566" s="24"/>
      <c r="AC566" s="24"/>
      <c r="AD566" s="24"/>
      <c r="AE566" s="24"/>
      <c r="AF566" s="24"/>
      <c r="AG566" s="24"/>
      <c r="AH566" s="24"/>
    </row>
    <row r="567" spans="1:34" x14ac:dyDescent="0.25">
      <c r="A567" s="24" t="str">
        <f>HYPERLINK("https://www.cpso.on.ca/DoctorDetails/Diane-Morissette/0232458-85156","Morissette, Diane")</f>
        <v>Morissette, Diane</v>
      </c>
      <c r="B567" s="25" t="s">
        <v>6003</v>
      </c>
      <c r="C567" s="24" t="s">
        <v>6004</v>
      </c>
      <c r="D567" s="24" t="s">
        <v>4401</v>
      </c>
      <c r="E567" s="24" t="s">
        <v>29</v>
      </c>
      <c r="F567" s="24" t="s">
        <v>47</v>
      </c>
      <c r="G567" s="24" t="s">
        <v>813</v>
      </c>
      <c r="H567" s="24" t="s">
        <v>6005</v>
      </c>
      <c r="I567" s="24" t="s">
        <v>6006</v>
      </c>
      <c r="J567" s="24" t="s">
        <v>6007</v>
      </c>
      <c r="K567" s="24" t="s">
        <v>6008</v>
      </c>
      <c r="L567" s="24" t="s">
        <v>84</v>
      </c>
      <c r="M567" s="15" t="s">
        <v>6009</v>
      </c>
      <c r="N567" s="15" t="s">
        <v>710</v>
      </c>
      <c r="O567" s="15" t="s">
        <v>6010</v>
      </c>
      <c r="P567" s="15" t="s">
        <v>1149</v>
      </c>
      <c r="Q567" s="15"/>
      <c r="R567" s="15" t="s">
        <v>6011</v>
      </c>
      <c r="S567" s="24" t="s">
        <v>39</v>
      </c>
      <c r="T567" s="24" t="s">
        <v>39</v>
      </c>
      <c r="U567" s="24" t="s">
        <v>39</v>
      </c>
      <c r="V567" s="24" t="s">
        <v>39</v>
      </c>
      <c r="W567" s="24"/>
      <c r="X567" s="24"/>
      <c r="Y567" s="15"/>
      <c r="Z567" s="15"/>
      <c r="AA567" s="24"/>
      <c r="AB567" s="24"/>
      <c r="AC567" s="24"/>
      <c r="AD567" s="24"/>
      <c r="AE567" s="24"/>
      <c r="AF567" s="24"/>
      <c r="AG567" s="24"/>
      <c r="AH567" s="24"/>
    </row>
    <row r="568" spans="1:34" ht="60" x14ac:dyDescent="0.25">
      <c r="A568" s="24" t="str">
        <f>HYPERLINK("https://www.cpso.on.ca/DoctorDetails/Dianne-Angela-LezonGiacomelli/0041765-55741","Lezon-Giacomelli, Dianne Angela")</f>
        <v>Lezon-Giacomelli, Dianne Angela</v>
      </c>
      <c r="B568" s="25" t="s">
        <v>6012</v>
      </c>
      <c r="C568" s="24" t="s">
        <v>2902</v>
      </c>
      <c r="D568" s="24" t="s">
        <v>6013</v>
      </c>
      <c r="E568" s="15" t="s">
        <v>6014</v>
      </c>
      <c r="F568" s="24" t="s">
        <v>47</v>
      </c>
      <c r="G568" s="24" t="s">
        <v>31</v>
      </c>
      <c r="H568" s="24" t="s">
        <v>2904</v>
      </c>
      <c r="I568" s="24" t="s">
        <v>6015</v>
      </c>
      <c r="J568" s="24" t="s">
        <v>5104</v>
      </c>
      <c r="K568" s="24" t="s">
        <v>5105</v>
      </c>
      <c r="L568" s="24" t="s">
        <v>36</v>
      </c>
      <c r="M568" s="15" t="s">
        <v>6016</v>
      </c>
      <c r="N568" s="15"/>
      <c r="O568" s="15" t="s">
        <v>6017</v>
      </c>
      <c r="P568" s="15" t="s">
        <v>6018</v>
      </c>
      <c r="Q568" s="15" t="s">
        <v>6019</v>
      </c>
      <c r="R568" s="15" t="s">
        <v>6020</v>
      </c>
      <c r="S568" s="24" t="s">
        <v>39</v>
      </c>
      <c r="T568" s="24" t="s">
        <v>39</v>
      </c>
      <c r="U568" s="24" t="s">
        <v>39</v>
      </c>
      <c r="V568" s="24" t="s">
        <v>39</v>
      </c>
      <c r="W568" s="24"/>
      <c r="X568" s="24"/>
      <c r="Y568" s="15"/>
      <c r="Z568" s="15"/>
      <c r="AA568" s="24"/>
      <c r="AB568" s="24"/>
      <c r="AC568" s="24"/>
      <c r="AD568" s="24"/>
      <c r="AE568" s="24"/>
      <c r="AF568" s="24"/>
      <c r="AG568" s="24"/>
      <c r="AH568" s="24"/>
    </row>
    <row r="569" spans="1:34" ht="45" x14ac:dyDescent="0.25">
      <c r="A569" s="24" t="str">
        <f>HYPERLINK("https://www.cpso.on.ca/DoctorDetails/Dijana-Oliver/0044654-58632","Oliver, Dijana")</f>
        <v>Oliver, Dijana</v>
      </c>
      <c r="B569" s="25" t="s">
        <v>6021</v>
      </c>
      <c r="C569" s="24" t="s">
        <v>3161</v>
      </c>
      <c r="D569" s="24" t="s">
        <v>5466</v>
      </c>
      <c r="E569" s="24" t="s">
        <v>6022</v>
      </c>
      <c r="F569" s="24" t="s">
        <v>47</v>
      </c>
      <c r="G569" s="24" t="s">
        <v>1566</v>
      </c>
      <c r="H569" s="24" t="s">
        <v>6023</v>
      </c>
      <c r="I569" s="24" t="s">
        <v>6024</v>
      </c>
      <c r="J569" s="24" t="s">
        <v>6025</v>
      </c>
      <c r="K569" s="24"/>
      <c r="L569" s="24" t="s">
        <v>340</v>
      </c>
      <c r="M569" s="15"/>
      <c r="N569" s="15"/>
      <c r="O569" s="15" t="s">
        <v>1914</v>
      </c>
      <c r="P569" s="15" t="s">
        <v>1033</v>
      </c>
      <c r="Q569" s="15"/>
      <c r="R569" s="15" t="s">
        <v>5471</v>
      </c>
      <c r="S569" s="24" t="s">
        <v>39</v>
      </c>
      <c r="T569" s="24" t="s">
        <v>39</v>
      </c>
      <c r="U569" s="24" t="s">
        <v>39</v>
      </c>
      <c r="V569" s="24" t="s">
        <v>39</v>
      </c>
      <c r="W569" s="24" t="s">
        <v>6026</v>
      </c>
      <c r="X569" s="24" t="s">
        <v>6027</v>
      </c>
      <c r="Y569" s="15" t="s">
        <v>6028</v>
      </c>
      <c r="Z569" s="15" t="s">
        <v>6029</v>
      </c>
      <c r="AA569" s="24"/>
      <c r="AB569" s="24"/>
      <c r="AC569" s="24"/>
      <c r="AD569" s="24"/>
      <c r="AE569" s="24"/>
      <c r="AF569" s="24"/>
      <c r="AG569" s="24"/>
      <c r="AH569" s="24"/>
    </row>
    <row r="570" spans="1:34" ht="45" x14ac:dyDescent="0.25">
      <c r="A570" s="24" t="str">
        <f>HYPERLINK("https://www.cpso.on.ca/DoctorDetails/Dilkhush-Dhanjibhai-Panjwani/0042681-56659","Panjwani, Dilkhush Dhanjibhai")</f>
        <v>Panjwani, Dilkhush Dhanjibhai</v>
      </c>
      <c r="B570" s="25" t="s">
        <v>6030</v>
      </c>
      <c r="C570" s="24" t="s">
        <v>6031</v>
      </c>
      <c r="D570" s="24" t="s">
        <v>6032</v>
      </c>
      <c r="E570" s="24" t="s">
        <v>29</v>
      </c>
      <c r="F570" s="24" t="s">
        <v>30</v>
      </c>
      <c r="G570" s="24" t="s">
        <v>6033</v>
      </c>
      <c r="H570" s="24" t="s">
        <v>6034</v>
      </c>
      <c r="I570" s="24" t="s">
        <v>6035</v>
      </c>
      <c r="J570" s="24" t="s">
        <v>6036</v>
      </c>
      <c r="K570" s="24" t="s">
        <v>6037</v>
      </c>
      <c r="L570" s="24" t="s">
        <v>52</v>
      </c>
      <c r="M570" s="15"/>
      <c r="N570" s="15"/>
      <c r="O570" s="15" t="s">
        <v>5922</v>
      </c>
      <c r="P570" s="15" t="s">
        <v>6038</v>
      </c>
      <c r="Q570" s="15"/>
      <c r="R570" s="15" t="s">
        <v>6039</v>
      </c>
      <c r="S570" s="24" t="s">
        <v>39</v>
      </c>
      <c r="T570" s="24" t="s">
        <v>39</v>
      </c>
      <c r="U570" s="24" t="s">
        <v>39</v>
      </c>
      <c r="V570" s="24" t="s">
        <v>39</v>
      </c>
      <c r="W570" s="24" t="s">
        <v>6040</v>
      </c>
      <c r="X570" s="24" t="s">
        <v>6041</v>
      </c>
      <c r="Y570" s="15" t="s">
        <v>6042</v>
      </c>
      <c r="Z570" s="15" t="s">
        <v>6043</v>
      </c>
      <c r="AA570" s="24"/>
      <c r="AB570" s="24"/>
      <c r="AC570" s="24"/>
      <c r="AD570" s="24"/>
      <c r="AE570" s="24"/>
      <c r="AF570" s="24"/>
      <c r="AG570" s="24"/>
      <c r="AH570" s="24"/>
    </row>
    <row r="571" spans="1:34" ht="90" x14ac:dyDescent="0.25">
      <c r="A571" s="24" t="str">
        <f>HYPERLINK("https://www.cpso.on.ca/DoctorDetails/Dinesh-Benjamin/0285705-100015","Benjamin, Dinesh")</f>
        <v>Benjamin, Dinesh</v>
      </c>
      <c r="B571" s="25" t="s">
        <v>6044</v>
      </c>
      <c r="C571" s="24" t="s">
        <v>6045</v>
      </c>
      <c r="D571" s="24" t="s">
        <v>6046</v>
      </c>
      <c r="E571" s="24" t="s">
        <v>29</v>
      </c>
      <c r="F571" s="24" t="s">
        <v>30</v>
      </c>
      <c r="G571" s="24" t="s">
        <v>31</v>
      </c>
      <c r="H571" s="24" t="s">
        <v>6047</v>
      </c>
      <c r="I571" s="24" t="s">
        <v>6048</v>
      </c>
      <c r="J571" s="24" t="s">
        <v>6049</v>
      </c>
      <c r="K571" s="24" t="s">
        <v>6050</v>
      </c>
      <c r="L571" s="24" t="s">
        <v>152</v>
      </c>
      <c r="M571" s="15" t="s">
        <v>6051</v>
      </c>
      <c r="N571" s="15"/>
      <c r="O571" s="15" t="s">
        <v>6052</v>
      </c>
      <c r="P571" s="15" t="s">
        <v>6053</v>
      </c>
      <c r="Q571" s="15"/>
      <c r="R571" s="15" t="s">
        <v>6054</v>
      </c>
      <c r="S571" s="24" t="s">
        <v>71</v>
      </c>
      <c r="T571" s="24" t="s">
        <v>39</v>
      </c>
      <c r="U571" s="24" t="s">
        <v>39</v>
      </c>
      <c r="V571" s="24" t="s">
        <v>39</v>
      </c>
      <c r="W571" s="24" t="s">
        <v>6055</v>
      </c>
      <c r="X571" s="24" t="s">
        <v>6056</v>
      </c>
      <c r="Y571" s="15" t="s">
        <v>6057</v>
      </c>
      <c r="Z571" s="15" t="s">
        <v>6058</v>
      </c>
      <c r="AA571" s="24"/>
      <c r="AB571" s="24"/>
      <c r="AC571" s="24"/>
      <c r="AD571" s="24"/>
      <c r="AE571" s="24"/>
      <c r="AF571" s="24"/>
      <c r="AG571" s="24"/>
      <c r="AH571" s="24"/>
    </row>
    <row r="572" spans="1:34" ht="90" x14ac:dyDescent="0.25">
      <c r="A572" s="24" t="str">
        <f>HYPERLINK("https://www.cpso.on.ca/DoctorDetails/Dino-Santoro/0193956-77854","Santoro, Dino")</f>
        <v>Santoro, Dino</v>
      </c>
      <c r="B572" s="25" t="s">
        <v>6059</v>
      </c>
      <c r="C572" s="24" t="s">
        <v>921</v>
      </c>
      <c r="D572" s="24" t="s">
        <v>922</v>
      </c>
      <c r="E572" s="24" t="s">
        <v>29</v>
      </c>
      <c r="F572" s="24" t="s">
        <v>30</v>
      </c>
      <c r="G572" s="24" t="s">
        <v>31</v>
      </c>
      <c r="H572" s="24" t="s">
        <v>6060</v>
      </c>
      <c r="I572" s="24" t="s">
        <v>6061</v>
      </c>
      <c r="J572" s="24" t="s">
        <v>6062</v>
      </c>
      <c r="K572" s="24" t="s">
        <v>6063</v>
      </c>
      <c r="L572" s="24"/>
      <c r="M572" s="15" t="s">
        <v>6064</v>
      </c>
      <c r="N572" s="15" t="s">
        <v>1449</v>
      </c>
      <c r="O572" s="15"/>
      <c r="P572" s="15" t="s">
        <v>488</v>
      </c>
      <c r="Q572" s="15" t="s">
        <v>6065</v>
      </c>
      <c r="R572" s="15" t="s">
        <v>929</v>
      </c>
      <c r="S572" s="24" t="s">
        <v>39</v>
      </c>
      <c r="T572" s="24" t="s">
        <v>39</v>
      </c>
      <c r="U572" s="24" t="s">
        <v>39</v>
      </c>
      <c r="V572" s="24" t="s">
        <v>39</v>
      </c>
      <c r="W572" s="24"/>
      <c r="X572" s="24"/>
      <c r="Y572" s="15"/>
      <c r="Z572" s="15"/>
      <c r="AA572" s="24"/>
      <c r="AB572" s="24"/>
      <c r="AC572" s="24"/>
      <c r="AD572" s="24"/>
      <c r="AE572" s="24"/>
      <c r="AF572" s="24"/>
      <c r="AG572" s="24"/>
      <c r="AH572" s="24"/>
    </row>
    <row r="573" spans="1:34" x14ac:dyDescent="0.25">
      <c r="A573" s="24" t="str">
        <f>HYPERLINK("https://www.cpso.on.ca/DoctorDetails/Dixy-Lee-West/0044909-58887","West, Dixy Lee")</f>
        <v>West, Dixy Lee</v>
      </c>
      <c r="B573" s="25" t="s">
        <v>6066</v>
      </c>
      <c r="C573" s="24" t="s">
        <v>6067</v>
      </c>
      <c r="D573" s="24" t="s">
        <v>4957</v>
      </c>
      <c r="E573" s="24" t="s">
        <v>29</v>
      </c>
      <c r="F573" s="24" t="s">
        <v>47</v>
      </c>
      <c r="G573" s="24" t="s">
        <v>31</v>
      </c>
      <c r="H573" s="24" t="s">
        <v>6068</v>
      </c>
      <c r="I573" s="24" t="s">
        <v>6069</v>
      </c>
      <c r="J573" s="24" t="s">
        <v>6070</v>
      </c>
      <c r="K573" s="24" t="s">
        <v>6071</v>
      </c>
      <c r="L573" s="24" t="s">
        <v>84</v>
      </c>
      <c r="M573" s="15"/>
      <c r="N573" s="15"/>
      <c r="O573" s="15"/>
      <c r="P573" s="15" t="s">
        <v>2293</v>
      </c>
      <c r="Q573" s="15" t="s">
        <v>3290</v>
      </c>
      <c r="R573" s="15" t="s">
        <v>6072</v>
      </c>
      <c r="S573" s="24" t="s">
        <v>39</v>
      </c>
      <c r="T573" s="24" t="s">
        <v>39</v>
      </c>
      <c r="U573" s="24" t="s">
        <v>39</v>
      </c>
      <c r="V573" s="24" t="s">
        <v>39</v>
      </c>
      <c r="W573" s="24"/>
      <c r="X573" s="24"/>
      <c r="Y573" s="15"/>
      <c r="Z573" s="15"/>
      <c r="AA573" s="24"/>
      <c r="AB573" s="24"/>
      <c r="AC573" s="24"/>
      <c r="AD573" s="24"/>
      <c r="AE573" s="24"/>
      <c r="AF573" s="24"/>
      <c r="AG573" s="24"/>
      <c r="AH573" s="24"/>
    </row>
    <row r="574" spans="1:34" ht="30" x14ac:dyDescent="0.25">
      <c r="A574" s="24" t="str">
        <f>HYPERLINK("https://www.cpso.on.ca/DoctorDetails/Djurdjica-Laurencic/0271522-94868","Laurencic, Djurdjica")</f>
        <v>Laurencic, Djurdjica</v>
      </c>
      <c r="B574" s="25" t="s">
        <v>6073</v>
      </c>
      <c r="C574" s="24" t="s">
        <v>6074</v>
      </c>
      <c r="D574" s="24" t="s">
        <v>6075</v>
      </c>
      <c r="E574" s="24" t="s">
        <v>29</v>
      </c>
      <c r="F574" s="24" t="s">
        <v>47</v>
      </c>
      <c r="G574" s="24" t="s">
        <v>5822</v>
      </c>
      <c r="H574" s="24" t="s">
        <v>6076</v>
      </c>
      <c r="I574" s="24" t="s">
        <v>6077</v>
      </c>
      <c r="J574" s="24" t="s">
        <v>6078</v>
      </c>
      <c r="K574" s="24" t="s">
        <v>652</v>
      </c>
      <c r="L574" s="24" t="s">
        <v>36</v>
      </c>
      <c r="M574" s="15" t="s">
        <v>6079</v>
      </c>
      <c r="N574" s="15"/>
      <c r="O574" s="15" t="s">
        <v>6080</v>
      </c>
      <c r="P574" s="15" t="s">
        <v>590</v>
      </c>
      <c r="Q574" s="15"/>
      <c r="R574" s="15" t="s">
        <v>6081</v>
      </c>
      <c r="S574" s="24" t="s">
        <v>39</v>
      </c>
      <c r="T574" s="24" t="s">
        <v>39</v>
      </c>
      <c r="U574" s="24" t="s">
        <v>39</v>
      </c>
      <c r="V574" s="24" t="s">
        <v>39</v>
      </c>
      <c r="W574" s="24"/>
      <c r="X574" s="24"/>
      <c r="Y574" s="15"/>
      <c r="Z574" s="15"/>
      <c r="AA574" s="24"/>
      <c r="AB574" s="24"/>
      <c r="AC574" s="24"/>
      <c r="AD574" s="24"/>
      <c r="AE574" s="24"/>
      <c r="AF574" s="24"/>
      <c r="AG574" s="24"/>
      <c r="AH574" s="24"/>
    </row>
    <row r="575" spans="1:34" ht="105" x14ac:dyDescent="0.25">
      <c r="A575" s="24" t="str">
        <f>HYPERLINK("https://www.cpso.on.ca/DoctorDetails/Dmitry-Guller/0219938-82729","Guller, Dmitry")</f>
        <v>Guller, Dmitry</v>
      </c>
      <c r="B575" s="25" t="s">
        <v>6082</v>
      </c>
      <c r="C575" s="24" t="s">
        <v>2342</v>
      </c>
      <c r="D575" s="24" t="s">
        <v>6083</v>
      </c>
      <c r="E575" s="24" t="s">
        <v>29</v>
      </c>
      <c r="F575" s="24" t="s">
        <v>30</v>
      </c>
      <c r="G575" s="24" t="s">
        <v>31</v>
      </c>
      <c r="H575" s="24" t="s">
        <v>2344</v>
      </c>
      <c r="I575" s="24" t="s">
        <v>6084</v>
      </c>
      <c r="J575" s="24" t="s">
        <v>6085</v>
      </c>
      <c r="K575" s="24"/>
      <c r="L575" s="24" t="s">
        <v>36</v>
      </c>
      <c r="M575" s="15"/>
      <c r="N575" s="15"/>
      <c r="O575" s="15" t="s">
        <v>6086</v>
      </c>
      <c r="P575" s="15" t="s">
        <v>6087</v>
      </c>
      <c r="Q575" s="15" t="s">
        <v>6088</v>
      </c>
      <c r="R575" s="15" t="s">
        <v>6089</v>
      </c>
      <c r="S575" s="24" t="s">
        <v>39</v>
      </c>
      <c r="T575" s="24" t="s">
        <v>39</v>
      </c>
      <c r="U575" s="24" t="s">
        <v>39</v>
      </c>
      <c r="V575" s="24" t="s">
        <v>39</v>
      </c>
      <c r="W575" s="24" t="s">
        <v>6090</v>
      </c>
      <c r="X575" s="24" t="s">
        <v>6091</v>
      </c>
      <c r="Y575" s="15" t="s">
        <v>6092</v>
      </c>
      <c r="Z575" s="15" t="s">
        <v>6093</v>
      </c>
      <c r="AA575" s="24"/>
      <c r="AB575" s="24"/>
      <c r="AC575" s="24"/>
      <c r="AD575" s="24"/>
      <c r="AE575" s="24"/>
      <c r="AF575" s="24"/>
      <c r="AG575" s="24"/>
      <c r="AH575" s="24"/>
    </row>
    <row r="576" spans="1:34" ht="75" x14ac:dyDescent="0.25">
      <c r="A576" s="24" t="str">
        <f>HYPERLINK("https://www.cpso.on.ca/DoctorDetails/Dokun-Matin-Salako/0312246-111006","Salako, Dokun Matin")</f>
        <v>Salako, Dokun Matin</v>
      </c>
      <c r="B576" s="25" t="s">
        <v>6094</v>
      </c>
      <c r="C576" s="24" t="s">
        <v>6095</v>
      </c>
      <c r="D576" s="24" t="s">
        <v>6096</v>
      </c>
      <c r="E576" s="24" t="s">
        <v>29</v>
      </c>
      <c r="F576" s="24" t="s">
        <v>30</v>
      </c>
      <c r="G576" s="24" t="s">
        <v>148</v>
      </c>
      <c r="H576" s="24" t="s">
        <v>6097</v>
      </c>
      <c r="I576" s="24" t="s">
        <v>6098</v>
      </c>
      <c r="J576" s="24" t="s">
        <v>6099</v>
      </c>
      <c r="K576" s="24"/>
      <c r="L576" s="24" t="s">
        <v>328</v>
      </c>
      <c r="M576" s="15" t="s">
        <v>6100</v>
      </c>
      <c r="N576" s="15" t="s">
        <v>398</v>
      </c>
      <c r="O576" s="15" t="s">
        <v>329</v>
      </c>
      <c r="P576" s="15" t="s">
        <v>6101</v>
      </c>
      <c r="Q576" s="15"/>
      <c r="R576" s="15" t="s">
        <v>6102</v>
      </c>
      <c r="S576" s="24" t="s">
        <v>39</v>
      </c>
      <c r="T576" s="24" t="s">
        <v>39</v>
      </c>
      <c r="U576" s="24" t="s">
        <v>39</v>
      </c>
      <c r="V576" s="24" t="s">
        <v>39</v>
      </c>
      <c r="W576" s="24" t="s">
        <v>6103</v>
      </c>
      <c r="X576" s="24" t="s">
        <v>6104</v>
      </c>
      <c r="Y576" s="15" t="s">
        <v>6105</v>
      </c>
      <c r="Z576" s="15" t="s">
        <v>6106</v>
      </c>
      <c r="AA576" s="24"/>
      <c r="AB576" s="24"/>
      <c r="AC576" s="24"/>
      <c r="AD576" s="24"/>
      <c r="AE576" s="24"/>
      <c r="AF576" s="24"/>
      <c r="AG576" s="24"/>
      <c r="AH576" s="24"/>
    </row>
    <row r="577" spans="1:34" ht="75" x14ac:dyDescent="0.25">
      <c r="A577" s="24" t="str">
        <f>HYPERLINK("https://www.cpso.on.ca/DoctorDetails/Domenic-Dimanno/0223835-82818","Dimanno, Domenic")</f>
        <v>Dimanno, Domenic</v>
      </c>
      <c r="B577" s="25" t="s">
        <v>6107</v>
      </c>
      <c r="C577" s="24" t="s">
        <v>2342</v>
      </c>
      <c r="D577" s="24" t="s">
        <v>2343</v>
      </c>
      <c r="E577" s="24" t="s">
        <v>29</v>
      </c>
      <c r="F577" s="24" t="s">
        <v>30</v>
      </c>
      <c r="G577" s="24" t="s">
        <v>31</v>
      </c>
      <c r="H577" s="24" t="s">
        <v>6108</v>
      </c>
      <c r="I577" s="24" t="s">
        <v>6109</v>
      </c>
      <c r="J577" s="24" t="s">
        <v>6110</v>
      </c>
      <c r="K577" s="24"/>
      <c r="L577" s="24" t="s">
        <v>36</v>
      </c>
      <c r="M577" s="15" t="s">
        <v>6111</v>
      </c>
      <c r="N577" s="15"/>
      <c r="O577" s="15" t="s">
        <v>972</v>
      </c>
      <c r="P577" s="15" t="s">
        <v>2348</v>
      </c>
      <c r="Q577" s="15" t="s">
        <v>2349</v>
      </c>
      <c r="R577" s="15" t="s">
        <v>2350</v>
      </c>
      <c r="S577" s="24" t="s">
        <v>39</v>
      </c>
      <c r="T577" s="24" t="s">
        <v>39</v>
      </c>
      <c r="U577" s="24" t="s">
        <v>39</v>
      </c>
      <c r="V577" s="24" t="s">
        <v>39</v>
      </c>
      <c r="W577" s="24" t="s">
        <v>6112</v>
      </c>
      <c r="X577" s="24" t="s">
        <v>6113</v>
      </c>
      <c r="Y577" s="15" t="s">
        <v>6114</v>
      </c>
      <c r="Z577" s="15" t="s">
        <v>6115</v>
      </c>
      <c r="AA577" s="24"/>
      <c r="AB577" s="24"/>
      <c r="AC577" s="24"/>
      <c r="AD577" s="24"/>
      <c r="AE577" s="24"/>
      <c r="AF577" s="24"/>
      <c r="AG577" s="24"/>
      <c r="AH577" s="24"/>
    </row>
    <row r="578" spans="1:34" ht="90" x14ac:dyDescent="0.25">
      <c r="A578" s="24" t="str">
        <f>HYPERLINK("https://www.cpso.on.ca/DoctorDetails/Dominick-Andree-Michaud/0220498-82530","Michaud, Dominick Andree")</f>
        <v>Michaud, Dominick Andree</v>
      </c>
      <c r="B578" s="25" t="s">
        <v>6116</v>
      </c>
      <c r="C578" s="24" t="s">
        <v>2267</v>
      </c>
      <c r="D578" s="24" t="s">
        <v>2268</v>
      </c>
      <c r="E578" s="24" t="s">
        <v>29</v>
      </c>
      <c r="F578" s="24" t="s">
        <v>47</v>
      </c>
      <c r="G578" s="24" t="s">
        <v>813</v>
      </c>
      <c r="H578" s="24" t="s">
        <v>6117</v>
      </c>
      <c r="I578" s="24" t="s">
        <v>6118</v>
      </c>
      <c r="J578" s="24" t="s">
        <v>6119</v>
      </c>
      <c r="K578" s="24"/>
      <c r="L578" s="24"/>
      <c r="M578" s="15"/>
      <c r="N578" s="15" t="s">
        <v>710</v>
      </c>
      <c r="O578" s="15"/>
      <c r="P578" s="15" t="s">
        <v>654</v>
      </c>
      <c r="Q578" s="15" t="s">
        <v>6120</v>
      </c>
      <c r="R578" s="15" t="s">
        <v>6121</v>
      </c>
      <c r="S578" s="24" t="s">
        <v>39</v>
      </c>
      <c r="T578" s="24" t="s">
        <v>39</v>
      </c>
      <c r="U578" s="24" t="s">
        <v>39</v>
      </c>
      <c r="V578" s="24" t="s">
        <v>39</v>
      </c>
      <c r="W578" s="24"/>
      <c r="X578" s="24"/>
      <c r="Y578" s="15"/>
      <c r="Z578" s="15"/>
      <c r="AA578" s="24"/>
      <c r="AB578" s="24"/>
      <c r="AC578" s="24"/>
      <c r="AD578" s="24"/>
      <c r="AE578" s="24"/>
      <c r="AF578" s="24"/>
      <c r="AG578" s="24"/>
      <c r="AH578" s="24"/>
    </row>
    <row r="579" spans="1:34" ht="75" x14ac:dyDescent="0.25">
      <c r="A579" s="24" t="str">
        <f>HYPERLINK("https://www.cpso.on.ca/DoctorDetails/Dominika-Magdalena-Czechowicz/0224012-82766","Czechowicz, Dominika Magdalena")</f>
        <v>Czechowicz, Dominika Magdalena</v>
      </c>
      <c r="B579" s="25" t="s">
        <v>6122</v>
      </c>
      <c r="C579" s="24" t="s">
        <v>6123</v>
      </c>
      <c r="D579" s="24" t="s">
        <v>6124</v>
      </c>
      <c r="E579" s="24" t="s">
        <v>29</v>
      </c>
      <c r="F579" s="24" t="s">
        <v>47</v>
      </c>
      <c r="G579" s="24" t="s">
        <v>31</v>
      </c>
      <c r="H579" s="24" t="s">
        <v>6125</v>
      </c>
      <c r="I579" s="24" t="s">
        <v>6126</v>
      </c>
      <c r="J579" s="24" t="s">
        <v>6127</v>
      </c>
      <c r="K579" s="24" t="s">
        <v>6128</v>
      </c>
      <c r="L579" s="24" t="s">
        <v>84</v>
      </c>
      <c r="M579" s="15"/>
      <c r="N579" s="15"/>
      <c r="O579" s="15"/>
      <c r="P579" s="15" t="s">
        <v>2348</v>
      </c>
      <c r="Q579" s="15" t="s">
        <v>6129</v>
      </c>
      <c r="R579" s="15" t="s">
        <v>6130</v>
      </c>
      <c r="S579" s="24" t="s">
        <v>39</v>
      </c>
      <c r="T579" s="24" t="s">
        <v>39</v>
      </c>
      <c r="U579" s="24" t="s">
        <v>39</v>
      </c>
      <c r="V579" s="24" t="s">
        <v>39</v>
      </c>
      <c r="W579" s="24" t="s">
        <v>6131</v>
      </c>
      <c r="X579" s="24" t="s">
        <v>6132</v>
      </c>
      <c r="Y579" s="15" t="s">
        <v>6133</v>
      </c>
      <c r="Z579" s="15" t="s">
        <v>6134</v>
      </c>
      <c r="AA579" s="24"/>
      <c r="AB579" s="24"/>
      <c r="AC579" s="24"/>
      <c r="AD579" s="24"/>
      <c r="AE579" s="24"/>
      <c r="AF579" s="24"/>
      <c r="AG579" s="24"/>
      <c r="AH579" s="24"/>
    </row>
    <row r="580" spans="1:34" ht="60" x14ac:dyDescent="0.25">
      <c r="A580" s="24" t="str">
        <f>HYPERLINK("https://www.cpso.on.ca/DoctorDetails/Dominique-Bourget/0040549-54525","Bourget, Dominique")</f>
        <v>Bourget, Dominique</v>
      </c>
      <c r="B580" s="25" t="s">
        <v>6135</v>
      </c>
      <c r="C580" s="24" t="s">
        <v>704</v>
      </c>
      <c r="D580" s="24" t="s">
        <v>6136</v>
      </c>
      <c r="E580" s="24" t="s">
        <v>29</v>
      </c>
      <c r="F580" s="24" t="s">
        <v>47</v>
      </c>
      <c r="G580" s="24" t="s">
        <v>813</v>
      </c>
      <c r="H580" s="24" t="s">
        <v>707</v>
      </c>
      <c r="I580" s="24" t="s">
        <v>708</v>
      </c>
      <c r="J580" s="24" t="s">
        <v>6137</v>
      </c>
      <c r="K580" s="24" t="s">
        <v>6138</v>
      </c>
      <c r="L580" s="24" t="s">
        <v>84</v>
      </c>
      <c r="M580" s="15"/>
      <c r="N580" s="15" t="s">
        <v>710</v>
      </c>
      <c r="O580" s="15" t="s">
        <v>6139</v>
      </c>
      <c r="P580" s="15" t="s">
        <v>6140</v>
      </c>
      <c r="Q580" s="15"/>
      <c r="R580" s="15" t="s">
        <v>6141</v>
      </c>
      <c r="S580" s="24" t="s">
        <v>39</v>
      </c>
      <c r="T580" s="24" t="s">
        <v>39</v>
      </c>
      <c r="U580" s="24" t="s">
        <v>39</v>
      </c>
      <c r="V580" s="24" t="s">
        <v>39</v>
      </c>
      <c r="W580" s="24" t="s">
        <v>715</v>
      </c>
      <c r="X580" s="24" t="s">
        <v>716</v>
      </c>
      <c r="Y580" s="15" t="s">
        <v>717</v>
      </c>
      <c r="Z580" s="15" t="s">
        <v>718</v>
      </c>
      <c r="AA580" s="24"/>
      <c r="AB580" s="24"/>
      <c r="AC580" s="24"/>
      <c r="AD580" s="24"/>
      <c r="AE580" s="24"/>
      <c r="AF580" s="24"/>
      <c r="AG580" s="24"/>
      <c r="AH580" s="24"/>
    </row>
    <row r="581" spans="1:34" ht="105" x14ac:dyDescent="0.25">
      <c r="A581" s="24" t="str">
        <f>HYPERLINK("https://www.cpso.on.ca/DoctorDetails/Dominique-J-Nadon/0044561-58539","Nadon, Dominique J")</f>
        <v>Nadon, Dominique J</v>
      </c>
      <c r="B581" s="25" t="s">
        <v>6142</v>
      </c>
      <c r="C581" s="24" t="s">
        <v>3161</v>
      </c>
      <c r="D581" s="24" t="s">
        <v>6143</v>
      </c>
      <c r="E581" s="24" t="s">
        <v>29</v>
      </c>
      <c r="F581" s="24" t="s">
        <v>30</v>
      </c>
      <c r="G581" s="24" t="s">
        <v>813</v>
      </c>
      <c r="H581" s="24" t="s">
        <v>6144</v>
      </c>
      <c r="I581" s="24" t="s">
        <v>6145</v>
      </c>
      <c r="J581" s="24" t="s">
        <v>3279</v>
      </c>
      <c r="K581" s="24" t="s">
        <v>2041</v>
      </c>
      <c r="L581" s="24" t="s">
        <v>84</v>
      </c>
      <c r="M581" s="15" t="s">
        <v>6146</v>
      </c>
      <c r="N581" s="15" t="s">
        <v>710</v>
      </c>
      <c r="O581" s="15" t="s">
        <v>6147</v>
      </c>
      <c r="P581" s="15" t="s">
        <v>6148</v>
      </c>
      <c r="Q581" s="15" t="s">
        <v>6149</v>
      </c>
      <c r="R581" s="15" t="s">
        <v>6150</v>
      </c>
      <c r="S581" s="24" t="s">
        <v>71</v>
      </c>
      <c r="T581" s="24" t="s">
        <v>39</v>
      </c>
      <c r="U581" s="24" t="s">
        <v>39</v>
      </c>
      <c r="V581" s="24" t="s">
        <v>71</v>
      </c>
      <c r="W581" s="24"/>
      <c r="X581" s="24"/>
      <c r="Y581" s="15"/>
      <c r="Z581" s="15"/>
      <c r="AA581" s="24"/>
      <c r="AB581" s="24"/>
      <c r="AC581" s="24"/>
      <c r="AD581" s="24"/>
      <c r="AE581" s="24"/>
      <c r="AF581" s="24"/>
      <c r="AG581" s="24"/>
      <c r="AH581" s="24"/>
    </row>
    <row r="582" spans="1:34" x14ac:dyDescent="0.25">
      <c r="A582" s="24" t="str">
        <f>HYPERLINK("https://www.cpso.on.ca/DoctorDetails/Don-Dhaminda-Prasannajith-Colonne/0134147-70874","Colonne, Don Dhaminda Prasannajith")</f>
        <v>Colonne, Don Dhaminda Prasannajith</v>
      </c>
      <c r="B582" s="25" t="s">
        <v>6151</v>
      </c>
      <c r="C582" s="24" t="s">
        <v>6152</v>
      </c>
      <c r="D582" s="24" t="s">
        <v>6153</v>
      </c>
      <c r="E582" s="24" t="s">
        <v>29</v>
      </c>
      <c r="F582" s="24" t="s">
        <v>30</v>
      </c>
      <c r="G582" s="24" t="s">
        <v>5884</v>
      </c>
      <c r="H582" s="24" t="s">
        <v>6154</v>
      </c>
      <c r="I582" s="24" t="s">
        <v>6155</v>
      </c>
      <c r="J582" s="24" t="s">
        <v>6156</v>
      </c>
      <c r="K582" s="24" t="s">
        <v>6157</v>
      </c>
      <c r="L582" s="24" t="s">
        <v>184</v>
      </c>
      <c r="M582" s="15"/>
      <c r="N582" s="15"/>
      <c r="O582" s="15" t="s">
        <v>1572</v>
      </c>
      <c r="P582" s="15" t="s">
        <v>6158</v>
      </c>
      <c r="Q582" s="15"/>
      <c r="R582" s="15" t="s">
        <v>6159</v>
      </c>
      <c r="S582" s="24" t="s">
        <v>39</v>
      </c>
      <c r="T582" s="24" t="s">
        <v>39</v>
      </c>
      <c r="U582" s="24" t="s">
        <v>39</v>
      </c>
      <c r="V582" s="24" t="s">
        <v>39</v>
      </c>
      <c r="W582" s="24" t="s">
        <v>6160</v>
      </c>
      <c r="X582" s="24" t="s">
        <v>6161</v>
      </c>
      <c r="Y582" s="15" t="s">
        <v>6162</v>
      </c>
      <c r="Z582" s="15" t="s">
        <v>6163</v>
      </c>
      <c r="AA582" s="24"/>
      <c r="AB582" s="24"/>
      <c r="AC582" s="24"/>
      <c r="AD582" s="24"/>
      <c r="AE582" s="24"/>
      <c r="AF582" s="24"/>
      <c r="AG582" s="24"/>
      <c r="AH582" s="24"/>
    </row>
    <row r="583" spans="1:34" ht="30" x14ac:dyDescent="0.25">
      <c r="A583" s="24" t="str">
        <f>HYPERLINK("https://www.cpso.on.ca/DoctorDetails/Donald-Alexander-Wasylenki/0020299-25087","Wasylenki, Donald Alexander")</f>
        <v>Wasylenki, Donald Alexander</v>
      </c>
      <c r="B583" s="25" t="s">
        <v>6164</v>
      </c>
      <c r="C583" s="24" t="s">
        <v>2891</v>
      </c>
      <c r="D583" s="24" t="s">
        <v>2892</v>
      </c>
      <c r="E583" s="24" t="s">
        <v>29</v>
      </c>
      <c r="F583" s="24" t="s">
        <v>30</v>
      </c>
      <c r="G583" s="24" t="s">
        <v>31</v>
      </c>
      <c r="H583" s="24" t="s">
        <v>6165</v>
      </c>
      <c r="I583" s="24" t="s">
        <v>6166</v>
      </c>
      <c r="J583" s="24" t="s">
        <v>6167</v>
      </c>
      <c r="K583" s="24" t="s">
        <v>6168</v>
      </c>
      <c r="L583" s="24" t="s">
        <v>52</v>
      </c>
      <c r="M583" s="15"/>
      <c r="N583" s="15"/>
      <c r="O583" s="15" t="s">
        <v>6169</v>
      </c>
      <c r="P583" s="15" t="s">
        <v>6170</v>
      </c>
      <c r="Q583" s="15"/>
      <c r="R583" s="15" t="s">
        <v>6171</v>
      </c>
      <c r="S583" s="24" t="s">
        <v>39</v>
      </c>
      <c r="T583" s="24" t="s">
        <v>39</v>
      </c>
      <c r="U583" s="24" t="s">
        <v>39</v>
      </c>
      <c r="V583" s="24" t="s">
        <v>39</v>
      </c>
      <c r="W583" s="24" t="s">
        <v>6172</v>
      </c>
      <c r="X583" s="24" t="s">
        <v>6173</v>
      </c>
      <c r="Y583" s="15" t="s">
        <v>6174</v>
      </c>
      <c r="Z583" s="15" t="s">
        <v>6175</v>
      </c>
      <c r="AA583" s="24"/>
      <c r="AB583" s="24"/>
      <c r="AC583" s="24"/>
      <c r="AD583" s="24"/>
      <c r="AE583" s="24"/>
      <c r="AF583" s="24"/>
      <c r="AG583" s="24"/>
      <c r="AH583" s="24"/>
    </row>
    <row r="584" spans="1:34" x14ac:dyDescent="0.25">
      <c r="A584" s="24" t="str">
        <f>HYPERLINK("https://www.cpso.on.ca/DoctorDetails/Donald-Angus-Galbraith/0013615-18396","Galbraith, Donald Angus")</f>
        <v>Galbraith, Donald Angus</v>
      </c>
      <c r="B584" s="25" t="s">
        <v>6176</v>
      </c>
      <c r="C584" s="24" t="s">
        <v>4646</v>
      </c>
      <c r="D584" s="24" t="s">
        <v>6177</v>
      </c>
      <c r="E584" s="24" t="s">
        <v>29</v>
      </c>
      <c r="F584" s="24" t="s">
        <v>30</v>
      </c>
      <c r="G584" s="24" t="s">
        <v>31</v>
      </c>
      <c r="H584" s="24" t="s">
        <v>6178</v>
      </c>
      <c r="I584" s="24" t="s">
        <v>6179</v>
      </c>
      <c r="J584" s="24" t="s">
        <v>6180</v>
      </c>
      <c r="K584" s="24"/>
      <c r="L584" s="24" t="s">
        <v>65</v>
      </c>
      <c r="M584" s="15"/>
      <c r="N584" s="15"/>
      <c r="O584" s="15"/>
      <c r="P584" s="15" t="s">
        <v>6181</v>
      </c>
      <c r="Q584" s="15"/>
      <c r="R584" s="15" t="s">
        <v>6182</v>
      </c>
      <c r="S584" s="24" t="s">
        <v>39</v>
      </c>
      <c r="T584" s="24" t="s">
        <v>39</v>
      </c>
      <c r="U584" s="24" t="s">
        <v>39</v>
      </c>
      <c r="V584" s="24" t="s">
        <v>39</v>
      </c>
      <c r="W584" s="24" t="s">
        <v>6183</v>
      </c>
      <c r="X584" s="24" t="s">
        <v>6184</v>
      </c>
      <c r="Y584" s="15"/>
      <c r="Z584" s="15"/>
      <c r="AA584" s="24"/>
      <c r="AB584" s="24"/>
      <c r="AC584" s="24"/>
      <c r="AD584" s="24"/>
      <c r="AE584" s="24"/>
      <c r="AF584" s="24"/>
      <c r="AG584" s="24"/>
      <c r="AH584" s="24"/>
    </row>
    <row r="585" spans="1:34" ht="45" x14ac:dyDescent="0.25">
      <c r="A585" s="24" t="str">
        <f>HYPERLINK("https://www.cpso.on.ca/DoctorDetails/Donald-Blake-Woodside/0038060-52036","Woodside, Donald Blake")</f>
        <v>Woodside, Donald Blake</v>
      </c>
      <c r="B585" s="25" t="s">
        <v>6185</v>
      </c>
      <c r="C585" s="24" t="s">
        <v>3417</v>
      </c>
      <c r="D585" s="24" t="s">
        <v>6186</v>
      </c>
      <c r="E585" s="24" t="s">
        <v>29</v>
      </c>
      <c r="F585" s="24" t="s">
        <v>30</v>
      </c>
      <c r="G585" s="24" t="s">
        <v>813</v>
      </c>
      <c r="H585" s="24" t="s">
        <v>3419</v>
      </c>
      <c r="I585" s="24" t="s">
        <v>6187</v>
      </c>
      <c r="J585" s="24" t="s">
        <v>6188</v>
      </c>
      <c r="K585" s="24" t="s">
        <v>486</v>
      </c>
      <c r="L585" s="24" t="s">
        <v>52</v>
      </c>
      <c r="M585" s="15"/>
      <c r="N585" s="15"/>
      <c r="O585" s="15" t="s">
        <v>5784</v>
      </c>
      <c r="P585" s="15" t="s">
        <v>122</v>
      </c>
      <c r="Q585" s="15"/>
      <c r="R585" s="15" t="s">
        <v>6189</v>
      </c>
      <c r="S585" s="24" t="s">
        <v>39</v>
      </c>
      <c r="T585" s="24" t="s">
        <v>39</v>
      </c>
      <c r="U585" s="24" t="s">
        <v>39</v>
      </c>
      <c r="V585" s="24" t="s">
        <v>39</v>
      </c>
      <c r="W585" s="24" t="s">
        <v>6190</v>
      </c>
      <c r="X585" s="24" t="s">
        <v>6191</v>
      </c>
      <c r="Y585" s="15" t="s">
        <v>6192</v>
      </c>
      <c r="Z585" s="15" t="s">
        <v>6193</v>
      </c>
      <c r="AA585" s="24"/>
      <c r="AB585" s="24"/>
      <c r="AC585" s="24"/>
      <c r="AD585" s="24"/>
      <c r="AE585" s="24"/>
      <c r="AF585" s="24"/>
      <c r="AG585" s="24"/>
      <c r="AH585" s="24"/>
    </row>
    <row r="586" spans="1:34" x14ac:dyDescent="0.25">
      <c r="A586" s="24" t="str">
        <f>HYPERLINK("https://www.cpso.on.ca/DoctorDetails/Donald-Harold-Braden/0012825-17605","Braden, Donald Harold")</f>
        <v>Braden, Donald Harold</v>
      </c>
      <c r="B586" s="25" t="s">
        <v>6194</v>
      </c>
      <c r="C586" s="24" t="s">
        <v>6195</v>
      </c>
      <c r="D586" s="24" t="s">
        <v>6196</v>
      </c>
      <c r="E586" s="24" t="s">
        <v>29</v>
      </c>
      <c r="F586" s="24" t="s">
        <v>30</v>
      </c>
      <c r="G586" s="24" t="s">
        <v>31</v>
      </c>
      <c r="H586" s="24" t="s">
        <v>6197</v>
      </c>
      <c r="I586" s="24" t="s">
        <v>6198</v>
      </c>
      <c r="J586" s="24" t="s">
        <v>6199</v>
      </c>
      <c r="K586" s="24"/>
      <c r="L586" s="24" t="s">
        <v>340</v>
      </c>
      <c r="M586" s="15"/>
      <c r="N586" s="15"/>
      <c r="O586" s="15"/>
      <c r="P586" s="15" t="s">
        <v>6200</v>
      </c>
      <c r="Q586" s="15"/>
      <c r="R586" s="15" t="s">
        <v>6201</v>
      </c>
      <c r="S586" s="24" t="s">
        <v>39</v>
      </c>
      <c r="T586" s="24" t="s">
        <v>39</v>
      </c>
      <c r="U586" s="24" t="s">
        <v>39</v>
      </c>
      <c r="V586" s="24" t="s">
        <v>39</v>
      </c>
      <c r="W586" s="24"/>
      <c r="X586" s="24"/>
      <c r="Y586" s="15"/>
      <c r="Z586" s="15"/>
      <c r="AA586" s="24"/>
      <c r="AB586" s="24"/>
      <c r="AC586" s="24"/>
      <c r="AD586" s="24"/>
      <c r="AE586" s="24"/>
      <c r="AF586" s="24"/>
      <c r="AG586" s="24"/>
      <c r="AH586" s="24"/>
    </row>
    <row r="587" spans="1:34" ht="60" x14ac:dyDescent="0.25">
      <c r="A587" s="24" t="str">
        <f>HYPERLINK("https://www.cpso.on.ca/DoctorDetails/Donald-Richard-Head/0046209-60187","Head, Donald Richard")</f>
        <v>Head, Donald Richard</v>
      </c>
      <c r="B587" s="25" t="s">
        <v>6202</v>
      </c>
      <c r="C587" s="24" t="s">
        <v>2629</v>
      </c>
      <c r="D587" s="24" t="s">
        <v>6203</v>
      </c>
      <c r="E587" s="24" t="s">
        <v>29</v>
      </c>
      <c r="F587" s="24" t="s">
        <v>30</v>
      </c>
      <c r="G587" s="24" t="s">
        <v>31</v>
      </c>
      <c r="H587" s="24" t="s">
        <v>6204</v>
      </c>
      <c r="I587" s="24" t="s">
        <v>6205</v>
      </c>
      <c r="J587" s="24" t="s">
        <v>6078</v>
      </c>
      <c r="K587" s="24" t="s">
        <v>652</v>
      </c>
      <c r="L587" s="24" t="s">
        <v>36</v>
      </c>
      <c r="M587" s="15"/>
      <c r="N587" s="15"/>
      <c r="O587" s="15" t="s">
        <v>5922</v>
      </c>
      <c r="P587" s="15" t="s">
        <v>2293</v>
      </c>
      <c r="Q587" s="15" t="s">
        <v>2634</v>
      </c>
      <c r="R587" s="15" t="s">
        <v>6206</v>
      </c>
      <c r="S587" s="24" t="s">
        <v>39</v>
      </c>
      <c r="T587" s="24" t="s">
        <v>39</v>
      </c>
      <c r="U587" s="24" t="s">
        <v>39</v>
      </c>
      <c r="V587" s="24" t="s">
        <v>39</v>
      </c>
      <c r="W587" s="24" t="s">
        <v>6207</v>
      </c>
      <c r="X587" s="24" t="s">
        <v>6208</v>
      </c>
      <c r="Y587" s="15" t="s">
        <v>6209</v>
      </c>
      <c r="Z587" s="15" t="s">
        <v>6210</v>
      </c>
      <c r="AA587" s="24"/>
      <c r="AB587" s="24"/>
      <c r="AC587" s="24"/>
      <c r="AD587" s="24"/>
      <c r="AE587" s="24"/>
      <c r="AF587" s="24"/>
      <c r="AG587" s="24"/>
      <c r="AH587" s="24"/>
    </row>
    <row r="588" spans="1:34" ht="75" x14ac:dyDescent="0.25">
      <c r="A588" s="24" t="str">
        <f>HYPERLINK("https://www.cpso.on.ca/DoctorDetails/Donato-Anthony-Di-Giacomo/0053061-67025","Di Giacomo, Donato Anthony")</f>
        <v>Di Giacomo, Donato Anthony</v>
      </c>
      <c r="B588" s="25" t="s">
        <v>6211</v>
      </c>
      <c r="C588" s="24" t="s">
        <v>836</v>
      </c>
      <c r="D588" s="24" t="s">
        <v>837</v>
      </c>
      <c r="E588" s="24" t="s">
        <v>29</v>
      </c>
      <c r="F588" s="24" t="s">
        <v>30</v>
      </c>
      <c r="G588" s="24" t="s">
        <v>31</v>
      </c>
      <c r="H588" s="24" t="s">
        <v>6212</v>
      </c>
      <c r="I588" s="24" t="s">
        <v>6213</v>
      </c>
      <c r="J588" s="24" t="s">
        <v>6214</v>
      </c>
      <c r="K588" s="24" t="s">
        <v>6215</v>
      </c>
      <c r="L588" s="24" t="s">
        <v>52</v>
      </c>
      <c r="M588" s="15"/>
      <c r="N588" s="15"/>
      <c r="O588" s="15"/>
      <c r="P588" s="15" t="s">
        <v>303</v>
      </c>
      <c r="Q588" s="15" t="s">
        <v>1937</v>
      </c>
      <c r="R588" s="15" t="s">
        <v>844</v>
      </c>
      <c r="S588" s="24" t="s">
        <v>39</v>
      </c>
      <c r="T588" s="24" t="s">
        <v>39</v>
      </c>
      <c r="U588" s="24" t="s">
        <v>39</v>
      </c>
      <c r="V588" s="24" t="s">
        <v>39</v>
      </c>
      <c r="W588" s="24" t="s">
        <v>6216</v>
      </c>
      <c r="X588" s="24" t="s">
        <v>6217</v>
      </c>
      <c r="Y588" s="15" t="s">
        <v>6218</v>
      </c>
      <c r="Z588" s="15" t="s">
        <v>6219</v>
      </c>
      <c r="AA588" s="24"/>
      <c r="AB588" s="24"/>
      <c r="AC588" s="24"/>
      <c r="AD588" s="24"/>
      <c r="AE588" s="24"/>
      <c r="AF588" s="24"/>
      <c r="AG588" s="24"/>
      <c r="AH588" s="24"/>
    </row>
    <row r="589" spans="1:34" x14ac:dyDescent="0.25">
      <c r="A589" s="24" t="str">
        <f>HYPERLINK("https://www.cpso.on.ca/DoctorDetails/Donna-Christine-Lougheed/0046118-60096","Lougheed, Donna Christine")</f>
        <v>Lougheed, Donna Christine</v>
      </c>
      <c r="B589" s="25" t="s">
        <v>6220</v>
      </c>
      <c r="C589" s="24" t="s">
        <v>6221</v>
      </c>
      <c r="D589" s="24" t="s">
        <v>6222</v>
      </c>
      <c r="E589" s="24" t="s">
        <v>29</v>
      </c>
      <c r="F589" s="24" t="s">
        <v>47</v>
      </c>
      <c r="G589" s="24" t="s">
        <v>813</v>
      </c>
      <c r="H589" s="24" t="s">
        <v>6223</v>
      </c>
      <c r="I589" s="24" t="s">
        <v>6224</v>
      </c>
      <c r="J589" s="24" t="s">
        <v>6225</v>
      </c>
      <c r="K589" s="24"/>
      <c r="L589" s="24" t="s">
        <v>84</v>
      </c>
      <c r="M589" s="15" t="s">
        <v>6226</v>
      </c>
      <c r="N589" s="15"/>
      <c r="O589" s="15" t="s">
        <v>498</v>
      </c>
      <c r="P589" s="15" t="s">
        <v>6227</v>
      </c>
      <c r="Q589" s="15" t="s">
        <v>6228</v>
      </c>
      <c r="R589" s="15" t="s">
        <v>6229</v>
      </c>
      <c r="S589" s="24" t="s">
        <v>39</v>
      </c>
      <c r="T589" s="24" t="s">
        <v>39</v>
      </c>
      <c r="U589" s="24" t="s">
        <v>39</v>
      </c>
      <c r="V589" s="24" t="s">
        <v>39</v>
      </c>
      <c r="W589" s="24"/>
      <c r="X589" s="24"/>
      <c r="Y589" s="15"/>
      <c r="Z589" s="15"/>
      <c r="AA589" s="24"/>
      <c r="AB589" s="24"/>
      <c r="AC589" s="24"/>
      <c r="AD589" s="24"/>
      <c r="AE589" s="24"/>
      <c r="AF589" s="24"/>
      <c r="AG589" s="24"/>
      <c r="AH589" s="24"/>
    </row>
    <row r="590" spans="1:34" ht="30" x14ac:dyDescent="0.25">
      <c r="A590" s="24" t="str">
        <f>HYPERLINK("https://www.cpso.on.ca/DoctorDetails/Donna-Eileen-Stewart/0016648-21433","Stewart, Donna Eileen")</f>
        <v>Stewart, Donna Eileen</v>
      </c>
      <c r="B590" s="25" t="s">
        <v>6230</v>
      </c>
      <c r="C590" s="24" t="s">
        <v>6231</v>
      </c>
      <c r="D590" s="24" t="s">
        <v>6232</v>
      </c>
      <c r="E590" s="24" t="s">
        <v>29</v>
      </c>
      <c r="F590" s="24" t="s">
        <v>47</v>
      </c>
      <c r="G590" s="24" t="s">
        <v>31</v>
      </c>
      <c r="H590" s="24" t="s">
        <v>6233</v>
      </c>
      <c r="I590" s="24" t="s">
        <v>6234</v>
      </c>
      <c r="J590" s="24" t="s">
        <v>6235</v>
      </c>
      <c r="K590" s="24" t="s">
        <v>6236</v>
      </c>
      <c r="L590" s="24" t="s">
        <v>52</v>
      </c>
      <c r="M590" s="15"/>
      <c r="N590" s="15"/>
      <c r="O590" s="15" t="s">
        <v>487</v>
      </c>
      <c r="P590" s="15" t="s">
        <v>6237</v>
      </c>
      <c r="Q590" s="15"/>
      <c r="R590" s="15" t="s">
        <v>6238</v>
      </c>
      <c r="S590" s="24" t="s">
        <v>39</v>
      </c>
      <c r="T590" s="24" t="s">
        <v>39</v>
      </c>
      <c r="U590" s="24" t="s">
        <v>39</v>
      </c>
      <c r="V590" s="24" t="s">
        <v>39</v>
      </c>
      <c r="W590" s="24"/>
      <c r="X590" s="24"/>
      <c r="Y590" s="15"/>
      <c r="Z590" s="15"/>
      <c r="AA590" s="24"/>
      <c r="AB590" s="24"/>
      <c r="AC590" s="24"/>
      <c r="AD590" s="24"/>
      <c r="AE590" s="24"/>
      <c r="AF590" s="24"/>
      <c r="AG590" s="24"/>
      <c r="AH590" s="24"/>
    </row>
    <row r="591" spans="1:34" ht="135" x14ac:dyDescent="0.25">
      <c r="A591" s="24" t="str">
        <f>HYPERLINK("https://www.cpso.on.ca/DoctorDetails/Donna-Jayne-MacLachlan/0056699-68287","MacLachlan, Donna Jayne")</f>
        <v>MacLachlan, Donna Jayne</v>
      </c>
      <c r="B591" s="25" t="s">
        <v>6239</v>
      </c>
      <c r="C591" s="24" t="s">
        <v>6240</v>
      </c>
      <c r="D591" s="24" t="s">
        <v>6241</v>
      </c>
      <c r="E591" s="24" t="s">
        <v>29</v>
      </c>
      <c r="F591" s="24" t="s">
        <v>47</v>
      </c>
      <c r="G591" s="24" t="s">
        <v>31</v>
      </c>
      <c r="H591" s="24" t="s">
        <v>5513</v>
      </c>
      <c r="I591" s="24" t="s">
        <v>6242</v>
      </c>
      <c r="J591" s="24" t="s">
        <v>6243</v>
      </c>
      <c r="K591" s="24" t="s">
        <v>6244</v>
      </c>
      <c r="L591" s="24" t="s">
        <v>52</v>
      </c>
      <c r="M591" s="15"/>
      <c r="N591" s="15"/>
      <c r="O591" s="15"/>
      <c r="P591" s="15" t="s">
        <v>6245</v>
      </c>
      <c r="Q591" s="15" t="s">
        <v>6246</v>
      </c>
      <c r="R591" s="15" t="s">
        <v>6247</v>
      </c>
      <c r="S591" s="24" t="s">
        <v>39</v>
      </c>
      <c r="T591" s="24" t="s">
        <v>39</v>
      </c>
      <c r="U591" s="24" t="s">
        <v>39</v>
      </c>
      <c r="V591" s="24" t="s">
        <v>39</v>
      </c>
      <c r="W591" s="24"/>
      <c r="X591" s="24"/>
      <c r="Y591" s="15"/>
      <c r="Z591" s="15"/>
      <c r="AA591" s="24"/>
      <c r="AB591" s="24"/>
      <c r="AC591" s="24"/>
      <c r="AD591" s="24"/>
      <c r="AE591" s="24"/>
      <c r="AF591" s="24"/>
      <c r="AG591" s="24"/>
      <c r="AH591" s="24"/>
    </row>
    <row r="592" spans="1:34" ht="75" x14ac:dyDescent="0.25">
      <c r="A592" s="24" t="str">
        <f>HYPERLINK("https://www.cpso.on.ca/DoctorDetails/Donna-MinGang-Kim/0210048-80709","Kim, Donna Min-Gang")</f>
        <v>Kim, Donna Min-Gang</v>
      </c>
      <c r="B592" s="25" t="s">
        <v>6248</v>
      </c>
      <c r="C592" s="24" t="s">
        <v>45</v>
      </c>
      <c r="D592" s="24" t="s">
        <v>46</v>
      </c>
      <c r="E592" s="24" t="s">
        <v>29</v>
      </c>
      <c r="F592" s="24" t="s">
        <v>47</v>
      </c>
      <c r="G592" s="24" t="s">
        <v>31</v>
      </c>
      <c r="H592" s="24" t="s">
        <v>789</v>
      </c>
      <c r="I592" s="24" t="s">
        <v>6249</v>
      </c>
      <c r="J592" s="24" t="s">
        <v>6250</v>
      </c>
      <c r="K592" s="24" t="s">
        <v>6251</v>
      </c>
      <c r="L592" s="24" t="s">
        <v>52</v>
      </c>
      <c r="M592" s="15"/>
      <c r="N592" s="15"/>
      <c r="O592" s="15"/>
      <c r="P592" s="15" t="s">
        <v>55</v>
      </c>
      <c r="Q592" s="15" t="s">
        <v>56</v>
      </c>
      <c r="R592" s="15" t="s">
        <v>57</v>
      </c>
      <c r="S592" s="24" t="s">
        <v>39</v>
      </c>
      <c r="T592" s="24" t="s">
        <v>39</v>
      </c>
      <c r="U592" s="24" t="s">
        <v>39</v>
      </c>
      <c r="V592" s="24" t="s">
        <v>39</v>
      </c>
      <c r="W592" s="24" t="s">
        <v>6252</v>
      </c>
      <c r="X592" s="24" t="s">
        <v>6253</v>
      </c>
      <c r="Y592" s="15" t="s">
        <v>6254</v>
      </c>
      <c r="Z592" s="15" t="s">
        <v>6255</v>
      </c>
      <c r="AA592" s="24"/>
      <c r="AB592" s="24"/>
      <c r="AC592" s="24"/>
      <c r="AD592" s="24"/>
      <c r="AE592" s="24"/>
      <c r="AF592" s="24"/>
      <c r="AG592" s="24"/>
      <c r="AH592" s="24"/>
    </row>
    <row r="593" spans="1:34" x14ac:dyDescent="0.25">
      <c r="A593" s="24" t="str">
        <f>HYPERLINK("https://www.cpso.on.ca/DoctorDetails/Doraiswamy-Sanjeev/0049417-63395","Sanjeev, Doraiswamy")</f>
        <v>Sanjeev, Doraiswamy</v>
      </c>
      <c r="B593" s="25" t="s">
        <v>6256</v>
      </c>
      <c r="C593" s="24" t="s">
        <v>6257</v>
      </c>
      <c r="D593" s="24" t="s">
        <v>2630</v>
      </c>
      <c r="E593" s="24" t="s">
        <v>29</v>
      </c>
      <c r="F593" s="24" t="s">
        <v>30</v>
      </c>
      <c r="G593" s="24" t="s">
        <v>31</v>
      </c>
      <c r="H593" s="24" t="s">
        <v>6258</v>
      </c>
      <c r="I593" s="24" t="s">
        <v>6259</v>
      </c>
      <c r="J593" s="24" t="s">
        <v>6260</v>
      </c>
      <c r="K593" s="24" t="s">
        <v>6261</v>
      </c>
      <c r="L593" s="24" t="s">
        <v>135</v>
      </c>
      <c r="M593" s="15"/>
      <c r="N593" s="15"/>
      <c r="O593" s="15" t="s">
        <v>913</v>
      </c>
      <c r="P593" s="15" t="s">
        <v>3232</v>
      </c>
      <c r="Q593" s="15"/>
      <c r="R593" s="15" t="s">
        <v>6262</v>
      </c>
      <c r="S593" s="24" t="s">
        <v>39</v>
      </c>
      <c r="T593" s="24" t="s">
        <v>39</v>
      </c>
      <c r="U593" s="24" t="s">
        <v>39</v>
      </c>
      <c r="V593" s="24" t="s">
        <v>39</v>
      </c>
      <c r="W593" s="24" t="s">
        <v>6263</v>
      </c>
      <c r="X593" s="24" t="s">
        <v>6264</v>
      </c>
      <c r="Y593" s="15" t="s">
        <v>6265</v>
      </c>
      <c r="Z593" s="15" t="s">
        <v>6266</v>
      </c>
      <c r="AA593" s="24"/>
      <c r="AB593" s="24"/>
      <c r="AC593" s="24"/>
      <c r="AD593" s="24"/>
      <c r="AE593" s="24"/>
      <c r="AF593" s="24"/>
      <c r="AG593" s="24"/>
      <c r="AH593" s="24"/>
    </row>
    <row r="594" spans="1:34" ht="45" x14ac:dyDescent="0.25">
      <c r="A594" s="24" t="str">
        <f>HYPERLINK("https://www.cpso.on.ca/DoctorDetails/Dorian-Alvin-Deshauer/0050648-64627","Deshauer, Dorian Alvin")</f>
        <v>Deshauer, Dorian Alvin</v>
      </c>
      <c r="B594" s="25" t="s">
        <v>6267</v>
      </c>
      <c r="C594" s="24" t="s">
        <v>6268</v>
      </c>
      <c r="D594" s="24" t="s">
        <v>6269</v>
      </c>
      <c r="E594" s="24" t="s">
        <v>29</v>
      </c>
      <c r="F594" s="24" t="s">
        <v>30</v>
      </c>
      <c r="G594" s="24" t="s">
        <v>31</v>
      </c>
      <c r="H594" s="24" t="s">
        <v>1004</v>
      </c>
      <c r="I594" s="24" t="s">
        <v>6270</v>
      </c>
      <c r="J594" s="24" t="s">
        <v>6271</v>
      </c>
      <c r="K594" s="24"/>
      <c r="L594" s="24" t="s">
        <v>52</v>
      </c>
      <c r="M594" s="15"/>
      <c r="N594" s="15"/>
      <c r="O594" s="15" t="s">
        <v>219</v>
      </c>
      <c r="P594" s="15" t="s">
        <v>1771</v>
      </c>
      <c r="Q594" s="15" t="s">
        <v>6272</v>
      </c>
      <c r="R594" s="15" t="s">
        <v>6273</v>
      </c>
      <c r="S594" s="24" t="s">
        <v>39</v>
      </c>
      <c r="T594" s="24" t="s">
        <v>39</v>
      </c>
      <c r="U594" s="24" t="s">
        <v>39</v>
      </c>
      <c r="V594" s="24" t="s">
        <v>39</v>
      </c>
      <c r="W594" s="24"/>
      <c r="X594" s="24"/>
      <c r="Y594" s="15"/>
      <c r="Z594" s="15"/>
      <c r="AA594" s="24"/>
      <c r="AB594" s="24"/>
      <c r="AC594" s="24"/>
      <c r="AD594" s="24"/>
      <c r="AE594" s="24"/>
      <c r="AF594" s="24"/>
      <c r="AG594" s="24"/>
      <c r="AH594" s="24"/>
    </row>
    <row r="595" spans="1:34" ht="75" x14ac:dyDescent="0.25">
      <c r="A595" s="24" t="str">
        <f>HYPERLINK("https://www.cpso.on.ca/DoctorDetails/Doron-Almagor/0048459-62437","Almagor, Doron")</f>
        <v>Almagor, Doron</v>
      </c>
      <c r="B595" s="25" t="s">
        <v>6274</v>
      </c>
      <c r="C595" s="24" t="s">
        <v>1954</v>
      </c>
      <c r="D595" s="24" t="s">
        <v>6275</v>
      </c>
      <c r="E595" s="24" t="s">
        <v>29</v>
      </c>
      <c r="F595" s="24" t="s">
        <v>30</v>
      </c>
      <c r="G595" s="24" t="s">
        <v>252</v>
      </c>
      <c r="H595" s="24" t="s">
        <v>6276</v>
      </c>
      <c r="I595" s="24" t="s">
        <v>6277</v>
      </c>
      <c r="J595" s="24" t="s">
        <v>6278</v>
      </c>
      <c r="K595" s="24" t="s">
        <v>6279</v>
      </c>
      <c r="L595" s="24" t="s">
        <v>52</v>
      </c>
      <c r="M595" s="15"/>
      <c r="N595" s="15"/>
      <c r="O595" s="15"/>
      <c r="P595" s="15" t="s">
        <v>6280</v>
      </c>
      <c r="Q595" s="15" t="s">
        <v>6281</v>
      </c>
      <c r="R595" s="15" t="s">
        <v>6282</v>
      </c>
      <c r="S595" s="24" t="s">
        <v>39</v>
      </c>
      <c r="T595" s="24" t="s">
        <v>39</v>
      </c>
      <c r="U595" s="24" t="s">
        <v>39</v>
      </c>
      <c r="V595" s="24" t="s">
        <v>39</v>
      </c>
      <c r="W595" s="24" t="s">
        <v>6283</v>
      </c>
      <c r="X595" s="24" t="s">
        <v>6284</v>
      </c>
      <c r="Y595" s="15" t="s">
        <v>6285</v>
      </c>
      <c r="Z595" s="15" t="s">
        <v>6286</v>
      </c>
      <c r="AA595" s="24"/>
      <c r="AB595" s="24"/>
      <c r="AC595" s="24"/>
      <c r="AD595" s="24"/>
      <c r="AE595" s="24"/>
      <c r="AF595" s="24"/>
      <c r="AG595" s="24"/>
      <c r="AH595" s="24"/>
    </row>
    <row r="596" spans="1:34" ht="30" x14ac:dyDescent="0.25">
      <c r="A596" s="24" t="str">
        <f>HYPERLINK("https://www.cpso.on.ca/DoctorDetails/Doron-Sagman/0044502-58480","Sagman, Doron")</f>
        <v>Sagman, Doron</v>
      </c>
      <c r="B596" s="25" t="s">
        <v>6287</v>
      </c>
      <c r="C596" s="24" t="s">
        <v>1609</v>
      </c>
      <c r="D596" s="24" t="s">
        <v>1885</v>
      </c>
      <c r="E596" s="24" t="s">
        <v>29</v>
      </c>
      <c r="F596" s="24" t="s">
        <v>30</v>
      </c>
      <c r="G596" s="24" t="s">
        <v>31</v>
      </c>
      <c r="H596" s="24" t="s">
        <v>5249</v>
      </c>
      <c r="I596" s="24" t="s">
        <v>6288</v>
      </c>
      <c r="J596" s="24" t="s">
        <v>6289</v>
      </c>
      <c r="K596" s="24" t="s">
        <v>6290</v>
      </c>
      <c r="L596" s="24" t="s">
        <v>52</v>
      </c>
      <c r="M596" s="15"/>
      <c r="N596" s="15"/>
      <c r="O596" s="15" t="s">
        <v>1191</v>
      </c>
      <c r="P596" s="15" t="s">
        <v>1842</v>
      </c>
      <c r="Q596" s="15" t="s">
        <v>6291</v>
      </c>
      <c r="R596" s="15" t="s">
        <v>6292</v>
      </c>
      <c r="S596" s="24" t="s">
        <v>39</v>
      </c>
      <c r="T596" s="24" t="s">
        <v>39</v>
      </c>
      <c r="U596" s="24" t="s">
        <v>39</v>
      </c>
      <c r="V596" s="24" t="s">
        <v>39</v>
      </c>
      <c r="W596" s="24"/>
      <c r="X596" s="24"/>
      <c r="Y596" s="15"/>
      <c r="Z596" s="15"/>
      <c r="AA596" s="24"/>
      <c r="AB596" s="24"/>
      <c r="AC596" s="24"/>
      <c r="AD596" s="24"/>
      <c r="AE596" s="24"/>
      <c r="AF596" s="24"/>
      <c r="AG596" s="24"/>
      <c r="AH596" s="24"/>
    </row>
    <row r="597" spans="1:34" x14ac:dyDescent="0.25">
      <c r="A597" s="24" t="str">
        <f>HYPERLINK("https://www.cpso.on.ca/DoctorDetails/Douglas-Bruce-Herzog/0027722-32545","Herzog, Douglas Bruce")</f>
        <v>Herzog, Douglas Bruce</v>
      </c>
      <c r="B597" s="25" t="s">
        <v>6293</v>
      </c>
      <c r="C597" s="24" t="s">
        <v>6294</v>
      </c>
      <c r="D597" s="24" t="s">
        <v>6295</v>
      </c>
      <c r="E597" s="24" t="s">
        <v>29</v>
      </c>
      <c r="F597" s="24" t="s">
        <v>30</v>
      </c>
      <c r="G597" s="24" t="s">
        <v>31</v>
      </c>
      <c r="H597" s="24" t="s">
        <v>6296</v>
      </c>
      <c r="I597" s="24" t="s">
        <v>6297</v>
      </c>
      <c r="J597" s="24" t="s">
        <v>6298</v>
      </c>
      <c r="K597" s="24"/>
      <c r="L597" s="24" t="s">
        <v>52</v>
      </c>
      <c r="M597" s="15"/>
      <c r="N597" s="15"/>
      <c r="O597" s="15"/>
      <c r="P597" s="15" t="s">
        <v>122</v>
      </c>
      <c r="Q597" s="15"/>
      <c r="R597" s="15" t="s">
        <v>6299</v>
      </c>
      <c r="S597" s="24" t="s">
        <v>39</v>
      </c>
      <c r="T597" s="24" t="s">
        <v>39</v>
      </c>
      <c r="U597" s="24" t="s">
        <v>39</v>
      </c>
      <c r="V597" s="24" t="s">
        <v>39</v>
      </c>
      <c r="W597" s="24"/>
      <c r="X597" s="24"/>
      <c r="Y597" s="15"/>
      <c r="Z597" s="15"/>
      <c r="AA597" s="24"/>
      <c r="AB597" s="24"/>
      <c r="AC597" s="24"/>
      <c r="AD597" s="24"/>
      <c r="AE597" s="24"/>
      <c r="AF597" s="24"/>
      <c r="AG597" s="24"/>
      <c r="AH597" s="24"/>
    </row>
    <row r="598" spans="1:34" ht="30" x14ac:dyDescent="0.25">
      <c r="A598" s="24" t="str">
        <f>HYPERLINK("https://www.cpso.on.ca/DoctorDetails/Douglas-Charles-Weir/0028345-33168","Weir, Douglas Charles")</f>
        <v>Weir, Douglas Charles</v>
      </c>
      <c r="B598" s="25" t="s">
        <v>6300</v>
      </c>
      <c r="C598" s="24" t="s">
        <v>6301</v>
      </c>
      <c r="D598" s="24" t="s">
        <v>6302</v>
      </c>
      <c r="E598" s="24" t="s">
        <v>29</v>
      </c>
      <c r="F598" s="24" t="s">
        <v>30</v>
      </c>
      <c r="G598" s="24" t="s">
        <v>31</v>
      </c>
      <c r="H598" s="24" t="s">
        <v>6303</v>
      </c>
      <c r="I598" s="24" t="s">
        <v>6304</v>
      </c>
      <c r="J598" s="24" t="s">
        <v>6305</v>
      </c>
      <c r="K598" s="24" t="s">
        <v>6306</v>
      </c>
      <c r="L598" s="24" t="s">
        <v>52</v>
      </c>
      <c r="M598" s="15"/>
      <c r="N598" s="15"/>
      <c r="O598" s="15"/>
      <c r="P598" s="15" t="s">
        <v>6307</v>
      </c>
      <c r="Q598" s="15"/>
      <c r="R598" s="15" t="s">
        <v>6308</v>
      </c>
      <c r="S598" s="24" t="s">
        <v>39</v>
      </c>
      <c r="T598" s="24" t="s">
        <v>39</v>
      </c>
      <c r="U598" s="24" t="s">
        <v>39</v>
      </c>
      <c r="V598" s="24" t="s">
        <v>39</v>
      </c>
      <c r="W598" s="24"/>
      <c r="X598" s="24"/>
      <c r="Y598" s="15"/>
      <c r="Z598" s="15"/>
      <c r="AA598" s="24"/>
      <c r="AB598" s="24"/>
      <c r="AC598" s="24"/>
      <c r="AD598" s="24"/>
      <c r="AE598" s="24"/>
      <c r="AF598" s="24"/>
      <c r="AG598" s="24"/>
      <c r="AH598" s="24"/>
    </row>
    <row r="599" spans="1:34" ht="60" x14ac:dyDescent="0.25">
      <c r="A599" s="24" t="str">
        <f>HYPERLINK("https://www.cpso.on.ca/DoctorDetails/Douglas-Forsyth-Marr/0039616-53592","Marr, Douglas Forsyth")</f>
        <v>Marr, Douglas Forsyth</v>
      </c>
      <c r="B599" s="25" t="s">
        <v>6309</v>
      </c>
      <c r="C599" s="24" t="s">
        <v>6310</v>
      </c>
      <c r="D599" s="24" t="s">
        <v>6311</v>
      </c>
      <c r="E599" s="24" t="s">
        <v>29</v>
      </c>
      <c r="F599" s="24" t="s">
        <v>30</v>
      </c>
      <c r="G599" s="24" t="s">
        <v>31</v>
      </c>
      <c r="H599" s="24" t="s">
        <v>6312</v>
      </c>
      <c r="I599" s="24" t="s">
        <v>6313</v>
      </c>
      <c r="J599" s="24" t="s">
        <v>6314</v>
      </c>
      <c r="K599" s="24" t="s">
        <v>6315</v>
      </c>
      <c r="L599" s="24" t="s">
        <v>328</v>
      </c>
      <c r="M599" s="15"/>
      <c r="N599" s="15"/>
      <c r="O599" s="15" t="s">
        <v>6316</v>
      </c>
      <c r="P599" s="15" t="s">
        <v>2864</v>
      </c>
      <c r="Q599" s="15"/>
      <c r="R599" s="15" t="s">
        <v>6317</v>
      </c>
      <c r="S599" s="24" t="s">
        <v>39</v>
      </c>
      <c r="T599" s="24" t="s">
        <v>39</v>
      </c>
      <c r="U599" s="24" t="s">
        <v>39</v>
      </c>
      <c r="V599" s="24" t="s">
        <v>39</v>
      </c>
      <c r="W599" s="24"/>
      <c r="X599" s="24"/>
      <c r="Y599" s="15"/>
      <c r="Z599" s="15"/>
      <c r="AA599" s="24"/>
      <c r="AB599" s="24"/>
      <c r="AC599" s="24"/>
      <c r="AD599" s="24"/>
      <c r="AE599" s="24"/>
      <c r="AF599" s="24"/>
      <c r="AG599" s="24"/>
      <c r="AH599" s="24"/>
    </row>
    <row r="600" spans="1:34" ht="165" x14ac:dyDescent="0.25">
      <c r="A600" s="24" t="str">
        <f>HYPERLINK("https://www.cpso.on.ca/DoctorDetails/Douglas-Frank-Wilkins/0037801-51777","Wilkins, Douglas Frank")</f>
        <v>Wilkins, Douglas Frank</v>
      </c>
      <c r="B600" s="25" t="s">
        <v>6318</v>
      </c>
      <c r="C600" s="24" t="s">
        <v>6319</v>
      </c>
      <c r="D600" s="24" t="s">
        <v>6320</v>
      </c>
      <c r="E600" s="24" t="s">
        <v>29</v>
      </c>
      <c r="F600" s="24" t="s">
        <v>30</v>
      </c>
      <c r="G600" s="24" t="s">
        <v>31</v>
      </c>
      <c r="H600" s="24" t="s">
        <v>4000</v>
      </c>
      <c r="I600" s="24" t="s">
        <v>6321</v>
      </c>
      <c r="J600" s="24" t="s">
        <v>6322</v>
      </c>
      <c r="K600" s="24" t="s">
        <v>6323</v>
      </c>
      <c r="L600" s="24" t="s">
        <v>84</v>
      </c>
      <c r="M600" s="15"/>
      <c r="N600" s="15"/>
      <c r="O600" s="15" t="s">
        <v>711</v>
      </c>
      <c r="P600" s="15" t="s">
        <v>808</v>
      </c>
      <c r="Q600" s="15" t="s">
        <v>6324</v>
      </c>
      <c r="R600" s="15" t="s">
        <v>6325</v>
      </c>
      <c r="S600" s="24" t="s">
        <v>39</v>
      </c>
      <c r="T600" s="24" t="s">
        <v>39</v>
      </c>
      <c r="U600" s="24" t="s">
        <v>39</v>
      </c>
      <c r="V600" s="24" t="s">
        <v>39</v>
      </c>
      <c r="W600" s="24" t="s">
        <v>6326</v>
      </c>
      <c r="X600" s="24" t="s">
        <v>6327</v>
      </c>
      <c r="Y600" s="15" t="s">
        <v>6328</v>
      </c>
      <c r="Z600" s="15" t="s">
        <v>6329</v>
      </c>
      <c r="AA600" s="24"/>
      <c r="AB600" s="24"/>
      <c r="AC600" s="24"/>
      <c r="AD600" s="24"/>
      <c r="AE600" s="24"/>
      <c r="AF600" s="24"/>
      <c r="AG600" s="24"/>
      <c r="AH600" s="24"/>
    </row>
    <row r="601" spans="1:34" ht="90" x14ac:dyDescent="0.25">
      <c r="A601" s="24" t="str">
        <f>HYPERLINK("https://www.cpso.on.ca/DoctorDetails/Douglas-Stephen-Green/0048245-62223","Green, Douglas Stephen")</f>
        <v>Green, Douglas Stephen</v>
      </c>
      <c r="B601" s="25" t="s">
        <v>6330</v>
      </c>
      <c r="C601" s="24" t="s">
        <v>3890</v>
      </c>
      <c r="D601" s="24" t="s">
        <v>6331</v>
      </c>
      <c r="E601" s="24" t="s">
        <v>29</v>
      </c>
      <c r="F601" s="24" t="s">
        <v>30</v>
      </c>
      <c r="G601" s="24" t="s">
        <v>31</v>
      </c>
      <c r="H601" s="24" t="s">
        <v>6332</v>
      </c>
      <c r="I601" s="24" t="s">
        <v>6333</v>
      </c>
      <c r="J601" s="24" t="s">
        <v>3977</v>
      </c>
      <c r="K601" s="24" t="s">
        <v>3978</v>
      </c>
      <c r="L601" s="24" t="s">
        <v>84</v>
      </c>
      <c r="M601" s="15"/>
      <c r="N601" s="15"/>
      <c r="O601" s="15" t="s">
        <v>6334</v>
      </c>
      <c r="P601" s="15" t="s">
        <v>512</v>
      </c>
      <c r="Q601" s="15" t="s">
        <v>6335</v>
      </c>
      <c r="R601" s="15" t="s">
        <v>6336</v>
      </c>
      <c r="S601" s="24" t="s">
        <v>39</v>
      </c>
      <c r="T601" s="24" t="s">
        <v>39</v>
      </c>
      <c r="U601" s="24" t="s">
        <v>39</v>
      </c>
      <c r="V601" s="24" t="s">
        <v>39</v>
      </c>
      <c r="W601" s="24" t="s">
        <v>6337</v>
      </c>
      <c r="X601" s="24" t="s">
        <v>6338</v>
      </c>
      <c r="Y601" s="15" t="s">
        <v>6339</v>
      </c>
      <c r="Z601" s="15" t="s">
        <v>6340</v>
      </c>
      <c r="AA601" s="24"/>
      <c r="AB601" s="24"/>
      <c r="AC601" s="24"/>
      <c r="AD601" s="24"/>
      <c r="AE601" s="24"/>
      <c r="AF601" s="24"/>
      <c r="AG601" s="24"/>
      <c r="AH601" s="24"/>
    </row>
    <row r="602" spans="1:34" ht="75" x14ac:dyDescent="0.25">
      <c r="A602" s="24" t="str">
        <f>HYPERLINK("https://www.cpso.on.ca/DoctorDetails/Dragan-Hercig/0051704-65683","Hercig, Dragan")</f>
        <v>Hercig, Dragan</v>
      </c>
      <c r="B602" s="25" t="s">
        <v>6341</v>
      </c>
      <c r="C602" s="24" t="s">
        <v>6342</v>
      </c>
      <c r="D602" s="24" t="s">
        <v>6343</v>
      </c>
      <c r="E602" s="24" t="s">
        <v>29</v>
      </c>
      <c r="F602" s="24" t="s">
        <v>30</v>
      </c>
      <c r="G602" s="24" t="s">
        <v>5942</v>
      </c>
      <c r="H602" s="24" t="s">
        <v>6344</v>
      </c>
      <c r="I602" s="24" t="s">
        <v>6345</v>
      </c>
      <c r="J602" s="24" t="s">
        <v>6346</v>
      </c>
      <c r="K602" s="24" t="s">
        <v>6347</v>
      </c>
      <c r="L602" s="24" t="s">
        <v>52</v>
      </c>
      <c r="M602" s="15"/>
      <c r="N602" s="15" t="s">
        <v>6348</v>
      </c>
      <c r="O602" s="15"/>
      <c r="P602" s="15" t="s">
        <v>4834</v>
      </c>
      <c r="Q602" s="15" t="s">
        <v>3955</v>
      </c>
      <c r="R602" s="15" t="s">
        <v>6349</v>
      </c>
      <c r="S602" s="24" t="s">
        <v>39</v>
      </c>
      <c r="T602" s="24" t="s">
        <v>39</v>
      </c>
      <c r="U602" s="24" t="s">
        <v>39</v>
      </c>
      <c r="V602" s="24" t="s">
        <v>39</v>
      </c>
      <c r="W602" s="24" t="s">
        <v>6350</v>
      </c>
      <c r="X602" s="24" t="s">
        <v>6351</v>
      </c>
      <c r="Y602" s="15" t="s">
        <v>6352</v>
      </c>
      <c r="Z602" s="15" t="s">
        <v>6353</v>
      </c>
      <c r="AA602" s="24"/>
      <c r="AB602" s="24"/>
      <c r="AC602" s="24"/>
      <c r="AD602" s="24"/>
      <c r="AE602" s="24"/>
      <c r="AF602" s="24"/>
      <c r="AG602" s="24"/>
      <c r="AH602" s="24"/>
    </row>
    <row r="603" spans="1:34" ht="75" x14ac:dyDescent="0.25">
      <c r="A603" s="24" t="str">
        <f>HYPERLINK("https://www.cpso.on.ca/DoctorDetails/Drago-Erak/0249016-88167","Erak, Drago")</f>
        <v>Erak, Drago</v>
      </c>
      <c r="B603" s="25" t="s">
        <v>6354</v>
      </c>
      <c r="C603" s="24" t="s">
        <v>6355</v>
      </c>
      <c r="D603" s="24" t="s">
        <v>6356</v>
      </c>
      <c r="E603" s="24" t="s">
        <v>29</v>
      </c>
      <c r="F603" s="24" t="s">
        <v>30</v>
      </c>
      <c r="G603" s="24" t="s">
        <v>5822</v>
      </c>
      <c r="H603" s="24" t="s">
        <v>6357</v>
      </c>
      <c r="I603" s="24" t="s">
        <v>2696</v>
      </c>
      <c r="J603" s="24" t="s">
        <v>2697</v>
      </c>
      <c r="K603" s="24"/>
      <c r="L603" s="24" t="s">
        <v>84</v>
      </c>
      <c r="M603" s="15"/>
      <c r="N603" s="15"/>
      <c r="O603" s="15"/>
      <c r="P603" s="15" t="s">
        <v>412</v>
      </c>
      <c r="Q603" s="15" t="s">
        <v>6358</v>
      </c>
      <c r="R603" s="15" t="s">
        <v>6359</v>
      </c>
      <c r="S603" s="24" t="s">
        <v>39</v>
      </c>
      <c r="T603" s="24" t="s">
        <v>39</v>
      </c>
      <c r="U603" s="24" t="s">
        <v>39</v>
      </c>
      <c r="V603" s="24" t="s">
        <v>39</v>
      </c>
      <c r="W603" s="24" t="s">
        <v>6360</v>
      </c>
      <c r="X603" s="24" t="s">
        <v>6361</v>
      </c>
      <c r="Y603" s="15" t="s">
        <v>6362</v>
      </c>
      <c r="Z603" s="15" t="s">
        <v>6363</v>
      </c>
      <c r="AA603" s="24"/>
      <c r="AB603" s="24"/>
      <c r="AC603" s="24"/>
      <c r="AD603" s="24"/>
      <c r="AE603" s="24"/>
      <c r="AF603" s="24"/>
      <c r="AG603" s="24"/>
      <c r="AH603" s="24"/>
    </row>
    <row r="604" spans="1:34" ht="30" x14ac:dyDescent="0.25">
      <c r="A604" s="24" t="str">
        <f>HYPERLINK("https://www.cpso.on.ca/DoctorDetails/Duncan-Alexander-Scott/0037625-51601","Scott, Duncan Alexander")</f>
        <v>Scott, Duncan Alexander</v>
      </c>
      <c r="B604" s="25" t="s">
        <v>6364</v>
      </c>
      <c r="C604" s="24" t="s">
        <v>3746</v>
      </c>
      <c r="D604" s="24" t="s">
        <v>6365</v>
      </c>
      <c r="E604" s="24" t="s">
        <v>29</v>
      </c>
      <c r="F604" s="24" t="s">
        <v>30</v>
      </c>
      <c r="G604" s="24" t="s">
        <v>31</v>
      </c>
      <c r="H604" s="24" t="s">
        <v>3737</v>
      </c>
      <c r="I604" s="24" t="s">
        <v>6366</v>
      </c>
      <c r="J604" s="24" t="s">
        <v>6367</v>
      </c>
      <c r="K604" s="24" t="s">
        <v>6368</v>
      </c>
      <c r="L604" s="24" t="s">
        <v>340</v>
      </c>
      <c r="M604" s="15"/>
      <c r="N604" s="15" t="s">
        <v>3698</v>
      </c>
      <c r="O604" s="15" t="s">
        <v>1122</v>
      </c>
      <c r="P604" s="15" t="s">
        <v>5839</v>
      </c>
      <c r="Q604" s="15"/>
      <c r="R604" s="15" t="s">
        <v>6369</v>
      </c>
      <c r="S604" s="24" t="s">
        <v>39</v>
      </c>
      <c r="T604" s="24" t="s">
        <v>39</v>
      </c>
      <c r="U604" s="24" t="s">
        <v>39</v>
      </c>
      <c r="V604" s="24" t="s">
        <v>39</v>
      </c>
      <c r="W604" s="24" t="s">
        <v>6370</v>
      </c>
      <c r="X604" s="24" t="s">
        <v>6371</v>
      </c>
      <c r="Y604" s="15" t="s">
        <v>6372</v>
      </c>
      <c r="Z604" s="15" t="s">
        <v>6373</v>
      </c>
      <c r="AA604" s="24"/>
      <c r="AB604" s="24"/>
      <c r="AC604" s="24"/>
      <c r="AD604" s="24"/>
      <c r="AE604" s="24"/>
      <c r="AF604" s="24"/>
      <c r="AG604" s="24"/>
      <c r="AH604" s="24"/>
    </row>
    <row r="605" spans="1:34" x14ac:dyDescent="0.25">
      <c r="A605" s="24" t="str">
        <f>HYPERLINK("https://www.cpso.on.ca/DoctorDetails/Duncan-James-Macdonald/0012927-17707","Macdonald, Duncan James")</f>
        <v>Macdonald, Duncan James</v>
      </c>
      <c r="B605" s="25" t="s">
        <v>6374</v>
      </c>
      <c r="C605" s="24" t="s">
        <v>6375</v>
      </c>
      <c r="D605" s="24" t="s">
        <v>6376</v>
      </c>
      <c r="E605" s="24" t="s">
        <v>29</v>
      </c>
      <c r="F605" s="24" t="s">
        <v>30</v>
      </c>
      <c r="G605" s="24" t="s">
        <v>31</v>
      </c>
      <c r="H605" s="24" t="s">
        <v>1048</v>
      </c>
      <c r="I605" s="24" t="s">
        <v>6377</v>
      </c>
      <c r="J605" s="24" t="s">
        <v>6378</v>
      </c>
      <c r="K605" s="24"/>
      <c r="L605" s="24" t="s">
        <v>152</v>
      </c>
      <c r="M605" s="15"/>
      <c r="N605" s="15"/>
      <c r="O605" s="15" t="s">
        <v>6379</v>
      </c>
      <c r="P605" s="15" t="s">
        <v>6380</v>
      </c>
      <c r="Q605" s="15"/>
      <c r="R605" s="15" t="s">
        <v>6381</v>
      </c>
      <c r="S605" s="24" t="s">
        <v>39</v>
      </c>
      <c r="T605" s="24" t="s">
        <v>39</v>
      </c>
      <c r="U605" s="24" t="s">
        <v>39</v>
      </c>
      <c r="V605" s="24" t="s">
        <v>39</v>
      </c>
      <c r="W605" s="24"/>
      <c r="X605" s="24"/>
      <c r="Y605" s="15"/>
      <c r="Z605" s="15"/>
      <c r="AA605" s="24"/>
      <c r="AB605" s="24"/>
      <c r="AC605" s="24"/>
      <c r="AD605" s="24"/>
      <c r="AE605" s="24"/>
      <c r="AF605" s="24"/>
      <c r="AG605" s="24"/>
      <c r="AH605" s="24"/>
    </row>
    <row r="606" spans="1:34" ht="75" x14ac:dyDescent="0.25">
      <c r="A606" s="24" t="str">
        <f>HYPERLINK("https://www.cpso.on.ca/DoctorDetails/Dusan-Kolar/0274275-96820","Kolar, Dusan")</f>
        <v>Kolar, Dusan</v>
      </c>
      <c r="B606" s="25" t="s">
        <v>6382</v>
      </c>
      <c r="C606" s="24" t="s">
        <v>6383</v>
      </c>
      <c r="D606" s="24" t="s">
        <v>6384</v>
      </c>
      <c r="E606" s="24" t="s">
        <v>29</v>
      </c>
      <c r="F606" s="24" t="s">
        <v>30</v>
      </c>
      <c r="G606" s="24" t="s">
        <v>31</v>
      </c>
      <c r="H606" s="24" t="s">
        <v>6385</v>
      </c>
      <c r="I606" s="24" t="s">
        <v>6386</v>
      </c>
      <c r="J606" s="24" t="s">
        <v>6387</v>
      </c>
      <c r="K606" s="24"/>
      <c r="L606" s="24" t="s">
        <v>340</v>
      </c>
      <c r="M606" s="15"/>
      <c r="N606" s="15"/>
      <c r="O606" s="15"/>
      <c r="P606" s="15" t="s">
        <v>6388</v>
      </c>
      <c r="Q606" s="15"/>
      <c r="R606" s="15" t="s">
        <v>6389</v>
      </c>
      <c r="S606" s="24" t="s">
        <v>71</v>
      </c>
      <c r="T606" s="24" t="s">
        <v>39</v>
      </c>
      <c r="U606" s="24" t="s">
        <v>39</v>
      </c>
      <c r="V606" s="24" t="s">
        <v>39</v>
      </c>
      <c r="W606" s="24" t="s">
        <v>6390</v>
      </c>
      <c r="X606" s="24" t="s">
        <v>276</v>
      </c>
      <c r="Y606" s="15" t="s">
        <v>6391</v>
      </c>
      <c r="Z606" s="15" t="s">
        <v>6392</v>
      </c>
      <c r="AA606" s="24"/>
      <c r="AB606" s="24"/>
      <c r="AC606" s="24"/>
      <c r="AD606" s="24"/>
      <c r="AE606" s="24"/>
      <c r="AF606" s="24"/>
      <c r="AG606" s="24"/>
      <c r="AH606" s="24"/>
    </row>
    <row r="607" spans="1:34" ht="30" x14ac:dyDescent="0.25">
      <c r="A607" s="24" t="str">
        <f>HYPERLINK("https://www.cpso.on.ca/DoctorDetails/Ebenezer-Okyere/0177653-75712","Okyere, Ebenezer")</f>
        <v>Okyere, Ebenezer</v>
      </c>
      <c r="B607" s="25" t="s">
        <v>6393</v>
      </c>
      <c r="C607" s="24" t="s">
        <v>6394</v>
      </c>
      <c r="D607" s="24" t="s">
        <v>6395</v>
      </c>
      <c r="E607" s="24" t="s">
        <v>29</v>
      </c>
      <c r="F607" s="24" t="s">
        <v>30</v>
      </c>
      <c r="G607" s="24" t="s">
        <v>6396</v>
      </c>
      <c r="H607" s="24" t="s">
        <v>6397</v>
      </c>
      <c r="I607" s="24" t="s">
        <v>6398</v>
      </c>
      <c r="J607" s="24" t="s">
        <v>6399</v>
      </c>
      <c r="K607" s="24" t="s">
        <v>6400</v>
      </c>
      <c r="L607" s="24" t="s">
        <v>52</v>
      </c>
      <c r="M607" s="15" t="s">
        <v>6401</v>
      </c>
      <c r="N607" s="15"/>
      <c r="O607" s="15" t="s">
        <v>6402</v>
      </c>
      <c r="P607" s="15" t="s">
        <v>6403</v>
      </c>
      <c r="Q607" s="15"/>
      <c r="R607" s="15" t="s">
        <v>6404</v>
      </c>
      <c r="S607" s="24" t="s">
        <v>39</v>
      </c>
      <c r="T607" s="24" t="s">
        <v>39</v>
      </c>
      <c r="U607" s="24" t="s">
        <v>39</v>
      </c>
      <c r="V607" s="24" t="s">
        <v>39</v>
      </c>
      <c r="W607" s="24" t="s">
        <v>6405</v>
      </c>
      <c r="X607" s="24" t="s">
        <v>6041</v>
      </c>
      <c r="Y607" s="15" t="s">
        <v>6406</v>
      </c>
      <c r="Z607" s="15" t="s">
        <v>6407</v>
      </c>
      <c r="AA607" s="24"/>
      <c r="AB607" s="24"/>
      <c r="AC607" s="24"/>
      <c r="AD607" s="24"/>
      <c r="AE607" s="24"/>
      <c r="AF607" s="24"/>
      <c r="AG607" s="24"/>
      <c r="AH607" s="24"/>
    </row>
    <row r="608" spans="1:34" ht="120" x14ac:dyDescent="0.25">
      <c r="A608" s="24" t="str">
        <f>HYPERLINK("https://www.cpso.on.ca/DoctorDetails/Eddie-Kingstone/0017817-22603","Kingstone, Eddie")</f>
        <v>Kingstone, Eddie</v>
      </c>
      <c r="B608" s="25" t="s">
        <v>6408</v>
      </c>
      <c r="C608" s="24" t="s">
        <v>6409</v>
      </c>
      <c r="D608" s="24" t="s">
        <v>6410</v>
      </c>
      <c r="E608" s="24" t="s">
        <v>29</v>
      </c>
      <c r="F608" s="24" t="s">
        <v>30</v>
      </c>
      <c r="G608" s="24" t="s">
        <v>31</v>
      </c>
      <c r="H608" s="24" t="s">
        <v>6411</v>
      </c>
      <c r="I608" s="24" t="s">
        <v>6412</v>
      </c>
      <c r="J608" s="24" t="s">
        <v>6413</v>
      </c>
      <c r="K608" s="24" t="s">
        <v>6414</v>
      </c>
      <c r="L608" s="24" t="s">
        <v>52</v>
      </c>
      <c r="M608" s="15"/>
      <c r="N608" s="15"/>
      <c r="O608" s="15"/>
      <c r="P608" s="15" t="s">
        <v>6415</v>
      </c>
      <c r="Q608" s="15"/>
      <c r="R608" s="15" t="s">
        <v>6416</v>
      </c>
      <c r="S608" s="24" t="s">
        <v>71</v>
      </c>
      <c r="T608" s="24" t="s">
        <v>71</v>
      </c>
      <c r="U608" s="24" t="s">
        <v>39</v>
      </c>
      <c r="V608" s="24" t="s">
        <v>39</v>
      </c>
      <c r="W608" s="24"/>
      <c r="X608" s="24"/>
      <c r="Y608" s="15"/>
      <c r="Z608" s="15"/>
      <c r="AA608" s="24"/>
      <c r="AB608" s="24"/>
      <c r="AC608" s="24"/>
      <c r="AD608" s="24"/>
      <c r="AE608" s="24"/>
      <c r="AF608" s="24"/>
      <c r="AG608" s="24"/>
      <c r="AH608" s="24"/>
    </row>
    <row r="609" spans="1:34" ht="45" x14ac:dyDescent="0.25">
      <c r="A609" s="24" t="str">
        <f>HYPERLINK("https://www.cpso.on.ca/DoctorDetails/Eddy-Hymie-Pakes/0017108-21893","Pakes, Eddy Hymie")</f>
        <v>Pakes, Eddy Hymie</v>
      </c>
      <c r="B609" s="25" t="s">
        <v>6417</v>
      </c>
      <c r="C609" s="24" t="s">
        <v>6418</v>
      </c>
      <c r="D609" s="24" t="s">
        <v>6419</v>
      </c>
      <c r="E609" s="24" t="s">
        <v>29</v>
      </c>
      <c r="F609" s="24" t="s">
        <v>30</v>
      </c>
      <c r="G609" s="24" t="s">
        <v>31</v>
      </c>
      <c r="H609" s="24" t="s">
        <v>6420</v>
      </c>
      <c r="I609" s="24" t="s">
        <v>6421</v>
      </c>
      <c r="J609" s="24" t="s">
        <v>6422</v>
      </c>
      <c r="K609" s="24" t="s">
        <v>6423</v>
      </c>
      <c r="L609" s="24" t="s">
        <v>52</v>
      </c>
      <c r="M609" s="15"/>
      <c r="N609" s="15"/>
      <c r="O609" s="15"/>
      <c r="P609" s="15" t="s">
        <v>6424</v>
      </c>
      <c r="Q609" s="15"/>
      <c r="R609" s="15" t="s">
        <v>6425</v>
      </c>
      <c r="S609" s="24" t="s">
        <v>39</v>
      </c>
      <c r="T609" s="24" t="s">
        <v>71</v>
      </c>
      <c r="U609" s="24" t="s">
        <v>39</v>
      </c>
      <c r="V609" s="24" t="s">
        <v>39</v>
      </c>
      <c r="W609" s="24"/>
      <c r="X609" s="24"/>
      <c r="Y609" s="15"/>
      <c r="Z609" s="15"/>
      <c r="AA609" s="24"/>
      <c r="AB609" s="24"/>
      <c r="AC609" s="24"/>
      <c r="AD609" s="24"/>
      <c r="AE609" s="24"/>
      <c r="AF609" s="24"/>
      <c r="AG609" s="24"/>
      <c r="AH609" s="24"/>
    </row>
    <row r="610" spans="1:34" ht="45" x14ac:dyDescent="0.25">
      <c r="A610" s="24" t="str">
        <f>HYPERLINK("https://www.cpso.on.ca/DoctorDetails/Edgardo-Luis-Perez/0026461-31284","Perez, Edgardo Luis")</f>
        <v>Perez, Edgardo Luis</v>
      </c>
      <c r="B610" s="25" t="s">
        <v>6426</v>
      </c>
      <c r="C610" s="24" t="s">
        <v>6427</v>
      </c>
      <c r="D610" s="24" t="s">
        <v>6428</v>
      </c>
      <c r="E610" s="24" t="s">
        <v>29</v>
      </c>
      <c r="F610" s="24" t="s">
        <v>30</v>
      </c>
      <c r="G610" s="24" t="s">
        <v>115</v>
      </c>
      <c r="H610" s="24" t="s">
        <v>6429</v>
      </c>
      <c r="I610" s="24" t="s">
        <v>6430</v>
      </c>
      <c r="J610" s="24" t="s">
        <v>6431</v>
      </c>
      <c r="K610" s="24" t="s">
        <v>6432</v>
      </c>
      <c r="L610" s="24" t="s">
        <v>84</v>
      </c>
      <c r="M610" s="15"/>
      <c r="N610" s="15" t="s">
        <v>6433</v>
      </c>
      <c r="O610" s="15" t="s">
        <v>6434</v>
      </c>
      <c r="P610" s="15" t="s">
        <v>4936</v>
      </c>
      <c r="Q610" s="15"/>
      <c r="R610" s="15" t="s">
        <v>6435</v>
      </c>
      <c r="S610" s="24" t="s">
        <v>39</v>
      </c>
      <c r="T610" s="24" t="s">
        <v>39</v>
      </c>
      <c r="U610" s="24" t="s">
        <v>39</v>
      </c>
      <c r="V610" s="24" t="s">
        <v>39</v>
      </c>
      <c r="W610" s="24" t="s">
        <v>6436</v>
      </c>
      <c r="X610" s="24" t="s">
        <v>6437</v>
      </c>
      <c r="Y610" s="15" t="s">
        <v>6438</v>
      </c>
      <c r="Z610" s="15" t="s">
        <v>6439</v>
      </c>
      <c r="AA610" s="24"/>
      <c r="AB610" s="24"/>
      <c r="AC610" s="24"/>
      <c r="AD610" s="24"/>
      <c r="AE610" s="24"/>
      <c r="AF610" s="24"/>
      <c r="AG610" s="24"/>
      <c r="AH610" s="24"/>
    </row>
    <row r="611" spans="1:34" ht="30" x14ac:dyDescent="0.25">
      <c r="A611" s="24" t="str">
        <f>HYPERLINK("https://www.cpso.on.ca/DoctorDetails/Edouard-Fouad-Edouard-Cattan/0036848-50824","Cattan, Edouard Fouad Edouard")</f>
        <v>Cattan, Edouard Fouad Edouard</v>
      </c>
      <c r="B611" s="25" t="s">
        <v>6440</v>
      </c>
      <c r="C611" s="24" t="s">
        <v>492</v>
      </c>
      <c r="D611" s="24" t="s">
        <v>6441</v>
      </c>
      <c r="E611" s="24" t="s">
        <v>29</v>
      </c>
      <c r="F611" s="24" t="s">
        <v>30</v>
      </c>
      <c r="G611" s="24" t="s">
        <v>6442</v>
      </c>
      <c r="H611" s="24" t="s">
        <v>6443</v>
      </c>
      <c r="I611" s="24" t="s">
        <v>6444</v>
      </c>
      <c r="J611" s="24" t="s">
        <v>6445</v>
      </c>
      <c r="K611" s="24" t="s">
        <v>6446</v>
      </c>
      <c r="L611" s="24" t="s">
        <v>84</v>
      </c>
      <c r="M611" s="15"/>
      <c r="N611" s="15" t="s">
        <v>710</v>
      </c>
      <c r="O611" s="15"/>
      <c r="P611" s="15" t="s">
        <v>1420</v>
      </c>
      <c r="Q611" s="15"/>
      <c r="R611" s="15" t="s">
        <v>6447</v>
      </c>
      <c r="S611" s="24" t="s">
        <v>39</v>
      </c>
      <c r="T611" s="24" t="s">
        <v>39</v>
      </c>
      <c r="U611" s="24" t="s">
        <v>39</v>
      </c>
      <c r="V611" s="24" t="s">
        <v>39</v>
      </c>
      <c r="W611" s="24" t="s">
        <v>6448</v>
      </c>
      <c r="X611" s="24" t="s">
        <v>6449</v>
      </c>
      <c r="Y611" s="15" t="s">
        <v>6450</v>
      </c>
      <c r="Z611" s="15" t="s">
        <v>6451</v>
      </c>
      <c r="AA611" s="24"/>
      <c r="AB611" s="24"/>
      <c r="AC611" s="24"/>
      <c r="AD611" s="24"/>
      <c r="AE611" s="24"/>
      <c r="AF611" s="24"/>
      <c r="AG611" s="24"/>
      <c r="AH611" s="24"/>
    </row>
    <row r="612" spans="1:34" x14ac:dyDescent="0.25">
      <c r="A612" s="24" t="str">
        <f>HYPERLINK("https://www.cpso.on.ca/DoctorDetails/Edred-Alexander-Flak/0020181-24969","Flak, Edred Alexander")</f>
        <v>Flak, Edred Alexander</v>
      </c>
      <c r="B612" s="25" t="s">
        <v>6452</v>
      </c>
      <c r="C612" s="24" t="s">
        <v>6453</v>
      </c>
      <c r="D612" s="24" t="s">
        <v>6454</v>
      </c>
      <c r="E612" s="24" t="s">
        <v>29</v>
      </c>
      <c r="F612" s="24" t="s">
        <v>30</v>
      </c>
      <c r="G612" s="24" t="s">
        <v>31</v>
      </c>
      <c r="H612" s="24" t="s">
        <v>6455</v>
      </c>
      <c r="I612" s="24" t="s">
        <v>6456</v>
      </c>
      <c r="J612" s="24" t="s">
        <v>6457</v>
      </c>
      <c r="K612" s="24" t="s">
        <v>1528</v>
      </c>
      <c r="L612" s="24" t="s">
        <v>52</v>
      </c>
      <c r="M612" s="15"/>
      <c r="N612" s="15"/>
      <c r="O612" s="15" t="s">
        <v>1201</v>
      </c>
      <c r="P612" s="15" t="s">
        <v>5323</v>
      </c>
      <c r="Q612" s="15"/>
      <c r="R612" s="15" t="s">
        <v>6458</v>
      </c>
      <c r="S612" s="24" t="s">
        <v>39</v>
      </c>
      <c r="T612" s="24" t="s">
        <v>39</v>
      </c>
      <c r="U612" s="24" t="s">
        <v>39</v>
      </c>
      <c r="V612" s="24" t="s">
        <v>39</v>
      </c>
      <c r="W612" s="24"/>
      <c r="X612" s="24"/>
      <c r="Y612" s="15"/>
      <c r="Z612" s="15"/>
      <c r="AA612" s="24"/>
      <c r="AB612" s="24"/>
      <c r="AC612" s="24"/>
      <c r="AD612" s="24"/>
      <c r="AE612" s="24"/>
      <c r="AF612" s="24"/>
      <c r="AG612" s="24"/>
      <c r="AH612" s="24"/>
    </row>
    <row r="613" spans="1:34" ht="30" x14ac:dyDescent="0.25">
      <c r="A613" s="24" t="str">
        <f>HYPERLINK("https://www.cpso.on.ca/DoctorDetails/Edward-Albert-Rotstein/0023401-28192","Rotstein, Edward Albert")</f>
        <v>Rotstein, Edward Albert</v>
      </c>
      <c r="B613" s="25" t="s">
        <v>6459</v>
      </c>
      <c r="C613" s="24" t="s">
        <v>6460</v>
      </c>
      <c r="D613" s="24" t="s">
        <v>6461</v>
      </c>
      <c r="E613" s="24" t="s">
        <v>29</v>
      </c>
      <c r="F613" s="24" t="s">
        <v>30</v>
      </c>
      <c r="G613" s="24" t="s">
        <v>31</v>
      </c>
      <c r="H613" s="24" t="s">
        <v>2405</v>
      </c>
      <c r="I613" s="24" t="s">
        <v>6462</v>
      </c>
      <c r="J613" s="24" t="s">
        <v>574</v>
      </c>
      <c r="K613" s="24" t="s">
        <v>6463</v>
      </c>
      <c r="L613" s="24" t="s">
        <v>184</v>
      </c>
      <c r="M613" s="15" t="s">
        <v>6464</v>
      </c>
      <c r="N613" s="15"/>
      <c r="O613" s="15" t="s">
        <v>4002</v>
      </c>
      <c r="P613" s="15" t="s">
        <v>6465</v>
      </c>
      <c r="Q613" s="15"/>
      <c r="R613" s="15" t="s">
        <v>6466</v>
      </c>
      <c r="S613" s="24" t="s">
        <v>39</v>
      </c>
      <c r="T613" s="24" t="s">
        <v>39</v>
      </c>
      <c r="U613" s="24" t="s">
        <v>39</v>
      </c>
      <c r="V613" s="24" t="s">
        <v>39</v>
      </c>
      <c r="W613" s="24"/>
      <c r="X613" s="24"/>
      <c r="Y613" s="15"/>
      <c r="Z613" s="15"/>
      <c r="AA613" s="24"/>
      <c r="AB613" s="24"/>
      <c r="AC613" s="24"/>
      <c r="AD613" s="24"/>
      <c r="AE613" s="24"/>
      <c r="AF613" s="24"/>
      <c r="AG613" s="24"/>
      <c r="AH613" s="24"/>
    </row>
    <row r="614" spans="1:34" x14ac:dyDescent="0.25">
      <c r="A614" s="24" t="str">
        <f>HYPERLINK("https://www.cpso.on.ca/DoctorDetails/Edward-Brown/0018188-22974","Brown, Edward")</f>
        <v>Brown, Edward</v>
      </c>
      <c r="B614" s="25" t="s">
        <v>6467</v>
      </c>
      <c r="C614" s="24" t="s">
        <v>6468</v>
      </c>
      <c r="D614" s="24" t="s">
        <v>6469</v>
      </c>
      <c r="E614" s="24" t="s">
        <v>29</v>
      </c>
      <c r="F614" s="24" t="s">
        <v>30</v>
      </c>
      <c r="G614" s="24" t="s">
        <v>6470</v>
      </c>
      <c r="H614" s="24" t="s">
        <v>6471</v>
      </c>
      <c r="I614" s="24" t="s">
        <v>6472</v>
      </c>
      <c r="J614" s="24" t="s">
        <v>6473</v>
      </c>
      <c r="K614" s="24" t="s">
        <v>6474</v>
      </c>
      <c r="L614" s="24" t="s">
        <v>52</v>
      </c>
      <c r="M614" s="15"/>
      <c r="N614" s="15"/>
      <c r="O614" s="15"/>
      <c r="P614" s="15" t="s">
        <v>6475</v>
      </c>
      <c r="Q614" s="15"/>
      <c r="R614" s="15" t="s">
        <v>6476</v>
      </c>
      <c r="S614" s="24" t="s">
        <v>39</v>
      </c>
      <c r="T614" s="24" t="s">
        <v>39</v>
      </c>
      <c r="U614" s="24" t="s">
        <v>39</v>
      </c>
      <c r="V614" s="24" t="s">
        <v>39</v>
      </c>
      <c r="W614" s="24"/>
      <c r="X614" s="24"/>
      <c r="Y614" s="15"/>
      <c r="Z614" s="15"/>
      <c r="AA614" s="24"/>
      <c r="AB614" s="24"/>
      <c r="AC614" s="24"/>
      <c r="AD614" s="24"/>
      <c r="AE614" s="24"/>
      <c r="AF614" s="24"/>
      <c r="AG614" s="24"/>
      <c r="AH614" s="24"/>
    </row>
    <row r="615" spans="1:34" ht="30" x14ac:dyDescent="0.25">
      <c r="A615" s="24" t="str">
        <f>HYPERLINK("https://www.cpso.on.ca/DoctorDetails/Edward-Constantine-Anthony-Zolpis/0037913-51889","Zolpis, Edward Constantine Anthony")</f>
        <v>Zolpis, Edward Constantine Anthony</v>
      </c>
      <c r="B615" s="25" t="s">
        <v>6477</v>
      </c>
      <c r="C615" s="24" t="s">
        <v>753</v>
      </c>
      <c r="D615" s="24" t="s">
        <v>6365</v>
      </c>
      <c r="E615" s="24" t="s">
        <v>29</v>
      </c>
      <c r="F615" s="24" t="s">
        <v>30</v>
      </c>
      <c r="G615" s="24" t="s">
        <v>31</v>
      </c>
      <c r="H615" s="24" t="s">
        <v>6478</v>
      </c>
      <c r="I615" s="24" t="s">
        <v>6479</v>
      </c>
      <c r="J615" s="24" t="s">
        <v>6480</v>
      </c>
      <c r="K615" s="24"/>
      <c r="L615" s="24" t="s">
        <v>84</v>
      </c>
      <c r="M615" s="15"/>
      <c r="N615" s="15"/>
      <c r="O615" s="15"/>
      <c r="P615" s="15" t="s">
        <v>3636</v>
      </c>
      <c r="Q615" s="15"/>
      <c r="R615" s="15" t="s">
        <v>6481</v>
      </c>
      <c r="S615" s="24" t="s">
        <v>39</v>
      </c>
      <c r="T615" s="24" t="s">
        <v>39</v>
      </c>
      <c r="U615" s="24" t="s">
        <v>39</v>
      </c>
      <c r="V615" s="24" t="s">
        <v>39</v>
      </c>
      <c r="W615" s="24"/>
      <c r="X615" s="24"/>
      <c r="Y615" s="15"/>
      <c r="Z615" s="15"/>
      <c r="AA615" s="24"/>
      <c r="AB615" s="24"/>
      <c r="AC615" s="24"/>
      <c r="AD615" s="24"/>
      <c r="AE615" s="24"/>
      <c r="AF615" s="24"/>
      <c r="AG615" s="24"/>
      <c r="AH615" s="24"/>
    </row>
    <row r="616" spans="1:34" ht="30" x14ac:dyDescent="0.25">
      <c r="A616" s="24" t="str">
        <f>HYPERLINK("https://www.cpso.on.ca/DoctorDetails/Edward-John-Rzadki/0013430-18211","Rzadki, Edward John")</f>
        <v>Rzadki, Edward John</v>
      </c>
      <c r="B616" s="25" t="s">
        <v>6482</v>
      </c>
      <c r="C616" s="24" t="s">
        <v>6483</v>
      </c>
      <c r="D616" s="24" t="s">
        <v>6484</v>
      </c>
      <c r="E616" s="24" t="s">
        <v>29</v>
      </c>
      <c r="F616" s="24" t="s">
        <v>30</v>
      </c>
      <c r="G616" s="24" t="s">
        <v>1657</v>
      </c>
      <c r="H616" s="24" t="s">
        <v>6485</v>
      </c>
      <c r="I616" s="24" t="s">
        <v>6486</v>
      </c>
      <c r="J616" s="24" t="s">
        <v>6487</v>
      </c>
      <c r="K616" s="24" t="s">
        <v>6488</v>
      </c>
      <c r="L616" s="24" t="s">
        <v>52</v>
      </c>
      <c r="M616" s="15" t="s">
        <v>6489</v>
      </c>
      <c r="N616" s="15"/>
      <c r="O616" s="15" t="s">
        <v>6490</v>
      </c>
      <c r="P616" s="15" t="s">
        <v>6181</v>
      </c>
      <c r="Q616" s="15"/>
      <c r="R616" s="15" t="s">
        <v>6491</v>
      </c>
      <c r="S616" s="24" t="s">
        <v>39</v>
      </c>
      <c r="T616" s="24" t="s">
        <v>39</v>
      </c>
      <c r="U616" s="24" t="s">
        <v>39</v>
      </c>
      <c r="V616" s="24" t="s">
        <v>39</v>
      </c>
      <c r="W616" s="24"/>
      <c r="X616" s="24"/>
      <c r="Y616" s="15"/>
      <c r="Z616" s="15"/>
      <c r="AA616" s="24"/>
      <c r="AB616" s="24"/>
      <c r="AC616" s="24"/>
      <c r="AD616" s="24"/>
      <c r="AE616" s="24"/>
      <c r="AF616" s="24"/>
      <c r="AG616" s="24"/>
      <c r="AH616" s="24"/>
    </row>
    <row r="617" spans="1:34" ht="45" x14ac:dyDescent="0.25">
      <c r="A617" s="24" t="str">
        <f>HYPERLINK("https://www.cpso.on.ca/DoctorDetails/Edward-Robert-Horn/0036819-50795","Horn, Edward Robert")</f>
        <v>Horn, Edward Robert</v>
      </c>
      <c r="B617" s="25" t="s">
        <v>6492</v>
      </c>
      <c r="C617" s="24" t="s">
        <v>492</v>
      </c>
      <c r="D617" s="24" t="s">
        <v>6493</v>
      </c>
      <c r="E617" s="24" t="s">
        <v>29</v>
      </c>
      <c r="F617" s="24" t="s">
        <v>30</v>
      </c>
      <c r="G617" s="24" t="s">
        <v>115</v>
      </c>
      <c r="H617" s="24" t="s">
        <v>6494</v>
      </c>
      <c r="I617" s="24" t="s">
        <v>708</v>
      </c>
      <c r="J617" s="24" t="s">
        <v>6495</v>
      </c>
      <c r="K617" s="24" t="s">
        <v>6496</v>
      </c>
      <c r="L617" s="24" t="s">
        <v>84</v>
      </c>
      <c r="M617" s="15"/>
      <c r="N617" s="15" t="s">
        <v>1449</v>
      </c>
      <c r="O617" s="15" t="s">
        <v>498</v>
      </c>
      <c r="P617" s="15" t="s">
        <v>316</v>
      </c>
      <c r="Q617" s="15"/>
      <c r="R617" s="15" t="s">
        <v>6497</v>
      </c>
      <c r="S617" s="24" t="s">
        <v>39</v>
      </c>
      <c r="T617" s="24" t="s">
        <v>39</v>
      </c>
      <c r="U617" s="24" t="s">
        <v>39</v>
      </c>
      <c r="V617" s="24" t="s">
        <v>39</v>
      </c>
      <c r="W617" s="24" t="s">
        <v>6498</v>
      </c>
      <c r="X617" s="24" t="s">
        <v>6499</v>
      </c>
      <c r="Y617" s="15"/>
      <c r="Z617" s="15"/>
      <c r="AA617" s="24"/>
      <c r="AB617" s="24"/>
      <c r="AC617" s="24"/>
      <c r="AD617" s="24"/>
      <c r="AE617" s="24"/>
      <c r="AF617" s="24"/>
      <c r="AG617" s="24"/>
      <c r="AH617" s="24"/>
    </row>
    <row r="618" spans="1:34" x14ac:dyDescent="0.25">
      <c r="A618" s="24" t="str">
        <f>HYPERLINK("https://www.cpso.on.ca/DoctorDetails/Edward-Stephen-Hamer/0022484-27274","Hamer, Edward Stephen")</f>
        <v>Hamer, Edward Stephen</v>
      </c>
      <c r="B618" s="25" t="s">
        <v>6500</v>
      </c>
      <c r="C618" s="24" t="s">
        <v>6501</v>
      </c>
      <c r="D618" s="24" t="s">
        <v>6502</v>
      </c>
      <c r="E618" s="24" t="s">
        <v>29</v>
      </c>
      <c r="F618" s="24" t="s">
        <v>30</v>
      </c>
      <c r="G618" s="24" t="s">
        <v>31</v>
      </c>
      <c r="H618" s="24" t="s">
        <v>455</v>
      </c>
      <c r="I618" s="24" t="s">
        <v>6503</v>
      </c>
      <c r="J618" s="24" t="s">
        <v>6504</v>
      </c>
      <c r="K618" s="24"/>
      <c r="L618" s="24" t="s">
        <v>52</v>
      </c>
      <c r="M618" s="15"/>
      <c r="N618" s="15"/>
      <c r="O618" s="15"/>
      <c r="P618" s="15" t="s">
        <v>2459</v>
      </c>
      <c r="Q618" s="15"/>
      <c r="R618" s="15" t="s">
        <v>6505</v>
      </c>
      <c r="S618" s="24" t="s">
        <v>39</v>
      </c>
      <c r="T618" s="24" t="s">
        <v>39</v>
      </c>
      <c r="U618" s="24" t="s">
        <v>39</v>
      </c>
      <c r="V618" s="24" t="s">
        <v>39</v>
      </c>
      <c r="W618" s="24"/>
      <c r="X618" s="24"/>
      <c r="Y618" s="15"/>
      <c r="Z618" s="15"/>
      <c r="AA618" s="24"/>
      <c r="AB618" s="24"/>
      <c r="AC618" s="24"/>
      <c r="AD618" s="24"/>
      <c r="AE618" s="24"/>
      <c r="AF618" s="24"/>
      <c r="AG618" s="24"/>
      <c r="AH618" s="24"/>
    </row>
    <row r="619" spans="1:34" x14ac:dyDescent="0.25">
      <c r="A619" s="24" t="str">
        <f>HYPERLINK("https://www.cpso.on.ca/DoctorDetails/Edward-Toma-Matti/0157362-77072","Matti, Edward Toma")</f>
        <v>Matti, Edward Toma</v>
      </c>
      <c r="B619" s="25" t="s">
        <v>6506</v>
      </c>
      <c r="C619" s="24" t="s">
        <v>6507</v>
      </c>
      <c r="D619" s="24" t="s">
        <v>6508</v>
      </c>
      <c r="E619" s="24" t="s">
        <v>29</v>
      </c>
      <c r="F619" s="24" t="s">
        <v>30</v>
      </c>
      <c r="G619" s="24" t="s">
        <v>6509</v>
      </c>
      <c r="H619" s="24" t="s">
        <v>6510</v>
      </c>
      <c r="I619" s="24" t="s">
        <v>6511</v>
      </c>
      <c r="J619" s="24" t="s">
        <v>6512</v>
      </c>
      <c r="K619" s="24" t="s">
        <v>6513</v>
      </c>
      <c r="L619" s="24" t="s">
        <v>152</v>
      </c>
      <c r="M619" s="15"/>
      <c r="N619" s="15"/>
      <c r="O619" s="15" t="s">
        <v>2689</v>
      </c>
      <c r="P619" s="15" t="s">
        <v>512</v>
      </c>
      <c r="Q619" s="15"/>
      <c r="R619" s="15" t="s">
        <v>6514</v>
      </c>
      <c r="S619" s="24" t="s">
        <v>39</v>
      </c>
      <c r="T619" s="24" t="s">
        <v>39</v>
      </c>
      <c r="U619" s="24" t="s">
        <v>39</v>
      </c>
      <c r="V619" s="24" t="s">
        <v>39</v>
      </c>
      <c r="W619" s="24" t="s">
        <v>6515</v>
      </c>
      <c r="X619" s="24" t="s">
        <v>6516</v>
      </c>
      <c r="Y619" s="15" t="s">
        <v>6517</v>
      </c>
      <c r="Z619" s="15" t="s">
        <v>6518</v>
      </c>
      <c r="AA619" s="24"/>
      <c r="AB619" s="24"/>
      <c r="AC619" s="24"/>
      <c r="AD619" s="24"/>
      <c r="AE619" s="24"/>
      <c r="AF619" s="24"/>
      <c r="AG619" s="24"/>
      <c r="AH619" s="24"/>
    </row>
    <row r="620" spans="1:34" ht="30" x14ac:dyDescent="0.25">
      <c r="A620" s="24" t="str">
        <f>HYPERLINK("https://www.cpso.on.ca/DoctorDetails/Edwin-Larry-Hersch/0043250-57228","Hersch, Edwin Larry")</f>
        <v>Hersch, Edwin Larry</v>
      </c>
      <c r="B620" s="25" t="s">
        <v>6519</v>
      </c>
      <c r="C620" s="24" t="s">
        <v>801</v>
      </c>
      <c r="D620" s="24" t="s">
        <v>6520</v>
      </c>
      <c r="E620" s="24" t="s">
        <v>29</v>
      </c>
      <c r="F620" s="24" t="s">
        <v>30</v>
      </c>
      <c r="G620" s="24" t="s">
        <v>31</v>
      </c>
      <c r="H620" s="24" t="s">
        <v>3563</v>
      </c>
      <c r="I620" s="24" t="s">
        <v>6521</v>
      </c>
      <c r="J620" s="24" t="s">
        <v>6522</v>
      </c>
      <c r="K620" s="24"/>
      <c r="L620" s="24" t="s">
        <v>52</v>
      </c>
      <c r="M620" s="15"/>
      <c r="N620" s="15" t="s">
        <v>735</v>
      </c>
      <c r="O620" s="15"/>
      <c r="P620" s="15" t="s">
        <v>2864</v>
      </c>
      <c r="Q620" s="15"/>
      <c r="R620" s="15" t="s">
        <v>6523</v>
      </c>
      <c r="S620" s="24" t="s">
        <v>39</v>
      </c>
      <c r="T620" s="24" t="s">
        <v>39</v>
      </c>
      <c r="U620" s="24" t="s">
        <v>39</v>
      </c>
      <c r="V620" s="24" t="s">
        <v>39</v>
      </c>
      <c r="W620" s="24"/>
      <c r="X620" s="24"/>
      <c r="Y620" s="15"/>
      <c r="Z620" s="15"/>
      <c r="AA620" s="24"/>
      <c r="AB620" s="24"/>
      <c r="AC620" s="24"/>
      <c r="AD620" s="24"/>
      <c r="AE620" s="24"/>
      <c r="AF620" s="24"/>
      <c r="AG620" s="24"/>
      <c r="AH620" s="24"/>
    </row>
    <row r="621" spans="1:34" x14ac:dyDescent="0.25">
      <c r="A621" s="24" t="str">
        <f>HYPERLINK("https://www.cpso.on.ca/DoctorDetails/Edwin-Mongsu-Tam/0049509-63487","Tam, Edwin Mongsu")</f>
        <v>Tam, Edwin Mongsu</v>
      </c>
      <c r="B621" s="25" t="s">
        <v>6524</v>
      </c>
      <c r="C621" s="24" t="s">
        <v>6525</v>
      </c>
      <c r="D621" s="24" t="s">
        <v>6526</v>
      </c>
      <c r="E621" s="24" t="s">
        <v>29</v>
      </c>
      <c r="F621" s="24" t="s">
        <v>30</v>
      </c>
      <c r="G621" s="24" t="s">
        <v>6527</v>
      </c>
      <c r="H621" s="24" t="s">
        <v>6528</v>
      </c>
      <c r="I621" s="24" t="s">
        <v>6529</v>
      </c>
      <c r="J621" s="24" t="s">
        <v>6530</v>
      </c>
      <c r="K621" s="24"/>
      <c r="L621" s="24"/>
      <c r="M621" s="15"/>
      <c r="N621" s="15" t="s">
        <v>1370</v>
      </c>
      <c r="O621" s="15"/>
      <c r="P621" s="15" t="s">
        <v>1007</v>
      </c>
      <c r="Q621" s="15"/>
      <c r="R621" s="15" t="s">
        <v>6531</v>
      </c>
      <c r="S621" s="24" t="s">
        <v>39</v>
      </c>
      <c r="T621" s="24" t="s">
        <v>39</v>
      </c>
      <c r="U621" s="24" t="s">
        <v>39</v>
      </c>
      <c r="V621" s="24" t="s">
        <v>39</v>
      </c>
      <c r="W621" s="24"/>
      <c r="X621" s="24"/>
      <c r="Y621" s="15"/>
      <c r="Z621" s="15"/>
      <c r="AA621" s="24"/>
      <c r="AB621" s="24"/>
      <c r="AC621" s="24"/>
      <c r="AD621" s="24"/>
      <c r="AE621" s="24"/>
      <c r="AF621" s="24"/>
      <c r="AG621" s="24"/>
      <c r="AH621" s="24"/>
    </row>
    <row r="622" spans="1:34" ht="120" x14ac:dyDescent="0.25">
      <c r="A622" s="24" t="str">
        <f>HYPERLINK("https://www.cpso.on.ca/DoctorDetails/Eileen-Louise-La-Croix/0057215-68803","La Croix, Eileen Louise")</f>
        <v>La Croix, Eileen Louise</v>
      </c>
      <c r="B622" s="25" t="s">
        <v>6532</v>
      </c>
      <c r="C622" s="24" t="s">
        <v>1322</v>
      </c>
      <c r="D622" s="24" t="s">
        <v>6533</v>
      </c>
      <c r="E622" s="24" t="s">
        <v>29</v>
      </c>
      <c r="F622" s="24" t="s">
        <v>47</v>
      </c>
      <c r="G622" s="24" t="s">
        <v>31</v>
      </c>
      <c r="H622" s="24" t="s">
        <v>6534</v>
      </c>
      <c r="I622" s="24" t="s">
        <v>6535</v>
      </c>
      <c r="J622" s="24" t="s">
        <v>6536</v>
      </c>
      <c r="K622" s="24" t="s">
        <v>6537</v>
      </c>
      <c r="L622" s="24" t="s">
        <v>52</v>
      </c>
      <c r="M622" s="15" t="s">
        <v>6538</v>
      </c>
      <c r="N622" s="15"/>
      <c r="O622" s="15" t="s">
        <v>2292</v>
      </c>
      <c r="P622" s="15" t="s">
        <v>2678</v>
      </c>
      <c r="Q622" s="15" t="s">
        <v>6539</v>
      </c>
      <c r="R622" s="15" t="s">
        <v>6540</v>
      </c>
      <c r="S622" s="24" t="s">
        <v>39</v>
      </c>
      <c r="T622" s="24" t="s">
        <v>39</v>
      </c>
      <c r="U622" s="24" t="s">
        <v>39</v>
      </c>
      <c r="V622" s="24" t="s">
        <v>39</v>
      </c>
      <c r="W622" s="24"/>
      <c r="X622" s="24"/>
      <c r="Y622" s="15"/>
      <c r="Z622" s="15"/>
      <c r="AA622" s="24"/>
      <c r="AB622" s="24"/>
      <c r="AC622" s="24"/>
      <c r="AD622" s="24"/>
      <c r="AE622" s="24"/>
      <c r="AF622" s="24"/>
      <c r="AG622" s="24"/>
      <c r="AH622" s="24"/>
    </row>
    <row r="623" spans="1:34" ht="75" x14ac:dyDescent="0.25">
      <c r="A623" s="24" t="str">
        <f>HYPERLINK("https://www.cpso.on.ca/DoctorDetails/Eileen-Patricia-Sloan/0159029-73895","Sloan, Eileen Patricia")</f>
        <v>Sloan, Eileen Patricia</v>
      </c>
      <c r="B623" s="25" t="s">
        <v>6541</v>
      </c>
      <c r="C623" s="24" t="s">
        <v>280</v>
      </c>
      <c r="D623" s="24" t="s">
        <v>281</v>
      </c>
      <c r="E623" s="24" t="s">
        <v>29</v>
      </c>
      <c r="F623" s="24" t="s">
        <v>47</v>
      </c>
      <c r="G623" s="24" t="s">
        <v>31</v>
      </c>
      <c r="H623" s="24" t="s">
        <v>1235</v>
      </c>
      <c r="I623" s="24" t="s">
        <v>6542</v>
      </c>
      <c r="J623" s="24" t="s">
        <v>6543</v>
      </c>
      <c r="K623" s="24" t="s">
        <v>1528</v>
      </c>
      <c r="L623" s="24" t="s">
        <v>52</v>
      </c>
      <c r="M623" s="15" t="s">
        <v>6544</v>
      </c>
      <c r="N623" s="15"/>
      <c r="O623" s="15" t="s">
        <v>1201</v>
      </c>
      <c r="P623" s="15" t="s">
        <v>288</v>
      </c>
      <c r="Q623" s="15" t="s">
        <v>289</v>
      </c>
      <c r="R623" s="15" t="s">
        <v>290</v>
      </c>
      <c r="S623" s="24" t="s">
        <v>39</v>
      </c>
      <c r="T623" s="24" t="s">
        <v>39</v>
      </c>
      <c r="U623" s="24" t="s">
        <v>39</v>
      </c>
      <c r="V623" s="24" t="s">
        <v>39</v>
      </c>
      <c r="W623" s="24"/>
      <c r="X623" s="24"/>
      <c r="Y623" s="15"/>
      <c r="Z623" s="15"/>
      <c r="AA623" s="24"/>
      <c r="AB623" s="24"/>
      <c r="AC623" s="24"/>
      <c r="AD623" s="24"/>
      <c r="AE623" s="24"/>
      <c r="AF623" s="24"/>
      <c r="AG623" s="24"/>
      <c r="AH623" s="24"/>
    </row>
    <row r="624" spans="1:34" x14ac:dyDescent="0.25">
      <c r="A624" s="24" t="str">
        <f>HYPERLINK("https://www.cpso.on.ca/DoctorDetails/Elaine-Fern-Manace-Borins/0014209-18991","Borins, Elaine Fern Manace")</f>
        <v>Borins, Elaine Fern Manace</v>
      </c>
      <c r="B624" s="25" t="s">
        <v>6545</v>
      </c>
      <c r="C624" s="24" t="s">
        <v>6546</v>
      </c>
      <c r="D624" s="24" t="s">
        <v>6547</v>
      </c>
      <c r="E624" s="24" t="s">
        <v>29</v>
      </c>
      <c r="F624" s="24" t="s">
        <v>47</v>
      </c>
      <c r="G624" s="24" t="s">
        <v>31</v>
      </c>
      <c r="H624" s="24" t="s">
        <v>6548</v>
      </c>
      <c r="I624" s="24" t="s">
        <v>6549</v>
      </c>
      <c r="J624" s="24" t="s">
        <v>6550</v>
      </c>
      <c r="K624" s="24" t="s">
        <v>6551</v>
      </c>
      <c r="L624" s="24" t="s">
        <v>52</v>
      </c>
      <c r="M624" s="15"/>
      <c r="N624" s="15"/>
      <c r="O624" s="15"/>
      <c r="P624" s="15" t="s">
        <v>6552</v>
      </c>
      <c r="Q624" s="15"/>
      <c r="R624" s="15" t="s">
        <v>6553</v>
      </c>
      <c r="S624" s="24" t="s">
        <v>39</v>
      </c>
      <c r="T624" s="24" t="s">
        <v>39</v>
      </c>
      <c r="U624" s="24" t="s">
        <v>39</v>
      </c>
      <c r="V624" s="24" t="s">
        <v>39</v>
      </c>
      <c r="W624" s="24" t="s">
        <v>6554</v>
      </c>
      <c r="X624" s="24" t="s">
        <v>6555</v>
      </c>
      <c r="Y624" s="15" t="s">
        <v>6556</v>
      </c>
      <c r="Z624" s="15" t="s">
        <v>6557</v>
      </c>
      <c r="AA624" s="24"/>
      <c r="AB624" s="24"/>
      <c r="AC624" s="24"/>
      <c r="AD624" s="24"/>
      <c r="AE624" s="24"/>
      <c r="AF624" s="24"/>
      <c r="AG624" s="24"/>
      <c r="AH624" s="24"/>
    </row>
    <row r="625" spans="1:34" ht="30" x14ac:dyDescent="0.25">
      <c r="A625" s="24" t="str">
        <f>HYPERLINK("https://www.cpso.on.ca/DoctorDetails/Eldon-Ronald-Tunks/0021661-26450","Tunks, Eldon Ronald")</f>
        <v>Tunks, Eldon Ronald</v>
      </c>
      <c r="B625" s="25" t="s">
        <v>6558</v>
      </c>
      <c r="C625" s="24" t="s">
        <v>6559</v>
      </c>
      <c r="D625" s="24" t="s">
        <v>6560</v>
      </c>
      <c r="E625" s="24" t="s">
        <v>29</v>
      </c>
      <c r="F625" s="24" t="s">
        <v>30</v>
      </c>
      <c r="G625" s="24" t="s">
        <v>2188</v>
      </c>
      <c r="H625" s="24" t="s">
        <v>6561</v>
      </c>
      <c r="I625" s="24" t="s">
        <v>6562</v>
      </c>
      <c r="J625" s="24" t="s">
        <v>6563</v>
      </c>
      <c r="K625" s="24" t="s">
        <v>6564</v>
      </c>
      <c r="L625" s="24" t="s">
        <v>184</v>
      </c>
      <c r="M625" s="15"/>
      <c r="N625" s="15"/>
      <c r="O625" s="15" t="s">
        <v>6565</v>
      </c>
      <c r="P625" s="15" t="s">
        <v>2400</v>
      </c>
      <c r="Q625" s="15"/>
      <c r="R625" s="15" t="s">
        <v>6566</v>
      </c>
      <c r="S625" s="24" t="s">
        <v>39</v>
      </c>
      <c r="T625" s="24" t="s">
        <v>39</v>
      </c>
      <c r="U625" s="24" t="s">
        <v>39</v>
      </c>
      <c r="V625" s="24" t="s">
        <v>39</v>
      </c>
      <c r="W625" s="24" t="s">
        <v>6567</v>
      </c>
      <c r="X625" s="24" t="s">
        <v>6568</v>
      </c>
      <c r="Y625" s="15" t="s">
        <v>6569</v>
      </c>
      <c r="Z625" s="15" t="s">
        <v>6570</v>
      </c>
      <c r="AA625" s="24"/>
      <c r="AB625" s="24"/>
      <c r="AC625" s="24"/>
      <c r="AD625" s="24"/>
      <c r="AE625" s="24"/>
      <c r="AF625" s="24"/>
      <c r="AG625" s="24"/>
      <c r="AH625" s="24"/>
    </row>
    <row r="626" spans="1:34" ht="90" x14ac:dyDescent="0.25">
      <c r="A626" s="24" t="str">
        <f>HYPERLINK("https://www.cpso.on.ca/DoctorDetails/Elena-Irina-NicaGraham/0273324-96122","Nica-Graham, Elena Irina")</f>
        <v>Nica-Graham, Elena Irina</v>
      </c>
      <c r="B626" s="25" t="s">
        <v>6571</v>
      </c>
      <c r="C626" s="24" t="s">
        <v>1266</v>
      </c>
      <c r="D626" s="24" t="s">
        <v>967</v>
      </c>
      <c r="E626" s="24" t="s">
        <v>6572</v>
      </c>
      <c r="F626" s="24" t="s">
        <v>47</v>
      </c>
      <c r="G626" s="24" t="s">
        <v>31</v>
      </c>
      <c r="H626" s="24" t="s">
        <v>4461</v>
      </c>
      <c r="I626" s="24" t="s">
        <v>6573</v>
      </c>
      <c r="J626" s="24" t="s">
        <v>6574</v>
      </c>
      <c r="K626" s="24" t="s">
        <v>437</v>
      </c>
      <c r="L626" s="24" t="s">
        <v>52</v>
      </c>
      <c r="M626" s="15"/>
      <c r="N626" s="15"/>
      <c r="O626" s="15" t="s">
        <v>1201</v>
      </c>
      <c r="P626" s="15" t="s">
        <v>973</v>
      </c>
      <c r="Q626" s="15" t="s">
        <v>4467</v>
      </c>
      <c r="R626" s="15" t="s">
        <v>4059</v>
      </c>
      <c r="S626" s="24" t="s">
        <v>39</v>
      </c>
      <c r="T626" s="24" t="s">
        <v>39</v>
      </c>
      <c r="U626" s="24" t="s">
        <v>39</v>
      </c>
      <c r="V626" s="24" t="s">
        <v>39</v>
      </c>
      <c r="W626" s="24"/>
      <c r="X626" s="24"/>
      <c r="Y626" s="15"/>
      <c r="Z626" s="15"/>
      <c r="AA626" s="24"/>
      <c r="AB626" s="24"/>
      <c r="AC626" s="24"/>
      <c r="AD626" s="24"/>
      <c r="AE626" s="24"/>
      <c r="AF626" s="24"/>
      <c r="AG626" s="24"/>
      <c r="AH626" s="24"/>
    </row>
    <row r="627" spans="1:34" ht="45" x14ac:dyDescent="0.25">
      <c r="A627" s="24" t="str">
        <f>HYPERLINK("https://www.cpso.on.ca/DoctorDetails/Elena-Shurshilova/0269864-94752","Shurshilova, Elena")</f>
        <v>Shurshilova, Elena</v>
      </c>
      <c r="B627" s="25" t="s">
        <v>6575</v>
      </c>
      <c r="C627" s="24" t="s">
        <v>6576</v>
      </c>
      <c r="D627" s="24" t="s">
        <v>6577</v>
      </c>
      <c r="E627" s="24" t="s">
        <v>29</v>
      </c>
      <c r="F627" s="24" t="s">
        <v>47</v>
      </c>
      <c r="G627" s="24" t="s">
        <v>873</v>
      </c>
      <c r="H627" s="24" t="s">
        <v>6578</v>
      </c>
      <c r="I627" s="24" t="s">
        <v>6579</v>
      </c>
      <c r="J627" s="24" t="s">
        <v>6580</v>
      </c>
      <c r="K627" s="24" t="s">
        <v>6581</v>
      </c>
      <c r="L627" s="24" t="s">
        <v>84</v>
      </c>
      <c r="M627" s="15" t="s">
        <v>6582</v>
      </c>
      <c r="N627" s="15" t="s">
        <v>120</v>
      </c>
      <c r="O627" s="15"/>
      <c r="P627" s="15" t="s">
        <v>449</v>
      </c>
      <c r="Q627" s="15" t="s">
        <v>6583</v>
      </c>
      <c r="R627" s="15" t="s">
        <v>6584</v>
      </c>
      <c r="S627" s="24" t="s">
        <v>39</v>
      </c>
      <c r="T627" s="24" t="s">
        <v>39</v>
      </c>
      <c r="U627" s="24" t="s">
        <v>39</v>
      </c>
      <c r="V627" s="24" t="s">
        <v>39</v>
      </c>
      <c r="W627" s="24" t="s">
        <v>6585</v>
      </c>
      <c r="X627" s="24" t="s">
        <v>6586</v>
      </c>
      <c r="Y627" s="15" t="s">
        <v>6587</v>
      </c>
      <c r="Z627" s="15" t="s">
        <v>6588</v>
      </c>
      <c r="AA627" s="24"/>
      <c r="AB627" s="24"/>
      <c r="AC627" s="24"/>
      <c r="AD627" s="24"/>
      <c r="AE627" s="24"/>
      <c r="AF627" s="24"/>
      <c r="AG627" s="24"/>
      <c r="AH627" s="24"/>
    </row>
    <row r="628" spans="1:34" ht="90" x14ac:dyDescent="0.25">
      <c r="A628" s="24" t="str">
        <f>HYPERLINK("https://www.cpso.on.ca/DoctorDetails/Elena-Valentina-Miula/0250684-89390","Miula, Elena Valentina")</f>
        <v>Miula, Elena Valentina</v>
      </c>
      <c r="B628" s="25" t="s">
        <v>6589</v>
      </c>
      <c r="C628" s="24" t="s">
        <v>846</v>
      </c>
      <c r="D628" s="24" t="s">
        <v>600</v>
      </c>
      <c r="E628" s="24" t="s">
        <v>29</v>
      </c>
      <c r="F628" s="24" t="s">
        <v>47</v>
      </c>
      <c r="G628" s="24" t="s">
        <v>923</v>
      </c>
      <c r="H628" s="24" t="s">
        <v>6590</v>
      </c>
      <c r="I628" s="24" t="s">
        <v>6591</v>
      </c>
      <c r="J628" s="24" t="s">
        <v>6592</v>
      </c>
      <c r="K628" s="24"/>
      <c r="L628" s="24" t="s">
        <v>36</v>
      </c>
      <c r="M628" s="15"/>
      <c r="N628" s="15"/>
      <c r="O628" s="15" t="s">
        <v>653</v>
      </c>
      <c r="P628" s="15" t="s">
        <v>272</v>
      </c>
      <c r="Q628" s="15" t="s">
        <v>6593</v>
      </c>
      <c r="R628" s="15" t="s">
        <v>6594</v>
      </c>
      <c r="S628" s="24" t="s">
        <v>39</v>
      </c>
      <c r="T628" s="24" t="s">
        <v>39</v>
      </c>
      <c r="U628" s="24" t="s">
        <v>39</v>
      </c>
      <c r="V628" s="24" t="s">
        <v>39</v>
      </c>
      <c r="W628" s="24"/>
      <c r="X628" s="24"/>
      <c r="Y628" s="15"/>
      <c r="Z628" s="15"/>
      <c r="AA628" s="24"/>
      <c r="AB628" s="24"/>
      <c r="AC628" s="24"/>
      <c r="AD628" s="24"/>
      <c r="AE628" s="24"/>
      <c r="AF628" s="24"/>
      <c r="AG628" s="24"/>
      <c r="AH628" s="24"/>
    </row>
    <row r="629" spans="1:34" ht="75" x14ac:dyDescent="0.25">
      <c r="A629" s="24" t="str">
        <f>HYPERLINK("https://www.cpso.on.ca/DoctorDetails/Elendu-Paul-Okoronkwo/0276108-99337","Okoronkwo, Elendu Paul")</f>
        <v>Okoronkwo, Elendu Paul</v>
      </c>
      <c r="B629" s="25" t="s">
        <v>6595</v>
      </c>
      <c r="C629" s="24" t="s">
        <v>6596</v>
      </c>
      <c r="D629" s="24" t="s">
        <v>6597</v>
      </c>
      <c r="E629" s="24" t="s">
        <v>29</v>
      </c>
      <c r="F629" s="24" t="s">
        <v>30</v>
      </c>
      <c r="G629" s="24" t="s">
        <v>31</v>
      </c>
      <c r="H629" s="24" t="s">
        <v>6598</v>
      </c>
      <c r="I629" s="24" t="s">
        <v>1742</v>
      </c>
      <c r="J629" s="24" t="s">
        <v>6599</v>
      </c>
      <c r="K629" s="24"/>
      <c r="L629" s="24" t="s">
        <v>328</v>
      </c>
      <c r="M629" s="15" t="s">
        <v>6600</v>
      </c>
      <c r="N629" s="15"/>
      <c r="O629" s="15" t="s">
        <v>1746</v>
      </c>
      <c r="P629" s="15" t="s">
        <v>1379</v>
      </c>
      <c r="Q629" s="15"/>
      <c r="R629" s="15" t="s">
        <v>6601</v>
      </c>
      <c r="S629" s="24" t="s">
        <v>39</v>
      </c>
      <c r="T629" s="24" t="s">
        <v>39</v>
      </c>
      <c r="U629" s="24" t="s">
        <v>39</v>
      </c>
      <c r="V629" s="24" t="s">
        <v>39</v>
      </c>
      <c r="W629" s="24" t="s">
        <v>6602</v>
      </c>
      <c r="X629" s="24" t="s">
        <v>6603</v>
      </c>
      <c r="Y629" s="15" t="s">
        <v>6604</v>
      </c>
      <c r="Z629" s="15" t="s">
        <v>6605</v>
      </c>
      <c r="AA629" s="24"/>
      <c r="AB629" s="24"/>
      <c r="AC629" s="24"/>
      <c r="AD629" s="24"/>
      <c r="AE629" s="24"/>
      <c r="AF629" s="24"/>
      <c r="AG629" s="24"/>
      <c r="AH629" s="24"/>
    </row>
    <row r="630" spans="1:34" ht="30" x14ac:dyDescent="0.25">
      <c r="A630" s="24" t="str">
        <f>HYPERLINK("https://www.cpso.on.ca/DoctorDetails/Elfrieda-Erika-Thiessen/0045573-59551","Thiessen, Elfrieda Erika")</f>
        <v>Thiessen, Elfrieda Erika</v>
      </c>
      <c r="B630" s="25" t="s">
        <v>6606</v>
      </c>
      <c r="C630" s="24" t="s">
        <v>2286</v>
      </c>
      <c r="D630" s="24" t="s">
        <v>6607</v>
      </c>
      <c r="E630" s="24" t="s">
        <v>29</v>
      </c>
      <c r="F630" s="24" t="s">
        <v>47</v>
      </c>
      <c r="G630" s="24" t="s">
        <v>6608</v>
      </c>
      <c r="H630" s="24" t="s">
        <v>3465</v>
      </c>
      <c r="I630" s="24" t="s">
        <v>6609</v>
      </c>
      <c r="J630" s="24" t="s">
        <v>6610</v>
      </c>
      <c r="K630" s="24"/>
      <c r="L630" s="24"/>
      <c r="M630" s="15"/>
      <c r="N630" s="15" t="s">
        <v>6611</v>
      </c>
      <c r="O630" s="15"/>
      <c r="P630" s="15" t="s">
        <v>2042</v>
      </c>
      <c r="Q630" s="15" t="s">
        <v>6612</v>
      </c>
      <c r="R630" s="15" t="s">
        <v>6613</v>
      </c>
      <c r="S630" s="24" t="s">
        <v>39</v>
      </c>
      <c r="T630" s="24" t="s">
        <v>39</v>
      </c>
      <c r="U630" s="24" t="s">
        <v>39</v>
      </c>
      <c r="V630" s="24" t="s">
        <v>39</v>
      </c>
      <c r="W630" s="24"/>
      <c r="X630" s="24"/>
      <c r="Y630" s="15"/>
      <c r="Z630" s="15"/>
      <c r="AA630" s="24"/>
      <c r="AB630" s="24"/>
      <c r="AC630" s="24"/>
      <c r="AD630" s="24"/>
      <c r="AE630" s="24"/>
      <c r="AF630" s="24"/>
      <c r="AG630" s="24"/>
      <c r="AH630" s="24"/>
    </row>
    <row r="631" spans="1:34" ht="90" x14ac:dyDescent="0.25">
      <c r="A631" s="24" t="str">
        <f>HYPERLINK("https://www.cpso.on.ca/DoctorDetails/Elia-AbiJaoude/0214429-80898","Abi-Jaoude, Elia")</f>
        <v>Abi-Jaoude, Elia</v>
      </c>
      <c r="B631" s="25" t="s">
        <v>6614</v>
      </c>
      <c r="C631" s="24" t="s">
        <v>45</v>
      </c>
      <c r="D631" s="24" t="s">
        <v>46</v>
      </c>
      <c r="E631" s="24" t="s">
        <v>29</v>
      </c>
      <c r="F631" s="24" t="s">
        <v>30</v>
      </c>
      <c r="G631" s="24" t="s">
        <v>6615</v>
      </c>
      <c r="H631" s="24" t="s">
        <v>6616</v>
      </c>
      <c r="I631" s="24" t="s">
        <v>4552</v>
      </c>
      <c r="J631" s="24" t="s">
        <v>6617</v>
      </c>
      <c r="K631" s="24" t="s">
        <v>6618</v>
      </c>
      <c r="L631" s="24" t="s">
        <v>52</v>
      </c>
      <c r="M631" s="15" t="s">
        <v>6619</v>
      </c>
      <c r="N631" s="15"/>
      <c r="O631" s="15" t="s">
        <v>6620</v>
      </c>
      <c r="P631" s="15" t="s">
        <v>55</v>
      </c>
      <c r="Q631" s="15" t="s">
        <v>6621</v>
      </c>
      <c r="R631" s="15" t="s">
        <v>57</v>
      </c>
      <c r="S631" s="24" t="s">
        <v>39</v>
      </c>
      <c r="T631" s="24" t="s">
        <v>39</v>
      </c>
      <c r="U631" s="24" t="s">
        <v>39</v>
      </c>
      <c r="V631" s="24" t="s">
        <v>39</v>
      </c>
      <c r="W631" s="24"/>
      <c r="X631" s="24"/>
      <c r="Y631" s="15"/>
      <c r="Z631" s="15"/>
      <c r="AA631" s="24"/>
      <c r="AB631" s="24"/>
      <c r="AC631" s="24"/>
      <c r="AD631" s="24"/>
      <c r="AE631" s="24"/>
      <c r="AF631" s="24"/>
      <c r="AG631" s="24"/>
      <c r="AH631" s="24"/>
    </row>
    <row r="632" spans="1:34" x14ac:dyDescent="0.25">
      <c r="A632" s="24" t="str">
        <f>HYPERLINK("https://www.cpso.on.ca/DoctorDetails/Elie-IsenbergGrzeda/0298937-105129","Isenberg-Grzeda, Elie")</f>
        <v>Isenberg-Grzeda, Elie</v>
      </c>
      <c r="B632" s="25" t="s">
        <v>6622</v>
      </c>
      <c r="C632" s="24" t="s">
        <v>6623</v>
      </c>
      <c r="D632" s="24" t="s">
        <v>6624</v>
      </c>
      <c r="E632" s="24" t="s">
        <v>29</v>
      </c>
      <c r="F632" s="24" t="s">
        <v>30</v>
      </c>
      <c r="G632" s="24" t="s">
        <v>31</v>
      </c>
      <c r="H632" s="24" t="s">
        <v>6625</v>
      </c>
      <c r="I632" s="24" t="s">
        <v>6626</v>
      </c>
      <c r="J632" s="24" t="s">
        <v>1558</v>
      </c>
      <c r="K632" s="24" t="s">
        <v>1559</v>
      </c>
      <c r="L632" s="24" t="s">
        <v>52</v>
      </c>
      <c r="M632" s="15"/>
      <c r="N632" s="15" t="s">
        <v>1449</v>
      </c>
      <c r="O632" s="15" t="s">
        <v>1397</v>
      </c>
      <c r="P632" s="15" t="s">
        <v>2105</v>
      </c>
      <c r="Q632" s="15"/>
      <c r="R632" s="15" t="s">
        <v>6627</v>
      </c>
      <c r="S632" s="24" t="s">
        <v>39</v>
      </c>
      <c r="T632" s="24" t="s">
        <v>39</v>
      </c>
      <c r="U632" s="24" t="s">
        <v>39</v>
      </c>
      <c r="V632" s="24" t="s">
        <v>39</v>
      </c>
      <c r="W632" s="24" t="s">
        <v>6628</v>
      </c>
      <c r="X632" s="24" t="s">
        <v>6629</v>
      </c>
      <c r="Y632" s="15" t="s">
        <v>6630</v>
      </c>
      <c r="Z632" s="15" t="s">
        <v>6631</v>
      </c>
      <c r="AA632" s="24"/>
      <c r="AB632" s="24"/>
      <c r="AC632" s="24"/>
      <c r="AD632" s="24"/>
      <c r="AE632" s="24"/>
      <c r="AF632" s="24"/>
      <c r="AG632" s="24"/>
      <c r="AH632" s="24"/>
    </row>
    <row r="633" spans="1:34" ht="90" x14ac:dyDescent="0.25">
      <c r="A633" s="24" t="str">
        <f>HYPERLINK("https://www.cpso.on.ca/DoctorDetails/Elisabeth-Monique-Van-Bussel/0052740-66704","Van Bussel, Elisabeth Monique")</f>
        <v>Van Bussel, Elisabeth Monique</v>
      </c>
      <c r="B633" s="25" t="s">
        <v>6632</v>
      </c>
      <c r="C633" s="24" t="s">
        <v>6633</v>
      </c>
      <c r="D633" s="24" t="s">
        <v>6634</v>
      </c>
      <c r="E633" s="24" t="s">
        <v>29</v>
      </c>
      <c r="F633" s="24" t="s">
        <v>47</v>
      </c>
      <c r="G633" s="24" t="s">
        <v>31</v>
      </c>
      <c r="H633" s="24" t="s">
        <v>298</v>
      </c>
      <c r="I633" s="24" t="s">
        <v>6635</v>
      </c>
      <c r="J633" s="24" t="s">
        <v>6636</v>
      </c>
      <c r="K633" s="24" t="s">
        <v>1327</v>
      </c>
      <c r="L633" s="24" t="s">
        <v>135</v>
      </c>
      <c r="M633" s="15"/>
      <c r="N633" s="15"/>
      <c r="O633" s="15" t="s">
        <v>4950</v>
      </c>
      <c r="P633" s="15" t="s">
        <v>6637</v>
      </c>
      <c r="Q633" s="15" t="s">
        <v>6638</v>
      </c>
      <c r="R633" s="15" t="s">
        <v>6639</v>
      </c>
      <c r="S633" s="24" t="s">
        <v>39</v>
      </c>
      <c r="T633" s="24" t="s">
        <v>39</v>
      </c>
      <c r="U633" s="24" t="s">
        <v>39</v>
      </c>
      <c r="V633" s="24" t="s">
        <v>39</v>
      </c>
      <c r="W633" s="24"/>
      <c r="X633" s="24"/>
      <c r="Y633" s="15"/>
      <c r="Z633" s="15"/>
      <c r="AA633" s="24"/>
      <c r="AB633" s="24"/>
      <c r="AC633" s="24"/>
      <c r="AD633" s="24"/>
      <c r="AE633" s="24"/>
      <c r="AF633" s="24"/>
      <c r="AG633" s="24"/>
      <c r="AH633" s="24"/>
    </row>
    <row r="634" spans="1:34" ht="75" x14ac:dyDescent="0.25">
      <c r="A634" s="24" t="str">
        <f>HYPERLINK("https://www.cpso.on.ca/DoctorDetails/Elisabeth-Wright/0073315-101460","Wright, Elisabeth")</f>
        <v>Wright, Elisabeth</v>
      </c>
      <c r="B634" s="25" t="s">
        <v>6640</v>
      </c>
      <c r="C634" s="24" t="s">
        <v>6641</v>
      </c>
      <c r="D634" s="24" t="s">
        <v>6642</v>
      </c>
      <c r="E634" s="24" t="s">
        <v>29</v>
      </c>
      <c r="F634" s="24" t="s">
        <v>47</v>
      </c>
      <c r="G634" s="24" t="s">
        <v>31</v>
      </c>
      <c r="H634" s="24" t="s">
        <v>2992</v>
      </c>
      <c r="I634" s="24" t="s">
        <v>6643</v>
      </c>
      <c r="J634" s="24"/>
      <c r="K634" s="24"/>
      <c r="L634" s="24" t="s">
        <v>52</v>
      </c>
      <c r="M634" s="15"/>
      <c r="N634" s="15"/>
      <c r="O634" s="15"/>
      <c r="P634" s="15" t="s">
        <v>205</v>
      </c>
      <c r="Q634" s="15" t="s">
        <v>6644</v>
      </c>
      <c r="R634" s="15" t="s">
        <v>6645</v>
      </c>
      <c r="S634" s="24" t="s">
        <v>39</v>
      </c>
      <c r="T634" s="24" t="s">
        <v>39</v>
      </c>
      <c r="U634" s="24" t="s">
        <v>39</v>
      </c>
      <c r="V634" s="24" t="s">
        <v>39</v>
      </c>
      <c r="W634" s="24"/>
      <c r="X634" s="24"/>
      <c r="Y634" s="15"/>
      <c r="Z634" s="15"/>
      <c r="AA634" s="24"/>
      <c r="AB634" s="24"/>
      <c r="AC634" s="24"/>
      <c r="AD634" s="24"/>
      <c r="AE634" s="24"/>
      <c r="AF634" s="24"/>
      <c r="AG634" s="24"/>
      <c r="AH634" s="24"/>
    </row>
    <row r="635" spans="1:34" ht="75" x14ac:dyDescent="0.25">
      <c r="A635" s="24" t="str">
        <f>HYPERLINK("https://www.cpso.on.ca/DoctorDetails/Elise-Hall/0257348-90582","Hall, Elise")</f>
        <v>Hall, Elise</v>
      </c>
      <c r="B635" s="25" t="s">
        <v>6646</v>
      </c>
      <c r="C635" s="24" t="s">
        <v>6647</v>
      </c>
      <c r="D635" s="24" t="s">
        <v>6648</v>
      </c>
      <c r="E635" s="24" t="s">
        <v>29</v>
      </c>
      <c r="F635" s="24" t="s">
        <v>47</v>
      </c>
      <c r="G635" s="24" t="s">
        <v>31</v>
      </c>
      <c r="H635" s="24" t="s">
        <v>4225</v>
      </c>
      <c r="I635" s="24" t="s">
        <v>6649</v>
      </c>
      <c r="J635" s="24" t="s">
        <v>6650</v>
      </c>
      <c r="K635" s="24"/>
      <c r="L635" s="24" t="s">
        <v>52</v>
      </c>
      <c r="M635" s="15"/>
      <c r="N635" s="15"/>
      <c r="O635" s="15" t="s">
        <v>219</v>
      </c>
      <c r="P635" s="15" t="s">
        <v>449</v>
      </c>
      <c r="Q635" s="15" t="s">
        <v>6651</v>
      </c>
      <c r="R635" s="15" t="s">
        <v>6652</v>
      </c>
      <c r="S635" s="24" t="s">
        <v>39</v>
      </c>
      <c r="T635" s="24" t="s">
        <v>39</v>
      </c>
      <c r="U635" s="24" t="s">
        <v>39</v>
      </c>
      <c r="V635" s="24" t="s">
        <v>39</v>
      </c>
      <c r="W635" s="24" t="s">
        <v>6653</v>
      </c>
      <c r="X635" s="24" t="s">
        <v>6654</v>
      </c>
      <c r="Y635" s="15" t="s">
        <v>6655</v>
      </c>
      <c r="Z635" s="15" t="s">
        <v>6656</v>
      </c>
      <c r="AA635" s="24"/>
      <c r="AB635" s="24"/>
      <c r="AC635" s="24"/>
      <c r="AD635" s="24"/>
      <c r="AE635" s="24"/>
      <c r="AF635" s="24"/>
      <c r="AG635" s="24"/>
      <c r="AH635" s="24"/>
    </row>
    <row r="636" spans="1:34" ht="30" x14ac:dyDescent="0.25">
      <c r="A636" s="24" t="str">
        <f>HYPERLINK("https://www.cpso.on.ca/DoctorDetails/Eliyhoo-Sagi/0043930-57908","Sagi, Eliyhoo")</f>
        <v>Sagi, Eliyhoo</v>
      </c>
      <c r="B636" s="25" t="s">
        <v>6657</v>
      </c>
      <c r="C636" s="24" t="s">
        <v>6658</v>
      </c>
      <c r="D636" s="24" t="s">
        <v>1196</v>
      </c>
      <c r="E636" s="24" t="s">
        <v>29</v>
      </c>
      <c r="F636" s="24" t="s">
        <v>30</v>
      </c>
      <c r="G636" s="24" t="s">
        <v>252</v>
      </c>
      <c r="H636" s="24" t="s">
        <v>6659</v>
      </c>
      <c r="I636" s="24" t="s">
        <v>5110</v>
      </c>
      <c r="J636" s="24" t="s">
        <v>5111</v>
      </c>
      <c r="K636" s="24" t="s">
        <v>5112</v>
      </c>
      <c r="L636" s="24" t="s">
        <v>36</v>
      </c>
      <c r="M636" s="15"/>
      <c r="N636" s="15"/>
      <c r="O636" s="15" t="s">
        <v>1691</v>
      </c>
      <c r="P636" s="15" t="s">
        <v>122</v>
      </c>
      <c r="Q636" s="15"/>
      <c r="R636" s="15" t="s">
        <v>6660</v>
      </c>
      <c r="S636" s="24" t="s">
        <v>39</v>
      </c>
      <c r="T636" s="24" t="s">
        <v>39</v>
      </c>
      <c r="U636" s="24" t="s">
        <v>39</v>
      </c>
      <c r="V636" s="24" t="s">
        <v>39</v>
      </c>
      <c r="W636" s="24" t="s">
        <v>6661</v>
      </c>
      <c r="X636" s="24" t="s">
        <v>6662</v>
      </c>
      <c r="Y636" s="15" t="s">
        <v>6663</v>
      </c>
      <c r="Z636" s="15" t="s">
        <v>6664</v>
      </c>
      <c r="AA636" s="24"/>
      <c r="AB636" s="24"/>
      <c r="AC636" s="24"/>
      <c r="AD636" s="24"/>
      <c r="AE636" s="24"/>
      <c r="AF636" s="24"/>
      <c r="AG636" s="24"/>
      <c r="AH636" s="24"/>
    </row>
    <row r="637" spans="1:34" ht="180" x14ac:dyDescent="0.25">
      <c r="A637" s="24" t="str">
        <f>HYPERLINK("https://www.cpso.on.ca/DoctorDetails/Elizabeth-Ada-Barrett/0042953-56931","Barrett, Elizabeth Ada")</f>
        <v>Barrett, Elizabeth Ada</v>
      </c>
      <c r="B637" s="25" t="s">
        <v>6665</v>
      </c>
      <c r="C637" s="24" t="s">
        <v>3427</v>
      </c>
      <c r="D637" s="24" t="s">
        <v>6666</v>
      </c>
      <c r="E637" s="24" t="s">
        <v>29</v>
      </c>
      <c r="F637" s="24" t="s">
        <v>47</v>
      </c>
      <c r="G637" s="24" t="s">
        <v>31</v>
      </c>
      <c r="H637" s="24" t="s">
        <v>4039</v>
      </c>
      <c r="I637" s="24" t="s">
        <v>6667</v>
      </c>
      <c r="J637" s="24" t="s">
        <v>6668</v>
      </c>
      <c r="K637" s="24" t="s">
        <v>6669</v>
      </c>
      <c r="L637" s="24" t="s">
        <v>328</v>
      </c>
      <c r="M637" s="15"/>
      <c r="N637" s="15"/>
      <c r="O637" s="15" t="s">
        <v>1855</v>
      </c>
      <c r="P637" s="15" t="s">
        <v>6670</v>
      </c>
      <c r="Q637" s="15" t="s">
        <v>6671</v>
      </c>
      <c r="R637" s="15" t="s">
        <v>6672</v>
      </c>
      <c r="S637" s="24" t="s">
        <v>39</v>
      </c>
      <c r="T637" s="24" t="s">
        <v>39</v>
      </c>
      <c r="U637" s="24" t="s">
        <v>39</v>
      </c>
      <c r="V637" s="24" t="s">
        <v>39</v>
      </c>
      <c r="W637" s="24" t="s">
        <v>6673</v>
      </c>
      <c r="X637" s="24" t="s">
        <v>6674</v>
      </c>
      <c r="Y637" s="15" t="s">
        <v>6675</v>
      </c>
      <c r="Z637" s="15" t="s">
        <v>6676</v>
      </c>
      <c r="AA637" s="24" t="s">
        <v>6677</v>
      </c>
      <c r="AB637" s="24" t="s">
        <v>6678</v>
      </c>
      <c r="AC637" s="24" t="s">
        <v>6679</v>
      </c>
      <c r="AD637" s="24" t="s">
        <v>6680</v>
      </c>
      <c r="AE637" s="24"/>
      <c r="AF637" s="24"/>
      <c r="AG637" s="24"/>
      <c r="AH637" s="24"/>
    </row>
    <row r="638" spans="1:34" ht="60" x14ac:dyDescent="0.25">
      <c r="A638" s="24" t="str">
        <f>HYPERLINK("https://www.cpso.on.ca/DoctorDetails/Elizabeth-Ann-Osuch/0224959-83691","Osuch, Elizabeth Ann")</f>
        <v>Osuch, Elizabeth Ann</v>
      </c>
      <c r="B638" s="25" t="s">
        <v>6681</v>
      </c>
      <c r="C638" s="24" t="s">
        <v>6682</v>
      </c>
      <c r="D638" s="24" t="s">
        <v>6683</v>
      </c>
      <c r="E638" s="24" t="s">
        <v>29</v>
      </c>
      <c r="F638" s="24" t="s">
        <v>47</v>
      </c>
      <c r="G638" s="24" t="s">
        <v>31</v>
      </c>
      <c r="H638" s="24" t="s">
        <v>6684</v>
      </c>
      <c r="I638" s="24" t="s">
        <v>6685</v>
      </c>
      <c r="J638" s="24" t="s">
        <v>6686</v>
      </c>
      <c r="K638" s="24" t="s">
        <v>6687</v>
      </c>
      <c r="L638" s="24" t="s">
        <v>135</v>
      </c>
      <c r="M638" s="15"/>
      <c r="N638" s="15"/>
      <c r="O638" s="15" t="s">
        <v>6688</v>
      </c>
      <c r="P638" s="15" t="s">
        <v>6689</v>
      </c>
      <c r="Q638" s="15"/>
      <c r="R638" s="15" t="s">
        <v>6690</v>
      </c>
      <c r="S638" s="24" t="s">
        <v>71</v>
      </c>
      <c r="T638" s="24" t="s">
        <v>39</v>
      </c>
      <c r="U638" s="24" t="s">
        <v>39</v>
      </c>
      <c r="V638" s="24" t="s">
        <v>39</v>
      </c>
      <c r="W638" s="24" t="s">
        <v>6691</v>
      </c>
      <c r="X638" s="24" t="s">
        <v>6692</v>
      </c>
      <c r="Y638" s="15" t="s">
        <v>6693</v>
      </c>
      <c r="Z638" s="15" t="s">
        <v>6694</v>
      </c>
      <c r="AA638" s="24"/>
      <c r="AB638" s="24"/>
      <c r="AC638" s="24"/>
      <c r="AD638" s="24"/>
      <c r="AE638" s="24"/>
      <c r="AF638" s="24"/>
      <c r="AG638" s="24"/>
      <c r="AH638" s="24"/>
    </row>
    <row r="639" spans="1:34" ht="60" x14ac:dyDescent="0.25">
      <c r="A639" s="24" t="str">
        <f>HYPERLINK("https://www.cpso.on.ca/DoctorDetails/Elizabeth-Ann-Reade/0037500-51476","Reade, Elizabeth Ann")</f>
        <v>Reade, Elizabeth Ann</v>
      </c>
      <c r="B639" s="25" t="s">
        <v>6695</v>
      </c>
      <c r="C639" s="24" t="s">
        <v>6696</v>
      </c>
      <c r="D639" s="24" t="s">
        <v>6697</v>
      </c>
      <c r="E639" s="24" t="s">
        <v>29</v>
      </c>
      <c r="F639" s="24" t="s">
        <v>47</v>
      </c>
      <c r="G639" s="24" t="s">
        <v>31</v>
      </c>
      <c r="H639" s="24" t="s">
        <v>3737</v>
      </c>
      <c r="I639" s="24" t="s">
        <v>107</v>
      </c>
      <c r="J639" s="24"/>
      <c r="K639" s="24"/>
      <c r="L639" s="24"/>
      <c r="M639" s="15"/>
      <c r="N639" s="15"/>
      <c r="O639" s="15"/>
      <c r="P639" s="15" t="s">
        <v>6698</v>
      </c>
      <c r="Q639" s="15"/>
      <c r="R639" s="15" t="s">
        <v>6699</v>
      </c>
      <c r="S639" s="24" t="s">
        <v>39</v>
      </c>
      <c r="T639" s="24" t="s">
        <v>39</v>
      </c>
      <c r="U639" s="24" t="s">
        <v>39</v>
      </c>
      <c r="V639" s="24" t="s">
        <v>39</v>
      </c>
      <c r="W639" s="24" t="s">
        <v>5252</v>
      </c>
      <c r="X639" s="24" t="s">
        <v>5253</v>
      </c>
      <c r="Y639" s="15" t="s">
        <v>5254</v>
      </c>
      <c r="Z639" s="15" t="s">
        <v>3997</v>
      </c>
      <c r="AA639" s="24"/>
      <c r="AB639" s="24"/>
      <c r="AC639" s="24"/>
      <c r="AD639" s="24"/>
      <c r="AE639" s="24"/>
      <c r="AF639" s="24"/>
      <c r="AG639" s="24"/>
      <c r="AH639" s="24"/>
    </row>
    <row r="640" spans="1:34" ht="30" x14ac:dyDescent="0.25">
      <c r="A640" s="24" t="str">
        <f>HYPERLINK("https://www.cpso.on.ca/DoctorDetails/Elizabeth-Carlyn-Druss/0156679-74030","Druss, Elizabeth Carlyn")</f>
        <v>Druss, Elizabeth Carlyn</v>
      </c>
      <c r="B640" s="25" t="s">
        <v>6700</v>
      </c>
      <c r="C640" s="24" t="s">
        <v>280</v>
      </c>
      <c r="D640" s="24" t="s">
        <v>214</v>
      </c>
      <c r="E640" s="24" t="s">
        <v>29</v>
      </c>
      <c r="F640" s="24" t="s">
        <v>47</v>
      </c>
      <c r="G640" s="24" t="s">
        <v>31</v>
      </c>
      <c r="H640" s="24" t="s">
        <v>6701</v>
      </c>
      <c r="I640" s="24" t="s">
        <v>6702</v>
      </c>
      <c r="J640" s="24" t="s">
        <v>4975</v>
      </c>
      <c r="K640" s="24" t="s">
        <v>6703</v>
      </c>
      <c r="L640" s="24" t="s">
        <v>84</v>
      </c>
      <c r="M640" s="15" t="s">
        <v>6704</v>
      </c>
      <c r="N640" s="15"/>
      <c r="O640" s="15" t="s">
        <v>3979</v>
      </c>
      <c r="P640" s="15" t="s">
        <v>1343</v>
      </c>
      <c r="Q640" s="15" t="s">
        <v>6705</v>
      </c>
      <c r="R640" s="15" t="s">
        <v>6706</v>
      </c>
      <c r="S640" s="24" t="s">
        <v>39</v>
      </c>
      <c r="T640" s="24" t="s">
        <v>39</v>
      </c>
      <c r="U640" s="24" t="s">
        <v>39</v>
      </c>
      <c r="V640" s="24" t="s">
        <v>39</v>
      </c>
      <c r="W640" s="24"/>
      <c r="X640" s="24"/>
      <c r="Y640" s="15"/>
      <c r="Z640" s="15"/>
      <c r="AA640" s="24"/>
      <c r="AB640" s="24"/>
      <c r="AC640" s="24"/>
      <c r="AD640" s="24"/>
      <c r="AE640" s="24"/>
      <c r="AF640" s="24"/>
      <c r="AG640" s="24"/>
      <c r="AH640" s="24"/>
    </row>
    <row r="641" spans="1:34" ht="90" x14ac:dyDescent="0.25">
      <c r="A641" s="24" t="str">
        <f>HYPERLINK("https://www.cpso.on.ca/DoctorDetails/Elizabeth-Cleopatra-Layne/0169335-75181","Layne, Elizabeth Cleopatra")</f>
        <v>Layne, Elizabeth Cleopatra</v>
      </c>
      <c r="B641" s="25" t="s">
        <v>6707</v>
      </c>
      <c r="C641" s="24" t="s">
        <v>6708</v>
      </c>
      <c r="D641" s="24" t="s">
        <v>6709</v>
      </c>
      <c r="E641" s="24" t="s">
        <v>29</v>
      </c>
      <c r="F641" s="24" t="s">
        <v>47</v>
      </c>
      <c r="G641" s="24" t="s">
        <v>31</v>
      </c>
      <c r="H641" s="24" t="s">
        <v>4067</v>
      </c>
      <c r="I641" s="24" t="s">
        <v>6710</v>
      </c>
      <c r="J641" s="24" t="s">
        <v>6711</v>
      </c>
      <c r="K641" s="24"/>
      <c r="L641" s="24" t="s">
        <v>184</v>
      </c>
      <c r="M641" s="15"/>
      <c r="N641" s="15"/>
      <c r="O641" s="15"/>
      <c r="P641" s="15" t="s">
        <v>6712</v>
      </c>
      <c r="Q641" s="15" t="s">
        <v>6713</v>
      </c>
      <c r="R641" s="15" t="s">
        <v>6714</v>
      </c>
      <c r="S641" s="24" t="s">
        <v>39</v>
      </c>
      <c r="T641" s="24" t="s">
        <v>39</v>
      </c>
      <c r="U641" s="24" t="s">
        <v>39</v>
      </c>
      <c r="V641" s="24" t="s">
        <v>39</v>
      </c>
      <c r="W641" s="24" t="s">
        <v>6715</v>
      </c>
      <c r="X641" s="24" t="s">
        <v>6716</v>
      </c>
      <c r="Y641" s="15" t="s">
        <v>6717</v>
      </c>
      <c r="Z641" s="15" t="s">
        <v>6718</v>
      </c>
      <c r="AA641" s="24"/>
      <c r="AB641" s="24"/>
      <c r="AC641" s="24"/>
      <c r="AD641" s="24"/>
      <c r="AE641" s="24"/>
      <c r="AF641" s="24"/>
      <c r="AG641" s="24"/>
      <c r="AH641" s="24"/>
    </row>
    <row r="642" spans="1:34" ht="75" x14ac:dyDescent="0.25">
      <c r="A642" s="24" t="str">
        <f>HYPERLINK("https://www.cpso.on.ca/DoctorDetails/Elizabeth-Cvejic/0132261-70249","Cvejic, Elizabeth")</f>
        <v>Cvejic, Elizabeth</v>
      </c>
      <c r="B642" s="25" t="s">
        <v>6719</v>
      </c>
      <c r="C642" s="24" t="s">
        <v>6720</v>
      </c>
      <c r="D642" s="24" t="s">
        <v>6721</v>
      </c>
      <c r="E642" s="24" t="s">
        <v>29</v>
      </c>
      <c r="F642" s="24" t="s">
        <v>47</v>
      </c>
      <c r="G642" s="24" t="s">
        <v>813</v>
      </c>
      <c r="H642" s="24" t="s">
        <v>6722</v>
      </c>
      <c r="I642" s="24" t="s">
        <v>6723</v>
      </c>
      <c r="J642" s="24" t="s">
        <v>6724</v>
      </c>
      <c r="K642" s="24" t="s">
        <v>6725</v>
      </c>
      <c r="L642" s="24" t="s">
        <v>52</v>
      </c>
      <c r="M642" s="15"/>
      <c r="N642" s="15"/>
      <c r="O642" s="15"/>
      <c r="P642" s="15" t="s">
        <v>6726</v>
      </c>
      <c r="Q642" s="15" t="s">
        <v>1112</v>
      </c>
      <c r="R642" s="15" t="s">
        <v>6727</v>
      </c>
      <c r="S642" s="24" t="s">
        <v>39</v>
      </c>
      <c r="T642" s="24" t="s">
        <v>39</v>
      </c>
      <c r="U642" s="24" t="s">
        <v>39</v>
      </c>
      <c r="V642" s="24" t="s">
        <v>39</v>
      </c>
      <c r="W642" s="24"/>
      <c r="X642" s="24"/>
      <c r="Y642" s="15"/>
      <c r="Z642" s="15"/>
      <c r="AA642" s="24"/>
      <c r="AB642" s="24"/>
      <c r="AC642" s="24"/>
      <c r="AD642" s="24"/>
      <c r="AE642" s="24"/>
      <c r="AF642" s="24"/>
      <c r="AG642" s="24"/>
      <c r="AH642" s="24"/>
    </row>
    <row r="643" spans="1:34" ht="90" x14ac:dyDescent="0.25">
      <c r="A643" s="24" t="str">
        <f>HYPERLINK("https://www.cpso.on.ca/DoctorDetails/Elizabeth-Dawn-Fiona-James/0226322-83085","James, Elizabeth Dawn Fiona")</f>
        <v>James, Elizabeth Dawn Fiona</v>
      </c>
      <c r="B643" s="25" t="s">
        <v>6728</v>
      </c>
      <c r="C643" s="24" t="s">
        <v>6729</v>
      </c>
      <c r="D643" s="24" t="s">
        <v>6730</v>
      </c>
      <c r="E643" s="24" t="s">
        <v>29</v>
      </c>
      <c r="F643" s="24" t="s">
        <v>47</v>
      </c>
      <c r="G643" s="24" t="s">
        <v>31</v>
      </c>
      <c r="H643" s="24" t="s">
        <v>6125</v>
      </c>
      <c r="I643" s="24" t="s">
        <v>6731</v>
      </c>
      <c r="J643" s="24" t="s">
        <v>6732</v>
      </c>
      <c r="K643" s="24"/>
      <c r="L643" s="24" t="s">
        <v>340</v>
      </c>
      <c r="M643" s="15"/>
      <c r="N643" s="15"/>
      <c r="O643" s="15" t="s">
        <v>2972</v>
      </c>
      <c r="P643" s="15" t="s">
        <v>412</v>
      </c>
      <c r="Q643" s="15" t="s">
        <v>6733</v>
      </c>
      <c r="R643" s="15" t="s">
        <v>6734</v>
      </c>
      <c r="S643" s="24" t="s">
        <v>39</v>
      </c>
      <c r="T643" s="24" t="s">
        <v>39</v>
      </c>
      <c r="U643" s="24" t="s">
        <v>39</v>
      </c>
      <c r="V643" s="24" t="s">
        <v>39</v>
      </c>
      <c r="W643" s="24"/>
      <c r="X643" s="24"/>
      <c r="Y643" s="15"/>
      <c r="Z643" s="15"/>
      <c r="AA643" s="24"/>
      <c r="AB643" s="24"/>
      <c r="AC643" s="24"/>
      <c r="AD643" s="24"/>
      <c r="AE643" s="24"/>
      <c r="AF643" s="24"/>
      <c r="AG643" s="24"/>
      <c r="AH643" s="24"/>
    </row>
    <row r="644" spans="1:34" ht="30" x14ac:dyDescent="0.25">
      <c r="A644" s="24" t="str">
        <f>HYPERLINK("https://www.cpso.on.ca/DoctorDetails/Elizabeth-Jane-Cryer/0036333-50309","Cryer, Elizabeth Jane")</f>
        <v>Cryer, Elizabeth Jane</v>
      </c>
      <c r="B644" s="25" t="s">
        <v>6735</v>
      </c>
      <c r="C644" s="24" t="s">
        <v>3746</v>
      </c>
      <c r="D644" s="24" t="s">
        <v>6736</v>
      </c>
      <c r="E644" s="24" t="s">
        <v>29</v>
      </c>
      <c r="F644" s="24" t="s">
        <v>47</v>
      </c>
      <c r="G644" s="24" t="s">
        <v>31</v>
      </c>
      <c r="H644" s="24" t="s">
        <v>2027</v>
      </c>
      <c r="I644" s="24" t="s">
        <v>6737</v>
      </c>
      <c r="J644" s="24" t="s">
        <v>6738</v>
      </c>
      <c r="K644" s="24" t="s">
        <v>589</v>
      </c>
      <c r="L644" s="24" t="s">
        <v>36</v>
      </c>
      <c r="M644" s="15"/>
      <c r="N644" s="15"/>
      <c r="O644" s="15" t="s">
        <v>6739</v>
      </c>
      <c r="P644" s="15" t="s">
        <v>5839</v>
      </c>
      <c r="Q644" s="15"/>
      <c r="R644" s="15" t="s">
        <v>6740</v>
      </c>
      <c r="S644" s="24" t="s">
        <v>39</v>
      </c>
      <c r="T644" s="24" t="s">
        <v>39</v>
      </c>
      <c r="U644" s="24" t="s">
        <v>39</v>
      </c>
      <c r="V644" s="24" t="s">
        <v>39</v>
      </c>
      <c r="W644" s="24"/>
      <c r="X644" s="24"/>
      <c r="Y644" s="15"/>
      <c r="Z644" s="15"/>
      <c r="AA644" s="24"/>
      <c r="AB644" s="24"/>
      <c r="AC644" s="24"/>
      <c r="AD644" s="24"/>
      <c r="AE644" s="24"/>
      <c r="AF644" s="24"/>
      <c r="AG644" s="24"/>
      <c r="AH644" s="24"/>
    </row>
    <row r="645" spans="1:34" ht="75" x14ac:dyDescent="0.25">
      <c r="A645" s="24" t="str">
        <f>HYPERLINK("https://www.cpso.on.ca/DoctorDetails/Elizabeth-Jeanette-Coleman/0158344-96717","Coleman, Elizabeth Jeanette")</f>
        <v>Coleman, Elizabeth Jeanette</v>
      </c>
      <c r="B645" s="25" t="s">
        <v>6741</v>
      </c>
      <c r="C645" s="24" t="s">
        <v>6742</v>
      </c>
      <c r="D645" s="24" t="s">
        <v>6743</v>
      </c>
      <c r="E645" s="24" t="s">
        <v>29</v>
      </c>
      <c r="F645" s="24" t="s">
        <v>47</v>
      </c>
      <c r="G645" s="24" t="s">
        <v>31</v>
      </c>
      <c r="H645" s="24" t="s">
        <v>2846</v>
      </c>
      <c r="I645" s="24" t="s">
        <v>4187</v>
      </c>
      <c r="J645" s="24" t="s">
        <v>2258</v>
      </c>
      <c r="K645" s="24" t="s">
        <v>6744</v>
      </c>
      <c r="L645" s="24" t="s">
        <v>36</v>
      </c>
      <c r="M645" s="15"/>
      <c r="N645" s="15"/>
      <c r="O645" s="15" t="s">
        <v>3590</v>
      </c>
      <c r="P645" s="15" t="s">
        <v>6745</v>
      </c>
      <c r="Q645" s="15"/>
      <c r="R645" s="15" t="s">
        <v>6746</v>
      </c>
      <c r="S645" s="24" t="s">
        <v>39</v>
      </c>
      <c r="T645" s="24" t="s">
        <v>39</v>
      </c>
      <c r="U645" s="24" t="s">
        <v>39</v>
      </c>
      <c r="V645" s="24" t="s">
        <v>39</v>
      </c>
      <c r="W645" s="24" t="s">
        <v>6747</v>
      </c>
      <c r="X645" s="24" t="s">
        <v>6748</v>
      </c>
      <c r="Y645" s="15" t="s">
        <v>6749</v>
      </c>
      <c r="Z645" s="15" t="s">
        <v>6750</v>
      </c>
      <c r="AA645" s="24"/>
      <c r="AB645" s="24"/>
      <c r="AC645" s="24"/>
      <c r="AD645" s="24"/>
      <c r="AE645" s="24"/>
      <c r="AF645" s="24"/>
      <c r="AG645" s="24"/>
      <c r="AH645" s="24"/>
    </row>
    <row r="646" spans="1:34" ht="75" x14ac:dyDescent="0.25">
      <c r="A646" s="24" t="str">
        <f>HYPERLINK("https://www.cpso.on.ca/DoctorDetails/Elizabeth-Leona-Chapman/0265588-92925","Chapman, Elizabeth Leona")</f>
        <v>Chapman, Elizabeth Leona</v>
      </c>
      <c r="B646" s="25" t="s">
        <v>6751</v>
      </c>
      <c r="C646" s="24" t="s">
        <v>570</v>
      </c>
      <c r="D646" s="24" t="s">
        <v>571</v>
      </c>
      <c r="E646" s="24" t="s">
        <v>29</v>
      </c>
      <c r="F646" s="24" t="s">
        <v>47</v>
      </c>
      <c r="G646" s="24" t="s">
        <v>2047</v>
      </c>
      <c r="H646" s="24" t="s">
        <v>6752</v>
      </c>
      <c r="I646" s="24" t="s">
        <v>6753</v>
      </c>
      <c r="J646" s="24" t="s">
        <v>6754</v>
      </c>
      <c r="K646" s="24"/>
      <c r="L646" s="24"/>
      <c r="M646" s="15"/>
      <c r="N646" s="15" t="s">
        <v>6755</v>
      </c>
      <c r="O646" s="15"/>
      <c r="P646" s="15" t="s">
        <v>629</v>
      </c>
      <c r="Q646" s="15" t="s">
        <v>4824</v>
      </c>
      <c r="R646" s="15" t="s">
        <v>1706</v>
      </c>
      <c r="S646" s="24" t="s">
        <v>39</v>
      </c>
      <c r="T646" s="24" t="s">
        <v>39</v>
      </c>
      <c r="U646" s="24" t="s">
        <v>39</v>
      </c>
      <c r="V646" s="24" t="s">
        <v>39</v>
      </c>
      <c r="W646" s="24"/>
      <c r="X646" s="24"/>
      <c r="Y646" s="15"/>
      <c r="Z646" s="15"/>
      <c r="AA646" s="24"/>
      <c r="AB646" s="24"/>
      <c r="AC646" s="24"/>
      <c r="AD646" s="24"/>
      <c r="AE646" s="24"/>
      <c r="AF646" s="24"/>
      <c r="AG646" s="24"/>
      <c r="AH646" s="24"/>
    </row>
    <row r="647" spans="1:34" ht="75" x14ac:dyDescent="0.25">
      <c r="A647" s="24" t="str">
        <f>HYPERLINK("https://www.cpso.on.ca/DoctorDetails/Elizabeth-Maria-Hampel/0219719-83062","Hampel, Elizabeth Maria")</f>
        <v>Hampel, Elizabeth Maria</v>
      </c>
      <c r="B647" s="25" t="s">
        <v>6756</v>
      </c>
      <c r="C647" s="24" t="s">
        <v>6757</v>
      </c>
      <c r="D647" s="24" t="s">
        <v>6758</v>
      </c>
      <c r="E647" s="24" t="s">
        <v>29</v>
      </c>
      <c r="F647" s="24" t="s">
        <v>47</v>
      </c>
      <c r="G647" s="24" t="s">
        <v>1657</v>
      </c>
      <c r="H647" s="24" t="s">
        <v>6759</v>
      </c>
      <c r="I647" s="24" t="s">
        <v>6760</v>
      </c>
      <c r="J647" s="24" t="s">
        <v>6761</v>
      </c>
      <c r="K647" s="24" t="s">
        <v>6762</v>
      </c>
      <c r="L647" s="24" t="s">
        <v>184</v>
      </c>
      <c r="M647" s="15"/>
      <c r="N647" s="15"/>
      <c r="O647" s="15" t="s">
        <v>1662</v>
      </c>
      <c r="P647" s="15" t="s">
        <v>412</v>
      </c>
      <c r="Q647" s="15" t="s">
        <v>6129</v>
      </c>
      <c r="R647" s="15" t="s">
        <v>6763</v>
      </c>
      <c r="S647" s="24" t="s">
        <v>39</v>
      </c>
      <c r="T647" s="24" t="s">
        <v>39</v>
      </c>
      <c r="U647" s="24" t="s">
        <v>39</v>
      </c>
      <c r="V647" s="24" t="s">
        <v>39</v>
      </c>
      <c r="W647" s="24" t="s">
        <v>6764</v>
      </c>
      <c r="X647" s="24" t="s">
        <v>6765</v>
      </c>
      <c r="Y647" s="15" t="s">
        <v>6766</v>
      </c>
      <c r="Z647" s="15" t="s">
        <v>6767</v>
      </c>
      <c r="AA647" s="24"/>
      <c r="AB647" s="24"/>
      <c r="AC647" s="24"/>
      <c r="AD647" s="24"/>
      <c r="AE647" s="24"/>
      <c r="AF647" s="24"/>
      <c r="AG647" s="24"/>
      <c r="AH647" s="24"/>
    </row>
    <row r="648" spans="1:34" ht="45" x14ac:dyDescent="0.25">
      <c r="A648" s="24" t="str">
        <f>HYPERLINK("https://www.cpso.on.ca/DoctorDetails/Elizabeth-Mary-Esmond/0027550-32373","Esmond, Elizabeth Mary")</f>
        <v>Esmond, Elizabeth Mary</v>
      </c>
      <c r="B648" s="25" t="s">
        <v>6768</v>
      </c>
      <c r="C648" s="24" t="s">
        <v>6769</v>
      </c>
      <c r="D648" s="24" t="s">
        <v>6770</v>
      </c>
      <c r="E648" s="24" t="s">
        <v>29</v>
      </c>
      <c r="F648" s="24" t="s">
        <v>47</v>
      </c>
      <c r="G648" s="24" t="s">
        <v>31</v>
      </c>
      <c r="H648" s="24" t="s">
        <v>6771</v>
      </c>
      <c r="I648" s="24" t="s">
        <v>6772</v>
      </c>
      <c r="J648" s="24" t="s">
        <v>6773</v>
      </c>
      <c r="K648" s="24" t="s">
        <v>6774</v>
      </c>
      <c r="L648" s="24" t="s">
        <v>84</v>
      </c>
      <c r="M648" s="15"/>
      <c r="N648" s="15" t="s">
        <v>806</v>
      </c>
      <c r="O648" s="15" t="s">
        <v>2806</v>
      </c>
      <c r="P648" s="15" t="s">
        <v>3299</v>
      </c>
      <c r="Q648" s="15"/>
      <c r="R648" s="15" t="s">
        <v>6775</v>
      </c>
      <c r="S648" s="24" t="s">
        <v>39</v>
      </c>
      <c r="T648" s="24" t="s">
        <v>39</v>
      </c>
      <c r="U648" s="24" t="s">
        <v>39</v>
      </c>
      <c r="V648" s="24" t="s">
        <v>39</v>
      </c>
      <c r="W648" s="24" t="s">
        <v>6776</v>
      </c>
      <c r="X648" s="24" t="s">
        <v>6777</v>
      </c>
      <c r="Y648" s="15"/>
      <c r="Z648" s="15"/>
      <c r="AA648" s="24"/>
      <c r="AB648" s="24"/>
      <c r="AC648" s="24"/>
      <c r="AD648" s="24"/>
      <c r="AE648" s="24"/>
      <c r="AF648" s="24"/>
      <c r="AG648" s="24"/>
      <c r="AH648" s="24"/>
    </row>
    <row r="649" spans="1:34" ht="75" x14ac:dyDescent="0.25">
      <c r="A649" s="24" t="str">
        <f>HYPERLINK("https://www.cpso.on.ca/DoctorDetails/Ellen-Anne-Margolese/0159231-73690","Margolese, Ellen Anne")</f>
        <v>Margolese, Ellen Anne</v>
      </c>
      <c r="B649" s="25" t="s">
        <v>6778</v>
      </c>
      <c r="C649" s="24" t="s">
        <v>280</v>
      </c>
      <c r="D649" s="24" t="s">
        <v>281</v>
      </c>
      <c r="E649" s="24" t="s">
        <v>29</v>
      </c>
      <c r="F649" s="24" t="s">
        <v>47</v>
      </c>
      <c r="G649" s="24" t="s">
        <v>31</v>
      </c>
      <c r="H649" s="24" t="s">
        <v>6779</v>
      </c>
      <c r="I649" s="24" t="s">
        <v>6780</v>
      </c>
      <c r="J649" s="24" t="s">
        <v>6781</v>
      </c>
      <c r="K649" s="24"/>
      <c r="L649" s="24" t="s">
        <v>52</v>
      </c>
      <c r="M649" s="15"/>
      <c r="N649" s="15"/>
      <c r="O649" s="15" t="s">
        <v>1201</v>
      </c>
      <c r="P649" s="15" t="s">
        <v>288</v>
      </c>
      <c r="Q649" s="15" t="s">
        <v>289</v>
      </c>
      <c r="R649" s="15" t="s">
        <v>290</v>
      </c>
      <c r="S649" s="24" t="s">
        <v>39</v>
      </c>
      <c r="T649" s="24" t="s">
        <v>39</v>
      </c>
      <c r="U649" s="24" t="s">
        <v>39</v>
      </c>
      <c r="V649" s="24" t="s">
        <v>39</v>
      </c>
      <c r="W649" s="24" t="s">
        <v>6782</v>
      </c>
      <c r="X649" s="24" t="s">
        <v>6783</v>
      </c>
      <c r="Y649" s="15" t="s">
        <v>6784</v>
      </c>
      <c r="Z649" s="15" t="s">
        <v>6785</v>
      </c>
      <c r="AA649" s="24"/>
      <c r="AB649" s="24"/>
      <c r="AC649" s="24"/>
      <c r="AD649" s="24"/>
      <c r="AE649" s="24"/>
      <c r="AF649" s="24"/>
      <c r="AG649" s="24"/>
      <c r="AH649" s="24"/>
    </row>
    <row r="650" spans="1:34" ht="75" x14ac:dyDescent="0.25">
      <c r="A650" s="24" t="str">
        <f>HYPERLINK("https://www.cpso.on.ca/DoctorDetails/Ellen-Beverly-Hillary-Rumm/0149959-72532","Rumm, Ellen Beverly Hillary")</f>
        <v>Rumm, Ellen Beverly Hillary</v>
      </c>
      <c r="B650" s="25" t="s">
        <v>6786</v>
      </c>
      <c r="C650" s="24" t="s">
        <v>6787</v>
      </c>
      <c r="D650" s="24" t="s">
        <v>6788</v>
      </c>
      <c r="E650" s="24" t="s">
        <v>29</v>
      </c>
      <c r="F650" s="24" t="s">
        <v>47</v>
      </c>
      <c r="G650" s="24" t="s">
        <v>31</v>
      </c>
      <c r="H650" s="24" t="s">
        <v>2165</v>
      </c>
      <c r="I650" s="24" t="s">
        <v>6789</v>
      </c>
      <c r="J650" s="24" t="s">
        <v>6790</v>
      </c>
      <c r="K650" s="24" t="s">
        <v>6791</v>
      </c>
      <c r="L650" s="24" t="s">
        <v>52</v>
      </c>
      <c r="M650" s="15"/>
      <c r="N650" s="15"/>
      <c r="O650" s="15"/>
      <c r="P650" s="15" t="s">
        <v>1330</v>
      </c>
      <c r="Q650" s="15" t="s">
        <v>2170</v>
      </c>
      <c r="R650" s="15" t="s">
        <v>6792</v>
      </c>
      <c r="S650" s="24" t="s">
        <v>39</v>
      </c>
      <c r="T650" s="24" t="s">
        <v>39</v>
      </c>
      <c r="U650" s="24" t="s">
        <v>39</v>
      </c>
      <c r="V650" s="24" t="s">
        <v>39</v>
      </c>
      <c r="W650" s="24"/>
      <c r="X650" s="24"/>
      <c r="Y650" s="15"/>
      <c r="Z650" s="15"/>
      <c r="AA650" s="24"/>
      <c r="AB650" s="24"/>
      <c r="AC650" s="24"/>
      <c r="AD650" s="24"/>
      <c r="AE650" s="24"/>
      <c r="AF650" s="24"/>
      <c r="AG650" s="24"/>
      <c r="AH650" s="24"/>
    </row>
    <row r="651" spans="1:34" ht="75" x14ac:dyDescent="0.25">
      <c r="A651" s="24" t="str">
        <f>HYPERLINK("https://www.cpso.on.ca/DoctorDetails/Ellen-Louise-Lipman/0041367-55343","Lipman, Ellen Louise")</f>
        <v>Lipman, Ellen Louise</v>
      </c>
      <c r="B651" s="25" t="s">
        <v>6793</v>
      </c>
      <c r="C651" s="24" t="s">
        <v>6794</v>
      </c>
      <c r="D651" s="24" t="s">
        <v>6795</v>
      </c>
      <c r="E651" s="24" t="s">
        <v>29</v>
      </c>
      <c r="F651" s="24" t="s">
        <v>47</v>
      </c>
      <c r="G651" s="24" t="s">
        <v>31</v>
      </c>
      <c r="H651" s="24" t="s">
        <v>4592</v>
      </c>
      <c r="I651" s="24" t="s">
        <v>6796</v>
      </c>
      <c r="J651" s="24" t="s">
        <v>6797</v>
      </c>
      <c r="K651" s="24" t="s">
        <v>6798</v>
      </c>
      <c r="L651" s="24" t="s">
        <v>184</v>
      </c>
      <c r="M651" s="15"/>
      <c r="N651" s="15"/>
      <c r="O651" s="15" t="s">
        <v>4002</v>
      </c>
      <c r="P651" s="15" t="s">
        <v>2416</v>
      </c>
      <c r="Q651" s="15" t="s">
        <v>6799</v>
      </c>
      <c r="R651" s="15" t="s">
        <v>6800</v>
      </c>
      <c r="S651" s="24" t="s">
        <v>39</v>
      </c>
      <c r="T651" s="24" t="s">
        <v>39</v>
      </c>
      <c r="U651" s="24" t="s">
        <v>39</v>
      </c>
      <c r="V651" s="24" t="s">
        <v>39</v>
      </c>
      <c r="W651" s="24" t="s">
        <v>6801</v>
      </c>
      <c r="X651" s="24" t="s">
        <v>6802</v>
      </c>
      <c r="Y651" s="15" t="s">
        <v>6803</v>
      </c>
      <c r="Z651" s="15" t="s">
        <v>6804</v>
      </c>
      <c r="AA651" s="24"/>
      <c r="AB651" s="24"/>
      <c r="AC651" s="24"/>
      <c r="AD651" s="24"/>
      <c r="AE651" s="24"/>
      <c r="AF651" s="24"/>
      <c r="AG651" s="24"/>
      <c r="AH651" s="24"/>
    </row>
    <row r="652" spans="1:34" ht="45" x14ac:dyDescent="0.25">
      <c r="A652" s="24" t="str">
        <f>HYPERLINK("https://www.cpso.on.ca/DoctorDetails/Elliott-Kyung-Lee/0225950-83106","Lee, Elliott Kyung")</f>
        <v>Lee, Elliott Kyung</v>
      </c>
      <c r="B652" s="25" t="s">
        <v>6805</v>
      </c>
      <c r="C652" s="24" t="s">
        <v>6806</v>
      </c>
      <c r="D652" s="24" t="s">
        <v>6807</v>
      </c>
      <c r="E652" s="24" t="s">
        <v>29</v>
      </c>
      <c r="F652" s="24" t="s">
        <v>30</v>
      </c>
      <c r="G652" s="24" t="s">
        <v>31</v>
      </c>
      <c r="H652" s="24" t="s">
        <v>2695</v>
      </c>
      <c r="I652" s="24" t="s">
        <v>6808</v>
      </c>
      <c r="J652" s="24" t="s">
        <v>992</v>
      </c>
      <c r="K652" s="24"/>
      <c r="L652" s="24" t="s">
        <v>84</v>
      </c>
      <c r="M652" s="15"/>
      <c r="N652" s="15"/>
      <c r="O652" s="15" t="s">
        <v>711</v>
      </c>
      <c r="P652" s="15" t="s">
        <v>6809</v>
      </c>
      <c r="Q652" s="15"/>
      <c r="R652" s="15" t="s">
        <v>6810</v>
      </c>
      <c r="S652" s="24" t="s">
        <v>39</v>
      </c>
      <c r="T652" s="24" t="s">
        <v>39</v>
      </c>
      <c r="U652" s="24" t="s">
        <v>39</v>
      </c>
      <c r="V652" s="24" t="s">
        <v>39</v>
      </c>
      <c r="W652" s="24" t="s">
        <v>6811</v>
      </c>
      <c r="X652" s="24" t="s">
        <v>6812</v>
      </c>
      <c r="Y652" s="15" t="s">
        <v>6813</v>
      </c>
      <c r="Z652" s="15" t="s">
        <v>6814</v>
      </c>
      <c r="AA652" s="24"/>
      <c r="AB652" s="24"/>
      <c r="AC652" s="24"/>
      <c r="AD652" s="24"/>
      <c r="AE652" s="24"/>
      <c r="AF652" s="24"/>
      <c r="AG652" s="24"/>
      <c r="AH652" s="24"/>
    </row>
    <row r="653" spans="1:34" ht="75" x14ac:dyDescent="0.25">
      <c r="A653" s="24" t="str">
        <f>HYPERLINK("https://www.cpso.on.ca/DoctorDetails/Eloise-Ballou/0280388-98734","Ballou, Eloise")</f>
        <v>Ballou, Eloise</v>
      </c>
      <c r="B653" s="25" t="s">
        <v>6815</v>
      </c>
      <c r="C653" s="24" t="s">
        <v>544</v>
      </c>
      <c r="D653" s="24" t="s">
        <v>545</v>
      </c>
      <c r="E653" s="24" t="s">
        <v>29</v>
      </c>
      <c r="F653" s="24" t="s">
        <v>47</v>
      </c>
      <c r="G653" s="24" t="s">
        <v>813</v>
      </c>
      <c r="H653" s="24" t="s">
        <v>1386</v>
      </c>
      <c r="I653" s="24" t="s">
        <v>6816</v>
      </c>
      <c r="J653" s="24" t="s">
        <v>6817</v>
      </c>
      <c r="K653" s="24"/>
      <c r="L653" s="24" t="s">
        <v>3849</v>
      </c>
      <c r="M653" s="15"/>
      <c r="N653" s="15"/>
      <c r="O653" s="15" t="s">
        <v>6818</v>
      </c>
      <c r="P653" s="15" t="s">
        <v>550</v>
      </c>
      <c r="Q653" s="15" t="s">
        <v>6819</v>
      </c>
      <c r="R653" s="15" t="s">
        <v>552</v>
      </c>
      <c r="S653" s="24" t="s">
        <v>39</v>
      </c>
      <c r="T653" s="24" t="s">
        <v>39</v>
      </c>
      <c r="U653" s="24" t="s">
        <v>39</v>
      </c>
      <c r="V653" s="24" t="s">
        <v>39</v>
      </c>
      <c r="W653" s="24"/>
      <c r="X653" s="24"/>
      <c r="Y653" s="15"/>
      <c r="Z653" s="15"/>
      <c r="AA653" s="24"/>
      <c r="AB653" s="24"/>
      <c r="AC653" s="24"/>
      <c r="AD653" s="24"/>
      <c r="AE653" s="24"/>
      <c r="AF653" s="24"/>
      <c r="AG653" s="24"/>
      <c r="AH653" s="24"/>
    </row>
    <row r="654" spans="1:34" ht="60" x14ac:dyDescent="0.25">
      <c r="A654" s="24" t="str">
        <f>HYPERLINK("https://www.cpso.on.ca/DoctorDetails/Elspeth-Allan-MacEwan/0037091-51067","MacEwan, Elspeth Allan")</f>
        <v>MacEwan, Elspeth Allan</v>
      </c>
      <c r="B654" s="25" t="s">
        <v>6820</v>
      </c>
      <c r="C654" s="24" t="s">
        <v>2132</v>
      </c>
      <c r="D654" s="24" t="s">
        <v>6821</v>
      </c>
      <c r="E654" s="24" t="s">
        <v>29</v>
      </c>
      <c r="F654" s="24" t="s">
        <v>47</v>
      </c>
      <c r="G654" s="24" t="s">
        <v>31</v>
      </c>
      <c r="H654" s="24" t="s">
        <v>6822</v>
      </c>
      <c r="I654" s="24" t="s">
        <v>6823</v>
      </c>
      <c r="J654" s="24" t="s">
        <v>6824</v>
      </c>
      <c r="K654" s="24" t="s">
        <v>6825</v>
      </c>
      <c r="L654" s="24" t="s">
        <v>84</v>
      </c>
      <c r="M654" s="15" t="s">
        <v>6826</v>
      </c>
      <c r="N654" s="15"/>
      <c r="O654" s="15"/>
      <c r="P654" s="15" t="s">
        <v>1094</v>
      </c>
      <c r="Q654" s="15" t="s">
        <v>5261</v>
      </c>
      <c r="R654" s="15" t="s">
        <v>6827</v>
      </c>
      <c r="S654" s="24" t="s">
        <v>39</v>
      </c>
      <c r="T654" s="24" t="s">
        <v>39</v>
      </c>
      <c r="U654" s="24" t="s">
        <v>39</v>
      </c>
      <c r="V654" s="24" t="s">
        <v>39</v>
      </c>
      <c r="W654" s="24"/>
      <c r="X654" s="24"/>
      <c r="Y654" s="15"/>
      <c r="Z654" s="15"/>
      <c r="AA654" s="24"/>
      <c r="AB654" s="24"/>
      <c r="AC654" s="24"/>
      <c r="AD654" s="24"/>
      <c r="AE654" s="24"/>
      <c r="AF654" s="24"/>
      <c r="AG654" s="24"/>
      <c r="AH654" s="24"/>
    </row>
    <row r="655" spans="1:34" ht="150" x14ac:dyDescent="0.25">
      <c r="A655" s="24" t="str">
        <f>HYPERLINK("https://www.cpso.on.ca/DoctorDetails/Elspeth-Anne-Bradley/0030992-42972","Bradley, Elspeth Anne")</f>
        <v>Bradley, Elspeth Anne</v>
      </c>
      <c r="B655" s="25" t="s">
        <v>6828</v>
      </c>
      <c r="C655" s="24" t="s">
        <v>6829</v>
      </c>
      <c r="D655" s="24" t="s">
        <v>6830</v>
      </c>
      <c r="E655" s="24" t="s">
        <v>29</v>
      </c>
      <c r="F655" s="24" t="s">
        <v>47</v>
      </c>
      <c r="G655" s="24" t="s">
        <v>31</v>
      </c>
      <c r="H655" s="24" t="s">
        <v>6831</v>
      </c>
      <c r="I655" s="24" t="s">
        <v>6832</v>
      </c>
      <c r="J655" s="24" t="s">
        <v>6833</v>
      </c>
      <c r="K655" s="24"/>
      <c r="L655" s="24" t="s">
        <v>52</v>
      </c>
      <c r="M655" s="15"/>
      <c r="N655" s="15" t="s">
        <v>398</v>
      </c>
      <c r="O655" s="15" t="s">
        <v>1703</v>
      </c>
      <c r="P655" s="15" t="s">
        <v>6834</v>
      </c>
      <c r="Q655" s="15"/>
      <c r="R655" s="15" t="s">
        <v>6835</v>
      </c>
      <c r="S655" s="24" t="s">
        <v>39</v>
      </c>
      <c r="T655" s="24" t="s">
        <v>39</v>
      </c>
      <c r="U655" s="24" t="s">
        <v>39</v>
      </c>
      <c r="V655" s="24" t="s">
        <v>39</v>
      </c>
      <c r="W655" s="24"/>
      <c r="X655" s="24"/>
      <c r="Y655" s="15"/>
      <c r="Z655" s="15"/>
      <c r="AA655" s="24"/>
      <c r="AB655" s="24"/>
      <c r="AC655" s="24"/>
      <c r="AD655" s="24"/>
      <c r="AE655" s="24"/>
      <c r="AF655" s="24"/>
      <c r="AG655" s="24"/>
      <c r="AH655" s="24"/>
    </row>
    <row r="656" spans="1:34" ht="45" x14ac:dyDescent="0.25">
      <c r="A656" s="24" t="str">
        <f>HYPERLINK("https://www.cpso.on.ca/DoctorDetails/Elyse-Diedre-Dubo/0045391-59369","Dubo, Elyse Diedre")</f>
        <v>Dubo, Elyse Diedre</v>
      </c>
      <c r="B656" s="25" t="s">
        <v>6836</v>
      </c>
      <c r="C656" s="24" t="s">
        <v>6837</v>
      </c>
      <c r="D656" s="24" t="s">
        <v>6838</v>
      </c>
      <c r="E656" s="24" t="s">
        <v>29</v>
      </c>
      <c r="F656" s="24" t="s">
        <v>47</v>
      </c>
      <c r="G656" s="24" t="s">
        <v>31</v>
      </c>
      <c r="H656" s="24" t="s">
        <v>6839</v>
      </c>
      <c r="I656" s="24" t="s">
        <v>6840</v>
      </c>
      <c r="J656" s="24" t="s">
        <v>6841</v>
      </c>
      <c r="K656" s="24" t="s">
        <v>6842</v>
      </c>
      <c r="L656" s="24" t="s">
        <v>52</v>
      </c>
      <c r="M656" s="15"/>
      <c r="N656" s="15"/>
      <c r="O656" s="15" t="s">
        <v>1397</v>
      </c>
      <c r="P656" s="15" t="s">
        <v>617</v>
      </c>
      <c r="Q656" s="15"/>
      <c r="R656" s="15" t="s">
        <v>6843</v>
      </c>
      <c r="S656" s="24" t="s">
        <v>39</v>
      </c>
      <c r="T656" s="24" t="s">
        <v>39</v>
      </c>
      <c r="U656" s="24" t="s">
        <v>39</v>
      </c>
      <c r="V656" s="24" t="s">
        <v>39</v>
      </c>
      <c r="W656" s="24" t="s">
        <v>6844</v>
      </c>
      <c r="X656" s="24" t="s">
        <v>6845</v>
      </c>
      <c r="Y656" s="15" t="s">
        <v>6846</v>
      </c>
      <c r="Z656" s="15" t="s">
        <v>6847</v>
      </c>
      <c r="AA656" s="24"/>
      <c r="AB656" s="24"/>
      <c r="AC656" s="24"/>
      <c r="AD656" s="24"/>
      <c r="AE656" s="24"/>
      <c r="AF656" s="24"/>
      <c r="AG656" s="24"/>
      <c r="AH656" s="24"/>
    </row>
    <row r="657" spans="1:34" ht="30" x14ac:dyDescent="0.25">
      <c r="A657" s="24" t="str">
        <f>HYPERLINK("https://www.cpso.on.ca/DoctorDetails/Elzbieta-Czolpinska/0044765-58743","Czolpinska, Elzbieta")</f>
        <v>Czolpinska, Elzbieta</v>
      </c>
      <c r="B657" s="25" t="s">
        <v>6848</v>
      </c>
      <c r="C657" s="24" t="s">
        <v>3161</v>
      </c>
      <c r="D657" s="24" t="s">
        <v>6849</v>
      </c>
      <c r="E657" s="24" t="s">
        <v>29</v>
      </c>
      <c r="F657" s="24" t="s">
        <v>47</v>
      </c>
      <c r="G657" s="24" t="s">
        <v>1657</v>
      </c>
      <c r="H657" s="24" t="s">
        <v>6850</v>
      </c>
      <c r="I657" s="24" t="s">
        <v>6851</v>
      </c>
      <c r="J657" s="24" t="s">
        <v>6852</v>
      </c>
      <c r="K657" s="24" t="s">
        <v>6853</v>
      </c>
      <c r="L657" s="24" t="s">
        <v>3849</v>
      </c>
      <c r="M657" s="15"/>
      <c r="N657" s="15"/>
      <c r="O657" s="15" t="s">
        <v>4262</v>
      </c>
      <c r="P657" s="15" t="s">
        <v>1842</v>
      </c>
      <c r="Q657" s="15" t="s">
        <v>6854</v>
      </c>
      <c r="R657" s="15" t="s">
        <v>6855</v>
      </c>
      <c r="S657" s="24" t="s">
        <v>39</v>
      </c>
      <c r="T657" s="24" t="s">
        <v>39</v>
      </c>
      <c r="U657" s="24" t="s">
        <v>39</v>
      </c>
      <c r="V657" s="24" t="s">
        <v>39</v>
      </c>
      <c r="W657" s="24"/>
      <c r="X657" s="24"/>
      <c r="Y657" s="15"/>
      <c r="Z657" s="15"/>
      <c r="AA657" s="24"/>
      <c r="AB657" s="24"/>
      <c r="AC657" s="24"/>
      <c r="AD657" s="24"/>
      <c r="AE657" s="24"/>
      <c r="AF657" s="24"/>
      <c r="AG657" s="24"/>
      <c r="AH657" s="24"/>
    </row>
    <row r="658" spans="1:34" x14ac:dyDescent="0.25">
      <c r="A658" s="24" t="str">
        <f>HYPERLINK("https://www.cpso.on.ca/DoctorDetails/Emil-Nickolas-Zamora/0014439-19222","Zamora, Emil Nickolas")</f>
        <v>Zamora, Emil Nickolas</v>
      </c>
      <c r="B658" s="25" t="s">
        <v>6856</v>
      </c>
      <c r="C658" s="24" t="s">
        <v>6857</v>
      </c>
      <c r="D658" s="24" t="s">
        <v>6858</v>
      </c>
      <c r="E658" s="24" t="s">
        <v>29</v>
      </c>
      <c r="F658" s="24" t="s">
        <v>30</v>
      </c>
      <c r="G658" s="24" t="s">
        <v>6859</v>
      </c>
      <c r="H658" s="24" t="s">
        <v>6860</v>
      </c>
      <c r="I658" s="24" t="s">
        <v>6861</v>
      </c>
      <c r="J658" s="24" t="s">
        <v>6862</v>
      </c>
      <c r="K658" s="24" t="s">
        <v>6863</v>
      </c>
      <c r="L658" s="24" t="s">
        <v>184</v>
      </c>
      <c r="M658" s="15"/>
      <c r="N658" s="15"/>
      <c r="O658" s="15"/>
      <c r="P658" s="15" t="s">
        <v>6864</v>
      </c>
      <c r="Q658" s="15"/>
      <c r="R658" s="15" t="s">
        <v>6865</v>
      </c>
      <c r="S658" s="24" t="s">
        <v>39</v>
      </c>
      <c r="T658" s="24" t="s">
        <v>39</v>
      </c>
      <c r="U658" s="24" t="s">
        <v>39</v>
      </c>
      <c r="V658" s="24" t="s">
        <v>39</v>
      </c>
      <c r="W658" s="24"/>
      <c r="X658" s="24"/>
      <c r="Y658" s="15"/>
      <c r="Z658" s="15"/>
      <c r="AA658" s="24"/>
      <c r="AB658" s="24"/>
      <c r="AC658" s="24"/>
      <c r="AD658" s="24"/>
      <c r="AE658" s="24"/>
      <c r="AF658" s="24"/>
      <c r="AG658" s="24"/>
      <c r="AH658" s="24"/>
    </row>
    <row r="659" spans="1:34" ht="30" x14ac:dyDescent="0.25">
      <c r="A659" s="24" t="str">
        <f>HYPERLINK("https://www.cpso.on.ca/DoctorDetails/Emilia-Noce/0039060-53036","Noce, Emilia")</f>
        <v>Noce, Emilia</v>
      </c>
      <c r="B659" s="25" t="s">
        <v>6866</v>
      </c>
      <c r="C659" s="24" t="s">
        <v>6867</v>
      </c>
      <c r="D659" s="24" t="s">
        <v>6868</v>
      </c>
      <c r="E659" s="24" t="s">
        <v>29</v>
      </c>
      <c r="F659" s="24" t="s">
        <v>47</v>
      </c>
      <c r="G659" s="24" t="s">
        <v>31</v>
      </c>
      <c r="H659" s="24" t="s">
        <v>2003</v>
      </c>
      <c r="I659" s="24" t="s">
        <v>6869</v>
      </c>
      <c r="J659" s="24" t="s">
        <v>6870</v>
      </c>
      <c r="K659" s="24"/>
      <c r="L659" s="24" t="s">
        <v>135</v>
      </c>
      <c r="M659" s="15"/>
      <c r="N659" s="15"/>
      <c r="O659" s="15"/>
      <c r="P659" s="15" t="s">
        <v>868</v>
      </c>
      <c r="Q659" s="15"/>
      <c r="R659" s="15" t="s">
        <v>6871</v>
      </c>
      <c r="S659" s="24" t="s">
        <v>39</v>
      </c>
      <c r="T659" s="24" t="s">
        <v>39</v>
      </c>
      <c r="U659" s="24" t="s">
        <v>39</v>
      </c>
      <c r="V659" s="24" t="s">
        <v>39</v>
      </c>
      <c r="W659" s="24" t="s">
        <v>6872</v>
      </c>
      <c r="X659" s="24" t="s">
        <v>6873</v>
      </c>
      <c r="Y659" s="15" t="s">
        <v>6874</v>
      </c>
      <c r="Z659" s="15" t="s">
        <v>6875</v>
      </c>
      <c r="AA659" s="24"/>
      <c r="AB659" s="24"/>
      <c r="AC659" s="24"/>
      <c r="AD659" s="24"/>
      <c r="AE659" s="24"/>
      <c r="AF659" s="24"/>
      <c r="AG659" s="24"/>
      <c r="AH659" s="24"/>
    </row>
    <row r="660" spans="1:34" ht="75" x14ac:dyDescent="0.25">
      <c r="A660" s="24" t="str">
        <f>HYPERLINK("https://www.cpso.on.ca/DoctorDetails/Emilia-Olejarova/0208385-80324","Olejarova, Emilia")</f>
        <v>Olejarova, Emilia</v>
      </c>
      <c r="B660" s="25" t="s">
        <v>6876</v>
      </c>
      <c r="C660" s="24" t="s">
        <v>6877</v>
      </c>
      <c r="D660" s="24" t="s">
        <v>6878</v>
      </c>
      <c r="E660" s="24" t="s">
        <v>29</v>
      </c>
      <c r="F660" s="24" t="s">
        <v>47</v>
      </c>
      <c r="G660" s="24" t="s">
        <v>6879</v>
      </c>
      <c r="H660" s="24" t="s">
        <v>6880</v>
      </c>
      <c r="I660" s="24" t="s">
        <v>6881</v>
      </c>
      <c r="J660" s="24" t="s">
        <v>6882</v>
      </c>
      <c r="K660" s="24" t="s">
        <v>6883</v>
      </c>
      <c r="L660" s="24" t="s">
        <v>184</v>
      </c>
      <c r="M660" s="15"/>
      <c r="N660" s="15"/>
      <c r="O660" s="15" t="s">
        <v>6884</v>
      </c>
      <c r="P660" s="15" t="s">
        <v>6885</v>
      </c>
      <c r="Q660" s="15" t="s">
        <v>6886</v>
      </c>
      <c r="R660" s="15" t="s">
        <v>6887</v>
      </c>
      <c r="S660" s="24" t="s">
        <v>39</v>
      </c>
      <c r="T660" s="24" t="s">
        <v>39</v>
      </c>
      <c r="U660" s="24" t="s">
        <v>39</v>
      </c>
      <c r="V660" s="24" t="s">
        <v>39</v>
      </c>
      <c r="W660" s="24" t="s">
        <v>6888</v>
      </c>
      <c r="X660" s="24" t="s">
        <v>6889</v>
      </c>
      <c r="Y660" s="15" t="s">
        <v>6890</v>
      </c>
      <c r="Z660" s="15" t="s">
        <v>6891</v>
      </c>
      <c r="AA660" s="24"/>
      <c r="AB660" s="24"/>
      <c r="AC660" s="24"/>
      <c r="AD660" s="24"/>
      <c r="AE660" s="24"/>
      <c r="AF660" s="24"/>
      <c r="AG660" s="24"/>
      <c r="AH660" s="24"/>
    </row>
    <row r="661" spans="1:34" ht="60" x14ac:dyDescent="0.25">
      <c r="A661" s="24" t="str">
        <f>HYPERLINK("https://www.cpso.on.ca/DoctorDetails/Emilio-Bazile/0039469-53445","Bazile, Emilio")</f>
        <v>Bazile, Emilio</v>
      </c>
      <c r="B661" s="25" t="s">
        <v>6892</v>
      </c>
      <c r="C661" s="24" t="s">
        <v>6893</v>
      </c>
      <c r="D661" s="24" t="s">
        <v>6894</v>
      </c>
      <c r="E661" s="24" t="s">
        <v>29</v>
      </c>
      <c r="F661" s="24" t="s">
        <v>30</v>
      </c>
      <c r="G661" s="24" t="s">
        <v>4601</v>
      </c>
      <c r="H661" s="24" t="s">
        <v>6895</v>
      </c>
      <c r="I661" s="24" t="s">
        <v>6896</v>
      </c>
      <c r="J661" s="24" t="s">
        <v>6897</v>
      </c>
      <c r="K661" s="24" t="s">
        <v>6898</v>
      </c>
      <c r="L661" s="24" t="s">
        <v>84</v>
      </c>
      <c r="M661" s="15" t="s">
        <v>6899</v>
      </c>
      <c r="N661" s="15" t="s">
        <v>6900</v>
      </c>
      <c r="O661" s="15" t="s">
        <v>6901</v>
      </c>
      <c r="P661" s="15" t="s">
        <v>1420</v>
      </c>
      <c r="Q661" s="15"/>
      <c r="R661" s="15" t="s">
        <v>6902</v>
      </c>
      <c r="S661" s="24" t="s">
        <v>39</v>
      </c>
      <c r="T661" s="24" t="s">
        <v>39</v>
      </c>
      <c r="U661" s="24" t="s">
        <v>39</v>
      </c>
      <c r="V661" s="24" t="s">
        <v>39</v>
      </c>
      <c r="W661" s="24" t="s">
        <v>6903</v>
      </c>
      <c r="X661" s="24" t="s">
        <v>6904</v>
      </c>
      <c r="Y661" s="15" t="s">
        <v>6905</v>
      </c>
      <c r="Z661" s="15" t="s">
        <v>6906</v>
      </c>
      <c r="AA661" s="24"/>
      <c r="AB661" s="24"/>
      <c r="AC661" s="24"/>
      <c r="AD661" s="24"/>
      <c r="AE661" s="24"/>
      <c r="AF661" s="24"/>
      <c r="AG661" s="24"/>
      <c r="AH661" s="24"/>
    </row>
    <row r="662" spans="1:34" ht="60" x14ac:dyDescent="0.25">
      <c r="A662" s="24" t="str">
        <f>HYPERLINK("https://www.cpso.on.ca/DoctorDetails/Emily-Pease-GavettLiu/0324224-117030","Gavett-Liu, Emily Pease")</f>
        <v>Gavett-Liu, Emily Pease</v>
      </c>
      <c r="B662" s="25" t="s">
        <v>6907</v>
      </c>
      <c r="C662" s="24" t="s">
        <v>2080</v>
      </c>
      <c r="D662" s="24" t="s">
        <v>2081</v>
      </c>
      <c r="E662" s="24" t="s">
        <v>29</v>
      </c>
      <c r="F662" s="24" t="s">
        <v>47</v>
      </c>
      <c r="G662" s="24" t="s">
        <v>31</v>
      </c>
      <c r="H662" s="24" t="s">
        <v>6908</v>
      </c>
      <c r="I662" s="24" t="s">
        <v>6909</v>
      </c>
      <c r="J662" s="24"/>
      <c r="K662" s="24"/>
      <c r="L662" s="24" t="s">
        <v>152</v>
      </c>
      <c r="M662" s="15" t="s">
        <v>6910</v>
      </c>
      <c r="N662" s="15"/>
      <c r="O662" s="15"/>
      <c r="P662" s="15" t="s">
        <v>2085</v>
      </c>
      <c r="Q662" s="15"/>
      <c r="R662" s="15" t="s">
        <v>2086</v>
      </c>
      <c r="S662" s="24" t="s">
        <v>71</v>
      </c>
      <c r="T662" s="24" t="s">
        <v>39</v>
      </c>
      <c r="U662" s="24" t="s">
        <v>39</v>
      </c>
      <c r="V662" s="24" t="s">
        <v>39</v>
      </c>
      <c r="W662" s="24"/>
      <c r="X662" s="24"/>
      <c r="Y662" s="15"/>
      <c r="Z662" s="15"/>
      <c r="AA662" s="24"/>
      <c r="AB662" s="24"/>
      <c r="AC662" s="24"/>
      <c r="AD662" s="24"/>
      <c r="AE662" s="24"/>
      <c r="AF662" s="24"/>
      <c r="AG662" s="24"/>
      <c r="AH662" s="24"/>
    </row>
    <row r="663" spans="1:34" ht="75" x14ac:dyDescent="0.25">
      <c r="A663" s="24" t="str">
        <f>HYPERLINK("https://www.cpso.on.ca/DoctorDetails/Emma-Clare-Sutherland-Hapke/0273518-95085","Hapke, Emma Clare Sutherland")</f>
        <v>Hapke, Emma Clare Sutherland</v>
      </c>
      <c r="B663" s="25" t="s">
        <v>6911</v>
      </c>
      <c r="C663" s="24" t="s">
        <v>1266</v>
      </c>
      <c r="D663" s="24" t="s">
        <v>967</v>
      </c>
      <c r="E663" s="24" t="s">
        <v>29</v>
      </c>
      <c r="F663" s="24" t="s">
        <v>47</v>
      </c>
      <c r="G663" s="24" t="s">
        <v>31</v>
      </c>
      <c r="H663" s="24" t="s">
        <v>4476</v>
      </c>
      <c r="I663" s="24" t="s">
        <v>6912</v>
      </c>
      <c r="J663" s="24" t="s">
        <v>6913</v>
      </c>
      <c r="K663" s="24" t="s">
        <v>792</v>
      </c>
      <c r="L663" s="24" t="s">
        <v>52</v>
      </c>
      <c r="M663" s="15"/>
      <c r="N663" s="15"/>
      <c r="O663" s="15" t="s">
        <v>2483</v>
      </c>
      <c r="P663" s="15" t="s">
        <v>973</v>
      </c>
      <c r="Q663" s="15" t="s">
        <v>4058</v>
      </c>
      <c r="R663" s="15" t="s">
        <v>4059</v>
      </c>
      <c r="S663" s="24" t="s">
        <v>39</v>
      </c>
      <c r="T663" s="24" t="s">
        <v>39</v>
      </c>
      <c r="U663" s="24" t="s">
        <v>39</v>
      </c>
      <c r="V663" s="24" t="s">
        <v>39</v>
      </c>
      <c r="W663" s="24" t="s">
        <v>6914</v>
      </c>
      <c r="X663" s="24" t="s">
        <v>6915</v>
      </c>
      <c r="Y663" s="15" t="s">
        <v>6916</v>
      </c>
      <c r="Z663" s="15" t="s">
        <v>6917</v>
      </c>
      <c r="AA663" s="24"/>
      <c r="AB663" s="24"/>
      <c r="AC663" s="24"/>
      <c r="AD663" s="24"/>
      <c r="AE663" s="24"/>
      <c r="AF663" s="24"/>
      <c r="AG663" s="24"/>
      <c r="AH663" s="24"/>
    </row>
    <row r="664" spans="1:34" x14ac:dyDescent="0.25">
      <c r="A664" s="24" t="str">
        <f>HYPERLINK("https://www.cpso.on.ca/DoctorDetails/Emma-Samuda-Unoh/0268328-94608","Unoh, Emma Samuda")</f>
        <v>Unoh, Emma Samuda</v>
      </c>
      <c r="B664" s="25" t="s">
        <v>6918</v>
      </c>
      <c r="C664" s="24" t="s">
        <v>6919</v>
      </c>
      <c r="D664" s="24" t="s">
        <v>6920</v>
      </c>
      <c r="E664" s="24" t="s">
        <v>29</v>
      </c>
      <c r="F664" s="24" t="s">
        <v>47</v>
      </c>
      <c r="G664" s="24" t="s">
        <v>31</v>
      </c>
      <c r="H664" s="24" t="s">
        <v>325</v>
      </c>
      <c r="I664" s="24" t="s">
        <v>6921</v>
      </c>
      <c r="J664" s="24" t="s">
        <v>6922</v>
      </c>
      <c r="K664" s="24" t="s">
        <v>6762</v>
      </c>
      <c r="L664" s="24" t="s">
        <v>184</v>
      </c>
      <c r="M664" s="15"/>
      <c r="N664" s="15"/>
      <c r="O664" s="15" t="s">
        <v>1662</v>
      </c>
      <c r="P664" s="15" t="s">
        <v>154</v>
      </c>
      <c r="Q664" s="15"/>
      <c r="R664" s="15" t="s">
        <v>6923</v>
      </c>
      <c r="S664" s="24" t="s">
        <v>39</v>
      </c>
      <c r="T664" s="24" t="s">
        <v>39</v>
      </c>
      <c r="U664" s="24" t="s">
        <v>39</v>
      </c>
      <c r="V664" s="24" t="s">
        <v>39</v>
      </c>
      <c r="W664" s="24" t="s">
        <v>6924</v>
      </c>
      <c r="X664" s="24" t="s">
        <v>6925</v>
      </c>
      <c r="Y664" s="15" t="s">
        <v>6926</v>
      </c>
      <c r="Z664" s="15" t="s">
        <v>6927</v>
      </c>
      <c r="AA664" s="24"/>
      <c r="AB664" s="24"/>
      <c r="AC664" s="24"/>
      <c r="AD664" s="24"/>
      <c r="AE664" s="24"/>
      <c r="AF664" s="24"/>
      <c r="AG664" s="24"/>
      <c r="AH664" s="24"/>
    </row>
    <row r="665" spans="1:34" ht="120" x14ac:dyDescent="0.25">
      <c r="A665" s="24" t="str">
        <f>HYPERLINK("https://www.cpso.on.ca/DoctorDetails/Emmalee-Violet-Marshall/0159009-73407","Marshall, Emmalee Violet")</f>
        <v>Marshall, Emmalee Violet</v>
      </c>
      <c r="B665" s="25" t="s">
        <v>6928</v>
      </c>
      <c r="C665" s="24" t="s">
        <v>6929</v>
      </c>
      <c r="D665" s="24" t="s">
        <v>6930</v>
      </c>
      <c r="E665" s="24" t="s">
        <v>29</v>
      </c>
      <c r="F665" s="24" t="s">
        <v>47</v>
      </c>
      <c r="G665" s="24" t="s">
        <v>31</v>
      </c>
      <c r="H665" s="24" t="s">
        <v>1235</v>
      </c>
      <c r="I665" s="24" t="s">
        <v>6931</v>
      </c>
      <c r="J665" s="24" t="s">
        <v>1853</v>
      </c>
      <c r="K665" s="24" t="s">
        <v>6932</v>
      </c>
      <c r="L665" s="24" t="s">
        <v>328</v>
      </c>
      <c r="M665" s="15"/>
      <c r="N665" s="15"/>
      <c r="O665" s="15" t="s">
        <v>1855</v>
      </c>
      <c r="P665" s="15" t="s">
        <v>6933</v>
      </c>
      <c r="Q665" s="15" t="s">
        <v>6934</v>
      </c>
      <c r="R665" s="15" t="s">
        <v>6935</v>
      </c>
      <c r="S665" s="24" t="s">
        <v>39</v>
      </c>
      <c r="T665" s="24" t="s">
        <v>39</v>
      </c>
      <c r="U665" s="24" t="s">
        <v>39</v>
      </c>
      <c r="V665" s="24" t="s">
        <v>39</v>
      </c>
      <c r="W665" s="24" t="s">
        <v>6936</v>
      </c>
      <c r="X665" s="24" t="s">
        <v>6937</v>
      </c>
      <c r="Y665" s="15" t="s">
        <v>6938</v>
      </c>
      <c r="Z665" s="15" t="s">
        <v>6939</v>
      </c>
      <c r="AA665" s="24"/>
      <c r="AB665" s="24"/>
      <c r="AC665" s="24"/>
      <c r="AD665" s="24"/>
      <c r="AE665" s="24"/>
      <c r="AF665" s="24"/>
      <c r="AG665" s="24"/>
      <c r="AH665" s="24"/>
    </row>
    <row r="666" spans="1:34" ht="45" x14ac:dyDescent="0.25">
      <c r="A666" s="24" t="str">
        <f>HYPERLINK("https://www.cpso.on.ca/DoctorDetails/Emmanuel-Habib-Tadross/0029812-41788","Tadross, Emmanuel Habib")</f>
        <v>Tadross, Emmanuel Habib</v>
      </c>
      <c r="B666" s="25" t="s">
        <v>6940</v>
      </c>
      <c r="C666" s="24" t="s">
        <v>6941</v>
      </c>
      <c r="D666" s="24" t="s">
        <v>6222</v>
      </c>
      <c r="E666" s="24" t="s">
        <v>29</v>
      </c>
      <c r="F666" s="24" t="s">
        <v>30</v>
      </c>
      <c r="G666" s="24" t="s">
        <v>105</v>
      </c>
      <c r="H666" s="24" t="s">
        <v>6942</v>
      </c>
      <c r="I666" s="24" t="s">
        <v>6943</v>
      </c>
      <c r="J666" s="24" t="s">
        <v>6944</v>
      </c>
      <c r="K666" s="24" t="s">
        <v>3681</v>
      </c>
      <c r="L666" s="24" t="s">
        <v>152</v>
      </c>
      <c r="M666" s="15"/>
      <c r="N666" s="15"/>
      <c r="O666" s="15" t="s">
        <v>6945</v>
      </c>
      <c r="P666" s="15" t="s">
        <v>6946</v>
      </c>
      <c r="Q666" s="15"/>
      <c r="R666" s="15" t="s">
        <v>6947</v>
      </c>
      <c r="S666" s="24" t="s">
        <v>39</v>
      </c>
      <c r="T666" s="24" t="s">
        <v>39</v>
      </c>
      <c r="U666" s="24" t="s">
        <v>39</v>
      </c>
      <c r="V666" s="24" t="s">
        <v>39</v>
      </c>
      <c r="W666" s="24"/>
      <c r="X666" s="24"/>
      <c r="Y666" s="15"/>
      <c r="Z666" s="15"/>
      <c r="AA666" s="24"/>
      <c r="AB666" s="24"/>
      <c r="AC666" s="24"/>
      <c r="AD666" s="24"/>
      <c r="AE666" s="24"/>
      <c r="AF666" s="24"/>
      <c r="AG666" s="24"/>
      <c r="AH666" s="24"/>
    </row>
    <row r="667" spans="1:34" ht="45" x14ac:dyDescent="0.25">
      <c r="A667" s="24" t="str">
        <f>HYPERLINK("https://www.cpso.on.ca/DoctorDetails/Emmanuel-Persad/0020410-25198","Persad, Emmanuel")</f>
        <v>Persad, Emmanuel</v>
      </c>
      <c r="B667" s="25" t="s">
        <v>6948</v>
      </c>
      <c r="C667" s="24" t="s">
        <v>6949</v>
      </c>
      <c r="D667" s="24" t="s">
        <v>6950</v>
      </c>
      <c r="E667" s="24" t="s">
        <v>29</v>
      </c>
      <c r="F667" s="24" t="s">
        <v>30</v>
      </c>
      <c r="G667" s="24" t="s">
        <v>31</v>
      </c>
      <c r="H667" s="24" t="s">
        <v>6951</v>
      </c>
      <c r="I667" s="24" t="s">
        <v>6952</v>
      </c>
      <c r="J667" s="24" t="s">
        <v>1340</v>
      </c>
      <c r="K667" s="24" t="s">
        <v>1341</v>
      </c>
      <c r="L667" s="24" t="s">
        <v>36</v>
      </c>
      <c r="M667" s="15"/>
      <c r="N667" s="15"/>
      <c r="O667" s="15" t="s">
        <v>3497</v>
      </c>
      <c r="P667" s="15" t="s">
        <v>6953</v>
      </c>
      <c r="Q667" s="15"/>
      <c r="R667" s="15" t="s">
        <v>6954</v>
      </c>
      <c r="S667" s="24" t="s">
        <v>39</v>
      </c>
      <c r="T667" s="24" t="s">
        <v>39</v>
      </c>
      <c r="U667" s="24" t="s">
        <v>39</v>
      </c>
      <c r="V667" s="24" t="s">
        <v>39</v>
      </c>
      <c r="W667" s="24"/>
      <c r="X667" s="24"/>
      <c r="Y667" s="15"/>
      <c r="Z667" s="15"/>
      <c r="AA667" s="24"/>
      <c r="AB667" s="24"/>
      <c r="AC667" s="24"/>
      <c r="AD667" s="24"/>
      <c r="AE667" s="24"/>
      <c r="AF667" s="24"/>
      <c r="AG667" s="24"/>
      <c r="AH667" s="24"/>
    </row>
    <row r="668" spans="1:34" ht="60" x14ac:dyDescent="0.25">
      <c r="A668" s="24" t="str">
        <f>HYPERLINK("https://www.cpso.on.ca/DoctorDetails/Engracia-De-Ocampo-EusebioTorres/0030419-42399","Eusebio-Torres, Engracia De Ocampo")</f>
        <v>Eusebio-Torres, Engracia De Ocampo</v>
      </c>
      <c r="B668" s="25" t="s">
        <v>6955</v>
      </c>
      <c r="C668" s="24" t="s">
        <v>6956</v>
      </c>
      <c r="D668" s="24" t="s">
        <v>6957</v>
      </c>
      <c r="E668" s="24" t="s">
        <v>29</v>
      </c>
      <c r="F668" s="24" t="s">
        <v>47</v>
      </c>
      <c r="G668" s="24" t="s">
        <v>861</v>
      </c>
      <c r="H668" s="24" t="s">
        <v>6958</v>
      </c>
      <c r="I668" s="24" t="s">
        <v>6959</v>
      </c>
      <c r="J668" s="24" t="s">
        <v>5104</v>
      </c>
      <c r="K668" s="24" t="s">
        <v>5105</v>
      </c>
      <c r="L668" s="24" t="s">
        <v>36</v>
      </c>
      <c r="M668" s="15"/>
      <c r="N668" s="15"/>
      <c r="O668" s="15" t="s">
        <v>972</v>
      </c>
      <c r="P668" s="15" t="s">
        <v>1227</v>
      </c>
      <c r="Q668" s="15"/>
      <c r="R668" s="15" t="s">
        <v>6960</v>
      </c>
      <c r="S668" s="24" t="s">
        <v>39</v>
      </c>
      <c r="T668" s="24" t="s">
        <v>39</v>
      </c>
      <c r="U668" s="24" t="s">
        <v>39</v>
      </c>
      <c r="V668" s="24" t="s">
        <v>39</v>
      </c>
      <c r="W668" s="24"/>
      <c r="X668" s="24"/>
      <c r="Y668" s="15"/>
      <c r="Z668" s="15"/>
      <c r="AA668" s="24"/>
      <c r="AB668" s="24"/>
      <c r="AC668" s="24"/>
      <c r="AD668" s="24"/>
      <c r="AE668" s="24"/>
      <c r="AF668" s="24"/>
      <c r="AG668" s="24"/>
      <c r="AH668" s="24"/>
    </row>
    <row r="669" spans="1:34" ht="75" x14ac:dyDescent="0.25">
      <c r="A669" s="24" t="str">
        <f>HYPERLINK("https://www.cpso.on.ca/DoctorDetails/Enosakhare-Bernard-Omoruyi/0258687-91973","Omoruyi, Enosakhare Bernard")</f>
        <v>Omoruyi, Enosakhare Bernard</v>
      </c>
      <c r="B669" s="25" t="s">
        <v>6961</v>
      </c>
      <c r="C669" s="24" t="s">
        <v>1304</v>
      </c>
      <c r="D669" s="24" t="s">
        <v>1305</v>
      </c>
      <c r="E669" s="24" t="s">
        <v>29</v>
      </c>
      <c r="F669" s="24" t="s">
        <v>30</v>
      </c>
      <c r="G669" s="24" t="s">
        <v>31</v>
      </c>
      <c r="H669" s="24" t="s">
        <v>6962</v>
      </c>
      <c r="I669" s="24" t="s">
        <v>6963</v>
      </c>
      <c r="J669" s="24" t="s">
        <v>6964</v>
      </c>
      <c r="K669" s="24" t="s">
        <v>6965</v>
      </c>
      <c r="L669" s="24" t="s">
        <v>52</v>
      </c>
      <c r="M669" s="15" t="s">
        <v>6966</v>
      </c>
      <c r="N669" s="15"/>
      <c r="O669" s="15" t="s">
        <v>424</v>
      </c>
      <c r="P669" s="15" t="s">
        <v>412</v>
      </c>
      <c r="Q669" s="15"/>
      <c r="R669" s="15" t="s">
        <v>6967</v>
      </c>
      <c r="S669" s="24" t="s">
        <v>39</v>
      </c>
      <c r="T669" s="24" t="s">
        <v>39</v>
      </c>
      <c r="U669" s="24" t="s">
        <v>39</v>
      </c>
      <c r="V669" s="24" t="s">
        <v>39</v>
      </c>
      <c r="W669" s="24" t="s">
        <v>6968</v>
      </c>
      <c r="X669" s="24" t="s">
        <v>6969</v>
      </c>
      <c r="Y669" s="15" t="s">
        <v>6970</v>
      </c>
      <c r="Z669" s="15" t="s">
        <v>6971</v>
      </c>
      <c r="AA669" s="24"/>
      <c r="AB669" s="24"/>
      <c r="AC669" s="24"/>
      <c r="AD669" s="24"/>
      <c r="AE669" s="24"/>
      <c r="AF669" s="24"/>
      <c r="AG669" s="24"/>
      <c r="AH669" s="24"/>
    </row>
    <row r="670" spans="1:34" ht="30" x14ac:dyDescent="0.25">
      <c r="A670" s="24" t="str">
        <f>HYPERLINK("https://www.cpso.on.ca/DoctorDetails/Enzo-DAlessandro/0047714-61692","D'Alessandro, Enzo")</f>
        <v>D'Alessandro, Enzo</v>
      </c>
      <c r="B670" s="25" t="s">
        <v>6972</v>
      </c>
      <c r="C670" s="24" t="s">
        <v>6973</v>
      </c>
      <c r="D670" s="24" t="s">
        <v>6974</v>
      </c>
      <c r="E670" s="24" t="s">
        <v>29</v>
      </c>
      <c r="F670" s="24" t="s">
        <v>30</v>
      </c>
      <c r="G670" s="24" t="s">
        <v>2188</v>
      </c>
      <c r="H670" s="24" t="s">
        <v>6975</v>
      </c>
      <c r="I670" s="24" t="s">
        <v>6976</v>
      </c>
      <c r="J670" s="24" t="s">
        <v>6977</v>
      </c>
      <c r="K670" s="24" t="s">
        <v>6978</v>
      </c>
      <c r="L670" s="24" t="s">
        <v>52</v>
      </c>
      <c r="M670" s="15"/>
      <c r="N670" s="15" t="s">
        <v>4047</v>
      </c>
      <c r="O670" s="15"/>
      <c r="P670" s="15" t="s">
        <v>6979</v>
      </c>
      <c r="Q670" s="15" t="s">
        <v>6980</v>
      </c>
      <c r="R670" s="15" t="s">
        <v>6981</v>
      </c>
      <c r="S670" s="24" t="s">
        <v>39</v>
      </c>
      <c r="T670" s="24" t="s">
        <v>39</v>
      </c>
      <c r="U670" s="24" t="s">
        <v>39</v>
      </c>
      <c r="V670" s="24" t="s">
        <v>39</v>
      </c>
      <c r="W670" s="24" t="s">
        <v>6982</v>
      </c>
      <c r="X670" s="24" t="s">
        <v>6983</v>
      </c>
      <c r="Y670" s="15" t="s">
        <v>6984</v>
      </c>
      <c r="Z670" s="15" t="s">
        <v>6985</v>
      </c>
      <c r="AA670" s="24"/>
      <c r="AB670" s="24"/>
      <c r="AC670" s="24"/>
      <c r="AD670" s="24"/>
      <c r="AE670" s="24"/>
      <c r="AF670" s="24"/>
      <c r="AG670" s="24"/>
      <c r="AH670" s="24"/>
    </row>
    <row r="671" spans="1:34" ht="45" x14ac:dyDescent="0.25">
      <c r="A671" s="24" t="str">
        <f>HYPERLINK("https://www.cpso.on.ca/DoctorDetails/Erhard-Walter-Busse/0015999-20784","Busse, Erhard Walter")</f>
        <v>Busse, Erhard Walter</v>
      </c>
      <c r="B671" s="25" t="s">
        <v>6986</v>
      </c>
      <c r="C671" s="24" t="s">
        <v>6987</v>
      </c>
      <c r="D671" s="24" t="s">
        <v>6988</v>
      </c>
      <c r="E671" s="24" t="s">
        <v>29</v>
      </c>
      <c r="F671" s="24" t="s">
        <v>30</v>
      </c>
      <c r="G671" s="24" t="s">
        <v>6608</v>
      </c>
      <c r="H671" s="24" t="s">
        <v>6989</v>
      </c>
      <c r="I671" s="24" t="s">
        <v>6990</v>
      </c>
      <c r="J671" s="24" t="s">
        <v>6991</v>
      </c>
      <c r="K671" s="24"/>
      <c r="L671" s="24" t="s">
        <v>184</v>
      </c>
      <c r="M671" s="15" t="s">
        <v>6992</v>
      </c>
      <c r="N671" s="15"/>
      <c r="O671" s="15"/>
      <c r="P671" s="15" t="s">
        <v>2400</v>
      </c>
      <c r="Q671" s="15"/>
      <c r="R671" s="15" t="s">
        <v>6993</v>
      </c>
      <c r="S671" s="24" t="s">
        <v>39</v>
      </c>
      <c r="T671" s="24" t="s">
        <v>39</v>
      </c>
      <c r="U671" s="24" t="s">
        <v>39</v>
      </c>
      <c r="V671" s="24" t="s">
        <v>39</v>
      </c>
      <c r="W671" s="24" t="s">
        <v>6994</v>
      </c>
      <c r="X671" s="24" t="s">
        <v>6995</v>
      </c>
      <c r="Y671" s="15" t="s">
        <v>6996</v>
      </c>
      <c r="Z671" s="15" t="s">
        <v>6997</v>
      </c>
      <c r="AA671" s="24"/>
      <c r="AB671" s="24"/>
      <c r="AC671" s="24"/>
      <c r="AD671" s="24"/>
      <c r="AE671" s="24"/>
      <c r="AF671" s="24"/>
      <c r="AG671" s="24"/>
      <c r="AH671" s="24"/>
    </row>
    <row r="672" spans="1:34" ht="45" x14ac:dyDescent="0.25">
      <c r="A672" s="24" t="str">
        <f>HYPERLINK("https://www.cpso.on.ca/DoctorDetails/Eric-Alan-Knight/0022389-27179","Knight, Eric Alan")</f>
        <v>Knight, Eric Alan</v>
      </c>
      <c r="B672" s="25" t="s">
        <v>6998</v>
      </c>
      <c r="C672" s="24" t="s">
        <v>6999</v>
      </c>
      <c r="D672" s="24" t="s">
        <v>7000</v>
      </c>
      <c r="E672" s="24" t="s">
        <v>29</v>
      </c>
      <c r="F672" s="24" t="s">
        <v>30</v>
      </c>
      <c r="G672" s="24" t="s">
        <v>31</v>
      </c>
      <c r="H672" s="24" t="s">
        <v>7001</v>
      </c>
      <c r="I672" s="24" t="s">
        <v>7002</v>
      </c>
      <c r="J672" s="24" t="s">
        <v>7003</v>
      </c>
      <c r="K672" s="24" t="s">
        <v>7003</v>
      </c>
      <c r="L672" s="24" t="s">
        <v>84</v>
      </c>
      <c r="M672" s="15"/>
      <c r="N672" s="15"/>
      <c r="O672" s="15"/>
      <c r="P672" s="15" t="s">
        <v>2400</v>
      </c>
      <c r="Q672" s="15"/>
      <c r="R672" s="15" t="s">
        <v>7004</v>
      </c>
      <c r="S672" s="24" t="s">
        <v>71</v>
      </c>
      <c r="T672" s="24" t="s">
        <v>39</v>
      </c>
      <c r="U672" s="24" t="s">
        <v>39</v>
      </c>
      <c r="V672" s="24" t="s">
        <v>39</v>
      </c>
      <c r="W672" s="24" t="s">
        <v>7005</v>
      </c>
      <c r="X672" s="24" t="s">
        <v>7006</v>
      </c>
      <c r="Y672" s="15" t="s">
        <v>7007</v>
      </c>
      <c r="Z672" s="15" t="s">
        <v>7008</v>
      </c>
      <c r="AA672" s="24"/>
      <c r="AB672" s="24"/>
      <c r="AC672" s="24"/>
      <c r="AD672" s="24"/>
      <c r="AE672" s="24"/>
      <c r="AF672" s="24"/>
      <c r="AG672" s="24"/>
      <c r="AH672" s="24"/>
    </row>
    <row r="673" spans="1:34" ht="30" x14ac:dyDescent="0.25">
      <c r="A673" s="24" t="str">
        <f>HYPERLINK("https://www.cpso.on.ca/DoctorDetails/Eric-David-Zarins/0023959-28781","Zarins, Eric David")</f>
        <v>Zarins, Eric David</v>
      </c>
      <c r="B673" s="25" t="s">
        <v>7009</v>
      </c>
      <c r="C673" s="24" t="s">
        <v>7010</v>
      </c>
      <c r="D673" s="24" t="s">
        <v>7011</v>
      </c>
      <c r="E673" s="24" t="s">
        <v>29</v>
      </c>
      <c r="F673" s="24" t="s">
        <v>30</v>
      </c>
      <c r="G673" s="24" t="s">
        <v>31</v>
      </c>
      <c r="H673" s="24" t="s">
        <v>7012</v>
      </c>
      <c r="I673" s="24" t="s">
        <v>2614</v>
      </c>
      <c r="J673" s="24" t="s">
        <v>3661</v>
      </c>
      <c r="K673" s="24" t="s">
        <v>7013</v>
      </c>
      <c r="L673" s="24" t="s">
        <v>152</v>
      </c>
      <c r="M673" s="15"/>
      <c r="N673" s="15"/>
      <c r="O673" s="15" t="s">
        <v>7014</v>
      </c>
      <c r="P673" s="15" t="s">
        <v>745</v>
      </c>
      <c r="Q673" s="15"/>
      <c r="R673" s="15" t="s">
        <v>7015</v>
      </c>
      <c r="S673" s="24" t="s">
        <v>39</v>
      </c>
      <c r="T673" s="24" t="s">
        <v>39</v>
      </c>
      <c r="U673" s="24" t="s">
        <v>39</v>
      </c>
      <c r="V673" s="24" t="s">
        <v>39</v>
      </c>
      <c r="W673" s="24"/>
      <c r="X673" s="24"/>
      <c r="Y673" s="15"/>
      <c r="Z673" s="15"/>
      <c r="AA673" s="24"/>
      <c r="AB673" s="24"/>
      <c r="AC673" s="24"/>
      <c r="AD673" s="24"/>
      <c r="AE673" s="24"/>
      <c r="AF673" s="24"/>
      <c r="AG673" s="24"/>
      <c r="AH673" s="24"/>
    </row>
    <row r="674" spans="1:34" ht="90" x14ac:dyDescent="0.25">
      <c r="A674" s="24" t="str">
        <f>HYPERLINK("https://www.cpso.on.ca/DoctorDetails/Eric-Elvezio-Brown/0288749-101352","Brown, Eric Elvezio")</f>
        <v>Brown, Eric Elvezio</v>
      </c>
      <c r="B674" s="25" t="s">
        <v>7016</v>
      </c>
      <c r="C674" s="24" t="s">
        <v>199</v>
      </c>
      <c r="D674" s="24" t="s">
        <v>200</v>
      </c>
      <c r="E674" s="24" t="s">
        <v>29</v>
      </c>
      <c r="F674" s="24" t="s">
        <v>30</v>
      </c>
      <c r="G674" s="24" t="s">
        <v>31</v>
      </c>
      <c r="H674" s="24" t="s">
        <v>2992</v>
      </c>
      <c r="I674" s="24" t="s">
        <v>7017</v>
      </c>
      <c r="J674" s="24" t="s">
        <v>7018</v>
      </c>
      <c r="K674" s="24"/>
      <c r="L674" s="24" t="s">
        <v>52</v>
      </c>
      <c r="M674" s="15" t="s">
        <v>7019</v>
      </c>
      <c r="N674" s="15"/>
      <c r="O674" s="15"/>
      <c r="P674" s="15" t="s">
        <v>205</v>
      </c>
      <c r="Q674" s="15" t="s">
        <v>7020</v>
      </c>
      <c r="R674" s="15" t="s">
        <v>207</v>
      </c>
      <c r="S674" s="24" t="s">
        <v>39</v>
      </c>
      <c r="T674" s="24" t="s">
        <v>39</v>
      </c>
      <c r="U674" s="24" t="s">
        <v>39</v>
      </c>
      <c r="V674" s="24" t="s">
        <v>39</v>
      </c>
      <c r="W674" s="24"/>
      <c r="X674" s="24"/>
      <c r="Y674" s="15"/>
      <c r="Z674" s="15"/>
      <c r="AA674" s="24"/>
      <c r="AB674" s="24"/>
      <c r="AC674" s="24"/>
      <c r="AD674" s="24"/>
      <c r="AE674" s="24"/>
      <c r="AF674" s="24"/>
      <c r="AG674" s="24"/>
      <c r="AH674" s="24"/>
    </row>
    <row r="675" spans="1:34" ht="30" x14ac:dyDescent="0.25">
      <c r="A675" s="24" t="str">
        <f>HYPERLINK("https://www.cpso.on.ca/DoctorDetails/Eric-Hood/0014705-19489","Hood, Eric")</f>
        <v>Hood, Eric</v>
      </c>
      <c r="B675" s="25" t="s">
        <v>7021</v>
      </c>
      <c r="C675" s="24" t="s">
        <v>7022</v>
      </c>
      <c r="D675" s="24" t="s">
        <v>7023</v>
      </c>
      <c r="E675" s="24" t="s">
        <v>29</v>
      </c>
      <c r="F675" s="24" t="s">
        <v>30</v>
      </c>
      <c r="G675" s="24" t="s">
        <v>31</v>
      </c>
      <c r="H675" s="24" t="s">
        <v>7024</v>
      </c>
      <c r="I675" s="24" t="s">
        <v>7025</v>
      </c>
      <c r="J675" s="24" t="s">
        <v>7026</v>
      </c>
      <c r="K675" s="24" t="s">
        <v>7027</v>
      </c>
      <c r="L675" s="24" t="s">
        <v>52</v>
      </c>
      <c r="M675" s="15"/>
      <c r="N675" s="15"/>
      <c r="O675" s="15"/>
      <c r="P675" s="15" t="s">
        <v>5785</v>
      </c>
      <c r="Q675" s="15"/>
      <c r="R675" s="15" t="s">
        <v>7028</v>
      </c>
      <c r="S675" s="24" t="s">
        <v>39</v>
      </c>
      <c r="T675" s="24" t="s">
        <v>39</v>
      </c>
      <c r="U675" s="24" t="s">
        <v>39</v>
      </c>
      <c r="V675" s="24" t="s">
        <v>39</v>
      </c>
      <c r="W675" s="24"/>
      <c r="X675" s="24"/>
      <c r="Y675" s="15"/>
      <c r="Z675" s="15"/>
      <c r="AA675" s="24"/>
      <c r="AB675" s="24"/>
      <c r="AC675" s="24"/>
      <c r="AD675" s="24"/>
      <c r="AE675" s="24"/>
      <c r="AF675" s="24"/>
      <c r="AG675" s="24"/>
      <c r="AH675" s="24"/>
    </row>
    <row r="676" spans="1:34" ht="75" x14ac:dyDescent="0.25">
      <c r="A676" s="24" t="str">
        <f>HYPERLINK("https://www.cpso.on.ca/DoctorDetails/Eric-Marc-Mulder/0210303-80712","Mulder, Eric Marc")</f>
        <v>Mulder, Eric Marc</v>
      </c>
      <c r="B676" s="25" t="s">
        <v>7029</v>
      </c>
      <c r="C676" s="24" t="s">
        <v>45</v>
      </c>
      <c r="D676" s="24" t="s">
        <v>46</v>
      </c>
      <c r="E676" s="24" t="s">
        <v>29</v>
      </c>
      <c r="F676" s="24" t="s">
        <v>30</v>
      </c>
      <c r="G676" s="24" t="s">
        <v>31</v>
      </c>
      <c r="H676" s="24" t="s">
        <v>48</v>
      </c>
      <c r="I676" s="24" t="s">
        <v>4785</v>
      </c>
      <c r="J676" s="24" t="s">
        <v>7030</v>
      </c>
      <c r="K676" s="24" t="s">
        <v>4787</v>
      </c>
      <c r="L676" s="24" t="s">
        <v>36</v>
      </c>
      <c r="M676" s="15" t="s">
        <v>7031</v>
      </c>
      <c r="N676" s="15"/>
      <c r="O676" s="15" t="s">
        <v>7032</v>
      </c>
      <c r="P676" s="15" t="s">
        <v>55</v>
      </c>
      <c r="Q676" s="15" t="s">
        <v>4789</v>
      </c>
      <c r="R676" s="15" t="s">
        <v>57</v>
      </c>
      <c r="S676" s="24" t="s">
        <v>39</v>
      </c>
      <c r="T676" s="24" t="s">
        <v>39</v>
      </c>
      <c r="U676" s="24" t="s">
        <v>39</v>
      </c>
      <c r="V676" s="24" t="s">
        <v>39</v>
      </c>
      <c r="W676" s="24" t="s">
        <v>7033</v>
      </c>
      <c r="X676" s="24" t="s">
        <v>7034</v>
      </c>
      <c r="Y676" s="15" t="s">
        <v>7035</v>
      </c>
      <c r="Z676" s="15" t="s">
        <v>7036</v>
      </c>
      <c r="AA676" s="24"/>
      <c r="AB676" s="24"/>
      <c r="AC676" s="24"/>
      <c r="AD676" s="24"/>
      <c r="AE676" s="24"/>
      <c r="AF676" s="24"/>
      <c r="AG676" s="24"/>
      <c r="AH676" s="24"/>
    </row>
    <row r="677" spans="1:34" ht="135" x14ac:dyDescent="0.25">
      <c r="A677" s="24" t="str">
        <f>HYPERLINK("https://www.cpso.on.ca/DoctorDetails/Eric-Mikhail/0266019-93646","Mikhail, Eric")</f>
        <v>Mikhail, Eric</v>
      </c>
      <c r="B677" s="25" t="s">
        <v>7037</v>
      </c>
      <c r="C677" s="24" t="s">
        <v>570</v>
      </c>
      <c r="D677" s="24" t="s">
        <v>7038</v>
      </c>
      <c r="E677" s="24" t="s">
        <v>29</v>
      </c>
      <c r="F677" s="24" t="s">
        <v>30</v>
      </c>
      <c r="G677" s="24" t="s">
        <v>31</v>
      </c>
      <c r="H677" s="24" t="s">
        <v>5057</v>
      </c>
      <c r="I677" s="24" t="s">
        <v>7039</v>
      </c>
      <c r="J677" s="24" t="s">
        <v>7040</v>
      </c>
      <c r="K677" s="24"/>
      <c r="L677" s="24" t="s">
        <v>84</v>
      </c>
      <c r="M677" s="15"/>
      <c r="N677" s="15"/>
      <c r="O677" s="15" t="s">
        <v>3979</v>
      </c>
      <c r="P677" s="15" t="s">
        <v>7041</v>
      </c>
      <c r="Q677" s="15" t="s">
        <v>7042</v>
      </c>
      <c r="R677" s="15" t="s">
        <v>7043</v>
      </c>
      <c r="S677" s="24" t="s">
        <v>39</v>
      </c>
      <c r="T677" s="24" t="s">
        <v>39</v>
      </c>
      <c r="U677" s="24" t="s">
        <v>39</v>
      </c>
      <c r="V677" s="24" t="s">
        <v>39</v>
      </c>
      <c r="W677" s="24" t="s">
        <v>7044</v>
      </c>
      <c r="X677" s="24" t="s">
        <v>7045</v>
      </c>
      <c r="Y677" s="15" t="s">
        <v>7046</v>
      </c>
      <c r="Z677" s="15" t="s">
        <v>7047</v>
      </c>
      <c r="AA677" s="24"/>
      <c r="AB677" s="24"/>
      <c r="AC677" s="24"/>
      <c r="AD677" s="24"/>
      <c r="AE677" s="24"/>
      <c r="AF677" s="24"/>
      <c r="AG677" s="24"/>
      <c r="AH677" s="24"/>
    </row>
    <row r="678" spans="1:34" ht="105" x14ac:dyDescent="0.25">
      <c r="A678" s="24" t="str">
        <f>HYPERLINK("https://www.cpso.on.ca/DoctorDetails/Eric-William-Prost/0181582-76174","Prost, Eric William")</f>
        <v>Prost, Eric William</v>
      </c>
      <c r="B678" s="25" t="s">
        <v>7048</v>
      </c>
      <c r="C678" s="24" t="s">
        <v>1130</v>
      </c>
      <c r="D678" s="24" t="s">
        <v>4401</v>
      </c>
      <c r="E678" s="24" t="s">
        <v>29</v>
      </c>
      <c r="F678" s="24" t="s">
        <v>30</v>
      </c>
      <c r="G678" s="24" t="s">
        <v>31</v>
      </c>
      <c r="H678" s="24" t="s">
        <v>1132</v>
      </c>
      <c r="I678" s="24" t="s">
        <v>7049</v>
      </c>
      <c r="J678" s="24" t="s">
        <v>7050</v>
      </c>
      <c r="K678" s="24" t="s">
        <v>7051</v>
      </c>
      <c r="L678" s="24" t="s">
        <v>340</v>
      </c>
      <c r="M678" s="15"/>
      <c r="N678" s="15"/>
      <c r="O678" s="15" t="s">
        <v>1914</v>
      </c>
      <c r="P678" s="15" t="s">
        <v>1149</v>
      </c>
      <c r="Q678" s="15" t="s">
        <v>7052</v>
      </c>
      <c r="R678" s="15" t="s">
        <v>4407</v>
      </c>
      <c r="S678" s="24" t="s">
        <v>39</v>
      </c>
      <c r="T678" s="24" t="s">
        <v>39</v>
      </c>
      <c r="U678" s="24" t="s">
        <v>39</v>
      </c>
      <c r="V678" s="24" t="s">
        <v>39</v>
      </c>
      <c r="W678" s="24"/>
      <c r="X678" s="24"/>
      <c r="Y678" s="15"/>
      <c r="Z678" s="15"/>
      <c r="AA678" s="24"/>
      <c r="AB678" s="24"/>
      <c r="AC678" s="24"/>
      <c r="AD678" s="24"/>
      <c r="AE678" s="24"/>
      <c r="AF678" s="24"/>
      <c r="AG678" s="24"/>
      <c r="AH678" s="24"/>
    </row>
    <row r="679" spans="1:34" ht="30" x14ac:dyDescent="0.25">
      <c r="A679" s="24" t="str">
        <f>HYPERLINK("https://www.cpso.on.ca/DoctorDetails/Erik-Wouter-Mulder/0037159-51135","Mulder, Erik Wouter")</f>
        <v>Mulder, Erik Wouter</v>
      </c>
      <c r="B679" s="25" t="s">
        <v>7053</v>
      </c>
      <c r="C679" s="24" t="s">
        <v>3676</v>
      </c>
      <c r="D679" s="24" t="s">
        <v>7054</v>
      </c>
      <c r="E679" s="24" t="s">
        <v>29</v>
      </c>
      <c r="F679" s="24" t="s">
        <v>30</v>
      </c>
      <c r="G679" s="24" t="s">
        <v>31</v>
      </c>
      <c r="H679" s="24" t="s">
        <v>3419</v>
      </c>
      <c r="I679" s="24" t="s">
        <v>7055</v>
      </c>
      <c r="J679" s="24" t="s">
        <v>7056</v>
      </c>
      <c r="K679" s="24" t="s">
        <v>7057</v>
      </c>
      <c r="L679" s="24" t="s">
        <v>152</v>
      </c>
      <c r="M679" s="15"/>
      <c r="N679" s="15"/>
      <c r="O679" s="15" t="s">
        <v>1539</v>
      </c>
      <c r="P679" s="15" t="s">
        <v>2250</v>
      </c>
      <c r="Q679" s="15"/>
      <c r="R679" s="15" t="s">
        <v>7058</v>
      </c>
      <c r="S679" s="24" t="s">
        <v>39</v>
      </c>
      <c r="T679" s="24" t="s">
        <v>39</v>
      </c>
      <c r="U679" s="24" t="s">
        <v>39</v>
      </c>
      <c r="V679" s="24" t="s">
        <v>39</v>
      </c>
      <c r="W679" s="24" t="s">
        <v>7059</v>
      </c>
      <c r="X679" s="24" t="s">
        <v>7060</v>
      </c>
      <c r="Y679" s="15" t="s">
        <v>7061</v>
      </c>
      <c r="Z679" s="15" t="s">
        <v>7062</v>
      </c>
      <c r="AA679" s="24"/>
      <c r="AB679" s="24"/>
      <c r="AC679" s="24"/>
      <c r="AD679" s="24"/>
      <c r="AE679" s="24"/>
      <c r="AF679" s="24"/>
      <c r="AG679" s="24"/>
      <c r="AH679" s="24"/>
    </row>
    <row r="680" spans="1:34" ht="30" x14ac:dyDescent="0.25">
      <c r="A680" s="24" t="str">
        <f>HYPERLINK("https://www.cpso.on.ca/DoctorDetails/Erin-Kathleen-Kelly/0281898-99292","Kelly, Erin Kathleen")</f>
        <v>Kelly, Erin Kathleen</v>
      </c>
      <c r="B680" s="25" t="s">
        <v>7063</v>
      </c>
      <c r="C680" s="24" t="s">
        <v>7064</v>
      </c>
      <c r="D680" s="24" t="s">
        <v>7065</v>
      </c>
      <c r="E680" s="24" t="s">
        <v>29</v>
      </c>
      <c r="F680" s="24" t="s">
        <v>47</v>
      </c>
      <c r="G680" s="24" t="s">
        <v>31</v>
      </c>
      <c r="H680" s="24" t="s">
        <v>7066</v>
      </c>
      <c r="I680" s="24" t="s">
        <v>7067</v>
      </c>
      <c r="J680" s="24" t="s">
        <v>7068</v>
      </c>
      <c r="K680" s="24"/>
      <c r="L680" s="24" t="s">
        <v>84</v>
      </c>
      <c r="M680" s="15"/>
      <c r="N680" s="15"/>
      <c r="O680" s="15" t="s">
        <v>2806</v>
      </c>
      <c r="P680" s="15" t="s">
        <v>7069</v>
      </c>
      <c r="Q680" s="15"/>
      <c r="R680" s="15" t="s">
        <v>7070</v>
      </c>
      <c r="S680" s="24" t="s">
        <v>39</v>
      </c>
      <c r="T680" s="24" t="s">
        <v>39</v>
      </c>
      <c r="U680" s="24" t="s">
        <v>39</v>
      </c>
      <c r="V680" s="24" t="s">
        <v>39</v>
      </c>
      <c r="W680" s="24" t="s">
        <v>7071</v>
      </c>
      <c r="X680" s="24" t="s">
        <v>6783</v>
      </c>
      <c r="Y680" s="15" t="s">
        <v>7072</v>
      </c>
      <c r="Z680" s="15" t="s">
        <v>7073</v>
      </c>
      <c r="AA680" s="24"/>
      <c r="AB680" s="24"/>
      <c r="AC680" s="24"/>
      <c r="AD680" s="24"/>
      <c r="AE680" s="24"/>
      <c r="AF680" s="24"/>
      <c r="AG680" s="24"/>
      <c r="AH680" s="24"/>
    </row>
    <row r="681" spans="1:34" ht="135" x14ac:dyDescent="0.25">
      <c r="A681" s="24" t="str">
        <f>HYPERLINK("https://www.cpso.on.ca/DoctorDetails/Erin-Lesley-Margaret-Hanley/0274475-96265","Hanley, Erin Lesley Margaret")</f>
        <v>Hanley, Erin Lesley Margaret</v>
      </c>
      <c r="B681" s="25" t="s">
        <v>7074</v>
      </c>
      <c r="C681" s="24" t="s">
        <v>1266</v>
      </c>
      <c r="D681" s="24" t="s">
        <v>7075</v>
      </c>
      <c r="E681" s="24" t="s">
        <v>29</v>
      </c>
      <c r="F681" s="24" t="s">
        <v>47</v>
      </c>
      <c r="G681" s="24" t="s">
        <v>31</v>
      </c>
      <c r="H681" s="24" t="s">
        <v>7076</v>
      </c>
      <c r="I681" s="24" t="s">
        <v>7077</v>
      </c>
      <c r="J681" s="24" t="s">
        <v>7078</v>
      </c>
      <c r="K681" s="24"/>
      <c r="L681" s="24" t="s">
        <v>184</v>
      </c>
      <c r="M681" s="15"/>
      <c r="N681" s="15"/>
      <c r="O681" s="15"/>
      <c r="P681" s="15" t="s">
        <v>550</v>
      </c>
      <c r="Q681" s="15" t="s">
        <v>7079</v>
      </c>
      <c r="R681" s="15" t="s">
        <v>7080</v>
      </c>
      <c r="S681" s="24" t="s">
        <v>39</v>
      </c>
      <c r="T681" s="24" t="s">
        <v>39</v>
      </c>
      <c r="U681" s="24" t="s">
        <v>39</v>
      </c>
      <c r="V681" s="24" t="s">
        <v>39</v>
      </c>
      <c r="W681" s="24"/>
      <c r="X681" s="24"/>
      <c r="Y681" s="15"/>
      <c r="Z681" s="15"/>
      <c r="AA681" s="24"/>
      <c r="AB681" s="24"/>
      <c r="AC681" s="24"/>
      <c r="AD681" s="24"/>
      <c r="AE681" s="24"/>
      <c r="AF681" s="24"/>
      <c r="AG681" s="24"/>
      <c r="AH681" s="24"/>
    </row>
    <row r="682" spans="1:34" ht="105" x14ac:dyDescent="0.25">
      <c r="A682" s="24" t="str">
        <f>HYPERLINK("https://www.cpso.on.ca/DoctorDetails/Erin-Melissa-Carter/0221292-82682","Carter, Erin Melissa")</f>
        <v>Carter, Erin Melissa</v>
      </c>
      <c r="B682" s="25" t="s">
        <v>7081</v>
      </c>
      <c r="C682" s="24" t="s">
        <v>7082</v>
      </c>
      <c r="D682" s="24" t="s">
        <v>7083</v>
      </c>
      <c r="E682" s="24" t="s">
        <v>29</v>
      </c>
      <c r="F682" s="24" t="s">
        <v>47</v>
      </c>
      <c r="G682" s="24" t="s">
        <v>31</v>
      </c>
      <c r="H682" s="24" t="s">
        <v>1756</v>
      </c>
      <c r="I682" s="24" t="s">
        <v>7084</v>
      </c>
      <c r="J682" s="24" t="s">
        <v>7085</v>
      </c>
      <c r="K682" s="24" t="s">
        <v>7086</v>
      </c>
      <c r="L682" s="24" t="s">
        <v>52</v>
      </c>
      <c r="M682" s="15"/>
      <c r="N682" s="15"/>
      <c r="O682" s="15" t="s">
        <v>7087</v>
      </c>
      <c r="P682" s="15" t="s">
        <v>3991</v>
      </c>
      <c r="Q682" s="15" t="s">
        <v>7088</v>
      </c>
      <c r="R682" s="15" t="s">
        <v>7089</v>
      </c>
      <c r="S682" s="24" t="s">
        <v>39</v>
      </c>
      <c r="T682" s="24" t="s">
        <v>39</v>
      </c>
      <c r="U682" s="24" t="s">
        <v>39</v>
      </c>
      <c r="V682" s="24" t="s">
        <v>39</v>
      </c>
      <c r="W682" s="24"/>
      <c r="X682" s="24"/>
      <c r="Y682" s="15"/>
      <c r="Z682" s="15"/>
      <c r="AA682" s="24"/>
      <c r="AB682" s="24"/>
      <c r="AC682" s="24"/>
      <c r="AD682" s="24"/>
      <c r="AE682" s="24"/>
      <c r="AF682" s="24"/>
      <c r="AG682" s="24"/>
      <c r="AH682" s="24"/>
    </row>
    <row r="683" spans="1:34" ht="135" x14ac:dyDescent="0.25">
      <c r="A683" s="24" t="str">
        <f>HYPERLINK("https://www.cpso.on.ca/DoctorDetails/Erin-Therese-McDonough/0172701-75485","McDonough, Erin Therese")</f>
        <v>McDonough, Erin Therese</v>
      </c>
      <c r="B683" s="25" t="s">
        <v>7090</v>
      </c>
      <c r="C683" s="24" t="s">
        <v>7091</v>
      </c>
      <c r="D683" s="24" t="s">
        <v>7092</v>
      </c>
      <c r="E683" s="24" t="s">
        <v>29</v>
      </c>
      <c r="F683" s="24" t="s">
        <v>47</v>
      </c>
      <c r="G683" s="24" t="s">
        <v>31</v>
      </c>
      <c r="H683" s="24" t="s">
        <v>7093</v>
      </c>
      <c r="I683" s="24" t="s">
        <v>7094</v>
      </c>
      <c r="J683" s="24" t="s">
        <v>7095</v>
      </c>
      <c r="K683" s="24" t="s">
        <v>7096</v>
      </c>
      <c r="L683" s="24" t="s">
        <v>52</v>
      </c>
      <c r="M683" s="15"/>
      <c r="N683" s="15"/>
      <c r="O683" s="15"/>
      <c r="P683" s="15" t="s">
        <v>488</v>
      </c>
      <c r="Q683" s="15" t="s">
        <v>7097</v>
      </c>
      <c r="R683" s="15" t="s">
        <v>7098</v>
      </c>
      <c r="S683" s="24" t="s">
        <v>39</v>
      </c>
      <c r="T683" s="24" t="s">
        <v>39</v>
      </c>
      <c r="U683" s="24" t="s">
        <v>39</v>
      </c>
      <c r="V683" s="24" t="s">
        <v>39</v>
      </c>
      <c r="W683" s="24" t="s">
        <v>1786</v>
      </c>
      <c r="X683" s="24" t="s">
        <v>1787</v>
      </c>
      <c r="Y683" s="15"/>
      <c r="Z683" s="15"/>
      <c r="AA683" s="24"/>
      <c r="AB683" s="24"/>
      <c r="AC683" s="24"/>
      <c r="AD683" s="24"/>
      <c r="AE683" s="24"/>
      <c r="AF683" s="24"/>
      <c r="AG683" s="24"/>
      <c r="AH683" s="24"/>
    </row>
    <row r="684" spans="1:34" ht="105" x14ac:dyDescent="0.25">
      <c r="A684" s="24" t="str">
        <f>HYPERLINK("https://www.cpso.on.ca/DoctorDetails/Erinna-Catherine-Zarins-Brown/0288271-101684","Brown, Erinna Catherine Zarins")</f>
        <v>Brown, Erinna Catherine Zarins</v>
      </c>
      <c r="B684" s="25" t="s">
        <v>7099</v>
      </c>
      <c r="C684" s="24" t="s">
        <v>199</v>
      </c>
      <c r="D684" s="24" t="s">
        <v>7100</v>
      </c>
      <c r="E684" s="24" t="s">
        <v>29</v>
      </c>
      <c r="F684" s="24" t="s">
        <v>47</v>
      </c>
      <c r="G684" s="24" t="s">
        <v>31</v>
      </c>
      <c r="H684" s="24" t="s">
        <v>2992</v>
      </c>
      <c r="I684" s="24" t="s">
        <v>7101</v>
      </c>
      <c r="J684" s="24" t="s">
        <v>7102</v>
      </c>
      <c r="K684" s="24"/>
      <c r="L684" s="24" t="s">
        <v>84</v>
      </c>
      <c r="M684" s="15"/>
      <c r="N684" s="15"/>
      <c r="O684" s="15"/>
      <c r="P684" s="15" t="s">
        <v>205</v>
      </c>
      <c r="Q684" s="15" t="s">
        <v>7103</v>
      </c>
      <c r="R684" s="15" t="s">
        <v>7104</v>
      </c>
      <c r="S684" s="24" t="s">
        <v>39</v>
      </c>
      <c r="T684" s="24" t="s">
        <v>39</v>
      </c>
      <c r="U684" s="24" t="s">
        <v>39</v>
      </c>
      <c r="V684" s="24" t="s">
        <v>39</v>
      </c>
      <c r="W684" s="24"/>
      <c r="X684" s="24"/>
      <c r="Y684" s="15"/>
      <c r="Z684" s="15"/>
      <c r="AA684" s="24"/>
      <c r="AB684" s="24"/>
      <c r="AC684" s="24"/>
      <c r="AD684" s="24"/>
      <c r="AE684" s="24"/>
      <c r="AF684" s="24"/>
      <c r="AG684" s="24"/>
      <c r="AH684" s="24"/>
    </row>
    <row r="685" spans="1:34" ht="75" x14ac:dyDescent="0.25">
      <c r="A685" s="24" t="str">
        <f>HYPERLINK("https://www.cpso.on.ca/DoctorDetails/Ernst-Georg-Brenken/0041528-55504","Brenken, Ernst Georg")</f>
        <v>Brenken, Ernst Georg</v>
      </c>
      <c r="B685" s="25" t="s">
        <v>7105</v>
      </c>
      <c r="C685" s="24" t="s">
        <v>4370</v>
      </c>
      <c r="D685" s="24" t="s">
        <v>7106</v>
      </c>
      <c r="E685" s="24" t="s">
        <v>29</v>
      </c>
      <c r="F685" s="24" t="s">
        <v>30</v>
      </c>
      <c r="G685" s="24" t="s">
        <v>6608</v>
      </c>
      <c r="H685" s="24" t="s">
        <v>2904</v>
      </c>
      <c r="I685" s="24" t="s">
        <v>7107</v>
      </c>
      <c r="J685" s="24" t="s">
        <v>7108</v>
      </c>
      <c r="K685" s="24" t="s">
        <v>7108</v>
      </c>
      <c r="L685" s="24" t="s">
        <v>52</v>
      </c>
      <c r="M685" s="15"/>
      <c r="N685" s="15"/>
      <c r="O685" s="15"/>
      <c r="P685" s="15" t="s">
        <v>3433</v>
      </c>
      <c r="Q685" s="15" t="s">
        <v>7109</v>
      </c>
      <c r="R685" s="15" t="s">
        <v>7110</v>
      </c>
      <c r="S685" s="24" t="s">
        <v>39</v>
      </c>
      <c r="T685" s="24" t="s">
        <v>39</v>
      </c>
      <c r="U685" s="24" t="s">
        <v>39</v>
      </c>
      <c r="V685" s="24" t="s">
        <v>39</v>
      </c>
      <c r="W685" s="24" t="s">
        <v>7111</v>
      </c>
      <c r="X685" s="24" t="s">
        <v>7112</v>
      </c>
      <c r="Y685" s="15" t="s">
        <v>7113</v>
      </c>
      <c r="Z685" s="15" t="s">
        <v>7114</v>
      </c>
      <c r="AA685" s="24"/>
      <c r="AB685" s="24"/>
      <c r="AC685" s="24"/>
      <c r="AD685" s="24"/>
      <c r="AE685" s="24"/>
      <c r="AF685" s="24"/>
      <c r="AG685" s="24"/>
      <c r="AH685" s="24"/>
    </row>
    <row r="686" spans="1:34" ht="30" x14ac:dyDescent="0.25">
      <c r="A686" s="24" t="str">
        <f>HYPERLINK("https://www.cpso.on.ca/DoctorDetails/Esmail-Korki-Arfai/0040350-54326","Arfai, Esmail Korki")</f>
        <v>Arfai, Esmail Korki</v>
      </c>
      <c r="B686" s="25" t="s">
        <v>7115</v>
      </c>
      <c r="C686" s="24" t="s">
        <v>3450</v>
      </c>
      <c r="D686" s="24" t="s">
        <v>7116</v>
      </c>
      <c r="E686" s="24" t="s">
        <v>29</v>
      </c>
      <c r="F686" s="24" t="s">
        <v>30</v>
      </c>
      <c r="G686" s="24" t="s">
        <v>7117</v>
      </c>
      <c r="H686" s="24" t="s">
        <v>7118</v>
      </c>
      <c r="I686" s="24" t="s">
        <v>7119</v>
      </c>
      <c r="J686" s="24" t="s">
        <v>7120</v>
      </c>
      <c r="K686" s="24" t="s">
        <v>7121</v>
      </c>
      <c r="L686" s="24" t="s">
        <v>52</v>
      </c>
      <c r="M686" s="15"/>
      <c r="N686" s="15"/>
      <c r="O686" s="15"/>
      <c r="P686" s="15" t="s">
        <v>7122</v>
      </c>
      <c r="Q686" s="15"/>
      <c r="R686" s="15" t="s">
        <v>7123</v>
      </c>
      <c r="S686" s="24" t="s">
        <v>39</v>
      </c>
      <c r="T686" s="24" t="s">
        <v>39</v>
      </c>
      <c r="U686" s="24" t="s">
        <v>39</v>
      </c>
      <c r="V686" s="24" t="s">
        <v>39</v>
      </c>
      <c r="W686" s="24"/>
      <c r="X686" s="24"/>
      <c r="Y686" s="15"/>
      <c r="Z686" s="15"/>
      <c r="AA686" s="24"/>
      <c r="AB686" s="24"/>
      <c r="AC686" s="24"/>
      <c r="AD686" s="24"/>
      <c r="AE686" s="24"/>
      <c r="AF686" s="24"/>
      <c r="AG686" s="24"/>
      <c r="AH686" s="24"/>
    </row>
    <row r="687" spans="1:34" ht="105" x14ac:dyDescent="0.25">
      <c r="A687" s="24" t="str">
        <f>HYPERLINK("https://www.cpso.on.ca/DoctorDetails/Essam-Ahmed-Youssef-Abd-ElMotaal/0256858-91788","Abd ElMotaal, Essam Ahmed Youssef")</f>
        <v>Abd ElMotaal, Essam Ahmed Youssef</v>
      </c>
      <c r="B687" s="25" t="s">
        <v>7124</v>
      </c>
      <c r="C687" s="24" t="s">
        <v>7125</v>
      </c>
      <c r="D687" s="24" t="s">
        <v>7126</v>
      </c>
      <c r="E687" s="24" t="s">
        <v>29</v>
      </c>
      <c r="F687" s="24" t="s">
        <v>30</v>
      </c>
      <c r="G687" s="24" t="s">
        <v>105</v>
      </c>
      <c r="H687" s="24" t="s">
        <v>7127</v>
      </c>
      <c r="I687" s="24" t="s">
        <v>7128</v>
      </c>
      <c r="J687" s="24" t="s">
        <v>7129</v>
      </c>
      <c r="K687" s="24"/>
      <c r="L687" s="24" t="s">
        <v>52</v>
      </c>
      <c r="M687" s="15"/>
      <c r="N687" s="15"/>
      <c r="O687" s="15" t="s">
        <v>842</v>
      </c>
      <c r="P687" s="15" t="s">
        <v>5051</v>
      </c>
      <c r="Q687" s="15" t="s">
        <v>7130</v>
      </c>
      <c r="R687" s="15" t="s">
        <v>7131</v>
      </c>
      <c r="S687" s="24" t="s">
        <v>39</v>
      </c>
      <c r="T687" s="24" t="s">
        <v>39</v>
      </c>
      <c r="U687" s="24" t="s">
        <v>39</v>
      </c>
      <c r="V687" s="24" t="s">
        <v>39</v>
      </c>
      <c r="W687" s="24" t="s">
        <v>7132</v>
      </c>
      <c r="X687" s="24" t="s">
        <v>7133</v>
      </c>
      <c r="Y687" s="15" t="s">
        <v>7134</v>
      </c>
      <c r="Z687" s="15" t="s">
        <v>7135</v>
      </c>
      <c r="AA687" s="24"/>
      <c r="AB687" s="24"/>
      <c r="AC687" s="24"/>
      <c r="AD687" s="24"/>
      <c r="AE687" s="24"/>
      <c r="AF687" s="24"/>
      <c r="AG687" s="24"/>
      <c r="AH687" s="24"/>
    </row>
    <row r="688" spans="1:34" ht="45" x14ac:dyDescent="0.25">
      <c r="A688" s="24" t="str">
        <f>HYPERLINK("https://www.cpso.on.ca/DoctorDetails/Esther-Sarid/0031229-43209","Sarid, Esther")</f>
        <v>Sarid, Esther</v>
      </c>
      <c r="B688" s="25" t="s">
        <v>7136</v>
      </c>
      <c r="C688" s="24" t="s">
        <v>7137</v>
      </c>
      <c r="D688" s="24" t="s">
        <v>7138</v>
      </c>
      <c r="E688" s="24" t="s">
        <v>29</v>
      </c>
      <c r="F688" s="24" t="s">
        <v>47</v>
      </c>
      <c r="G688" s="24" t="s">
        <v>252</v>
      </c>
      <c r="H688" s="24" t="s">
        <v>7139</v>
      </c>
      <c r="I688" s="24" t="s">
        <v>7140</v>
      </c>
      <c r="J688" s="24" t="s">
        <v>7141</v>
      </c>
      <c r="K688" s="24" t="s">
        <v>7142</v>
      </c>
      <c r="L688" s="24" t="s">
        <v>52</v>
      </c>
      <c r="M688" s="15"/>
      <c r="N688" s="15"/>
      <c r="O688" s="15" t="s">
        <v>232</v>
      </c>
      <c r="P688" s="15" t="s">
        <v>2484</v>
      </c>
      <c r="Q688" s="15"/>
      <c r="R688" s="15" t="s">
        <v>7143</v>
      </c>
      <c r="S688" s="24" t="s">
        <v>39</v>
      </c>
      <c r="T688" s="24" t="s">
        <v>39</v>
      </c>
      <c r="U688" s="24" t="s">
        <v>39</v>
      </c>
      <c r="V688" s="24" t="s">
        <v>39</v>
      </c>
      <c r="W688" s="24" t="s">
        <v>7144</v>
      </c>
      <c r="X688" s="24" t="s">
        <v>346</v>
      </c>
      <c r="Y688" s="15" t="s">
        <v>7145</v>
      </c>
      <c r="Z688" s="15" t="s">
        <v>7146</v>
      </c>
      <c r="AA688" s="24"/>
      <c r="AB688" s="24"/>
      <c r="AC688" s="24"/>
      <c r="AD688" s="24"/>
      <c r="AE688" s="24"/>
      <c r="AF688" s="24"/>
      <c r="AG688" s="24"/>
      <c r="AH688" s="24"/>
    </row>
    <row r="689" spans="1:34" ht="30" x14ac:dyDescent="0.25">
      <c r="A689" s="24" t="str">
        <f>HYPERLINK("https://www.cpso.on.ca/DoctorDetails/Eva-Marie-Styrsky/0037854-51830","Styrsky, Eva Marie")</f>
        <v>Styrsky, Eva Marie</v>
      </c>
      <c r="B689" s="25" t="s">
        <v>7147</v>
      </c>
      <c r="C689" s="24" t="s">
        <v>7148</v>
      </c>
      <c r="D689" s="24" t="s">
        <v>7149</v>
      </c>
      <c r="E689" s="24" t="s">
        <v>29</v>
      </c>
      <c r="F689" s="24" t="s">
        <v>47</v>
      </c>
      <c r="G689" s="24" t="s">
        <v>31</v>
      </c>
      <c r="H689" s="24" t="s">
        <v>7150</v>
      </c>
      <c r="I689" s="24" t="s">
        <v>7151</v>
      </c>
      <c r="J689" s="24" t="s">
        <v>7152</v>
      </c>
      <c r="K689" s="24" t="s">
        <v>7153</v>
      </c>
      <c r="L689" s="24" t="s">
        <v>52</v>
      </c>
      <c r="M689" s="15" t="s">
        <v>7154</v>
      </c>
      <c r="N689" s="15"/>
      <c r="O689" s="15" t="s">
        <v>7155</v>
      </c>
      <c r="P689" s="15" t="s">
        <v>1877</v>
      </c>
      <c r="Q689" s="15"/>
      <c r="R689" s="15" t="s">
        <v>7156</v>
      </c>
      <c r="S689" s="24" t="s">
        <v>39</v>
      </c>
      <c r="T689" s="24" t="s">
        <v>39</v>
      </c>
      <c r="U689" s="24" t="s">
        <v>39</v>
      </c>
      <c r="V689" s="24" t="s">
        <v>39</v>
      </c>
      <c r="W689" s="24"/>
      <c r="X689" s="24"/>
      <c r="Y689" s="15"/>
      <c r="Z689" s="15"/>
      <c r="AA689" s="24"/>
      <c r="AB689" s="24"/>
      <c r="AC689" s="24"/>
      <c r="AD689" s="24"/>
      <c r="AE689" s="24"/>
      <c r="AF689" s="24"/>
      <c r="AG689" s="24"/>
      <c r="AH689" s="24"/>
    </row>
    <row r="690" spans="1:34" ht="105" x14ac:dyDescent="0.25">
      <c r="A690" s="24" t="str">
        <f>HYPERLINK("https://www.cpso.on.ca/DoctorDetails/Eva-Wai-Cheung-Chow/0045353-59331","Chow, Eva Wai Cheung")</f>
        <v>Chow, Eva Wai Cheung</v>
      </c>
      <c r="B690" s="25" t="s">
        <v>7157</v>
      </c>
      <c r="C690" s="24" t="s">
        <v>2286</v>
      </c>
      <c r="D690" s="24" t="s">
        <v>5991</v>
      </c>
      <c r="E690" s="24" t="s">
        <v>29</v>
      </c>
      <c r="F690" s="24" t="s">
        <v>47</v>
      </c>
      <c r="G690" s="24" t="s">
        <v>7158</v>
      </c>
      <c r="H690" s="24" t="s">
        <v>2288</v>
      </c>
      <c r="I690" s="24" t="s">
        <v>7159</v>
      </c>
      <c r="J690" s="24" t="s">
        <v>7160</v>
      </c>
      <c r="K690" s="24" t="s">
        <v>2030</v>
      </c>
      <c r="L690" s="24" t="s">
        <v>52</v>
      </c>
      <c r="M690" s="15" t="s">
        <v>7161</v>
      </c>
      <c r="N690" s="15" t="s">
        <v>7162</v>
      </c>
      <c r="O690" s="15" t="s">
        <v>3868</v>
      </c>
      <c r="P690" s="15" t="s">
        <v>3026</v>
      </c>
      <c r="Q690" s="15" t="s">
        <v>4800</v>
      </c>
      <c r="R690" s="15" t="s">
        <v>5998</v>
      </c>
      <c r="S690" s="24" t="s">
        <v>39</v>
      </c>
      <c r="T690" s="24" t="s">
        <v>39</v>
      </c>
      <c r="U690" s="24" t="s">
        <v>39</v>
      </c>
      <c r="V690" s="24" t="s">
        <v>39</v>
      </c>
      <c r="W690" s="24"/>
      <c r="X690" s="24"/>
      <c r="Y690" s="15"/>
      <c r="Z690" s="15"/>
      <c r="AA690" s="24"/>
      <c r="AB690" s="24"/>
      <c r="AC690" s="24"/>
      <c r="AD690" s="24"/>
      <c r="AE690" s="24"/>
      <c r="AF690" s="24"/>
      <c r="AG690" s="24"/>
      <c r="AH690" s="24"/>
    </row>
    <row r="691" spans="1:34" ht="105" x14ac:dyDescent="0.25">
      <c r="A691" s="24" t="str">
        <f>HYPERLINK("https://www.cpso.on.ca/DoctorDetails/Evan-Ira-Weizenberg/0266329-93460","Weizenberg, Evan Ira")</f>
        <v>Weizenberg, Evan Ira</v>
      </c>
      <c r="B691" s="25" t="s">
        <v>7163</v>
      </c>
      <c r="C691" s="24" t="s">
        <v>1350</v>
      </c>
      <c r="D691" s="24" t="s">
        <v>7164</v>
      </c>
      <c r="E691" s="24" t="s">
        <v>29</v>
      </c>
      <c r="F691" s="24" t="s">
        <v>30</v>
      </c>
      <c r="G691" s="24" t="s">
        <v>31</v>
      </c>
      <c r="H691" s="24" t="s">
        <v>5730</v>
      </c>
      <c r="I691" s="24" t="s">
        <v>7165</v>
      </c>
      <c r="J691" s="24" t="s">
        <v>4361</v>
      </c>
      <c r="K691" s="24"/>
      <c r="L691" s="24" t="s">
        <v>184</v>
      </c>
      <c r="M691" s="15"/>
      <c r="N691" s="15"/>
      <c r="O691" s="15" t="s">
        <v>7166</v>
      </c>
      <c r="P691" s="15" t="s">
        <v>7167</v>
      </c>
      <c r="Q691" s="15" t="s">
        <v>7168</v>
      </c>
      <c r="R691" s="15" t="s">
        <v>7169</v>
      </c>
      <c r="S691" s="24" t="s">
        <v>39</v>
      </c>
      <c r="T691" s="24" t="s">
        <v>39</v>
      </c>
      <c r="U691" s="24" t="s">
        <v>39</v>
      </c>
      <c r="V691" s="24" t="s">
        <v>39</v>
      </c>
      <c r="W691" s="24" t="s">
        <v>7170</v>
      </c>
      <c r="X691" s="24" t="s">
        <v>7171</v>
      </c>
      <c r="Y691" s="15" t="s">
        <v>7172</v>
      </c>
      <c r="Z691" s="15" t="s">
        <v>7173</v>
      </c>
      <c r="AA691" s="24"/>
      <c r="AB691" s="24"/>
      <c r="AC691" s="24"/>
      <c r="AD691" s="24"/>
      <c r="AE691" s="24"/>
      <c r="AF691" s="24"/>
      <c r="AG691" s="24"/>
      <c r="AH691" s="24"/>
    </row>
    <row r="692" spans="1:34" ht="120" x14ac:dyDescent="0.25">
      <c r="A692" s="24" t="str">
        <f>HYPERLINK("https://www.cpso.on.ca/DoctorDetails/Evan-Jay-Collins/0036522-50498","Collins, Evan Jay")</f>
        <v>Collins, Evan Jay</v>
      </c>
      <c r="B692" s="25" t="s">
        <v>7174</v>
      </c>
      <c r="C692" s="24" t="s">
        <v>3676</v>
      </c>
      <c r="D692" s="24" t="s">
        <v>7175</v>
      </c>
      <c r="E692" s="24" t="s">
        <v>29</v>
      </c>
      <c r="F692" s="24" t="s">
        <v>30</v>
      </c>
      <c r="G692" s="24" t="s">
        <v>31</v>
      </c>
      <c r="H692" s="24" t="s">
        <v>1874</v>
      </c>
      <c r="I692" s="24" t="s">
        <v>7176</v>
      </c>
      <c r="J692" s="24" t="s">
        <v>7177</v>
      </c>
      <c r="K692" s="24" t="s">
        <v>7178</v>
      </c>
      <c r="L692" s="24" t="s">
        <v>52</v>
      </c>
      <c r="M692" s="15"/>
      <c r="N692" s="15"/>
      <c r="O692" s="15" t="s">
        <v>487</v>
      </c>
      <c r="P692" s="15" t="s">
        <v>4499</v>
      </c>
      <c r="Q692" s="15" t="s">
        <v>7179</v>
      </c>
      <c r="R692" s="15" t="s">
        <v>7180</v>
      </c>
      <c r="S692" s="24" t="s">
        <v>39</v>
      </c>
      <c r="T692" s="24" t="s">
        <v>39</v>
      </c>
      <c r="U692" s="24" t="s">
        <v>39</v>
      </c>
      <c r="V692" s="24" t="s">
        <v>39</v>
      </c>
      <c r="W692" s="24"/>
      <c r="X692" s="24"/>
      <c r="Y692" s="15"/>
      <c r="Z692" s="15"/>
      <c r="AA692" s="24"/>
      <c r="AB692" s="24"/>
      <c r="AC692" s="24"/>
      <c r="AD692" s="24"/>
      <c r="AE692" s="24"/>
      <c r="AF692" s="24"/>
      <c r="AG692" s="24"/>
      <c r="AH692" s="24"/>
    </row>
    <row r="693" spans="1:34" ht="30" x14ac:dyDescent="0.25">
      <c r="A693" s="24" t="str">
        <f>HYPERLINK("https://www.cpso.on.ca/DoctorDetails/Evan-Paul-Ralyea/0025879-30702","Ralyea, Evan Paul")</f>
        <v>Ralyea, Evan Paul</v>
      </c>
      <c r="B693" s="25" t="s">
        <v>7181</v>
      </c>
      <c r="C693" s="24" t="s">
        <v>7182</v>
      </c>
      <c r="D693" s="24" t="s">
        <v>7183</v>
      </c>
      <c r="E693" s="24" t="s">
        <v>29</v>
      </c>
      <c r="F693" s="24" t="s">
        <v>30</v>
      </c>
      <c r="G693" s="24" t="s">
        <v>31</v>
      </c>
      <c r="H693" s="24" t="s">
        <v>7184</v>
      </c>
      <c r="I693" s="24" t="s">
        <v>7185</v>
      </c>
      <c r="J693" s="24" t="s">
        <v>7186</v>
      </c>
      <c r="K693" s="24"/>
      <c r="L693" s="24" t="s">
        <v>135</v>
      </c>
      <c r="M693" s="15"/>
      <c r="N693" s="15"/>
      <c r="O693" s="15"/>
      <c r="P693" s="15" t="s">
        <v>7187</v>
      </c>
      <c r="Q693" s="15"/>
      <c r="R693" s="15" t="s">
        <v>7188</v>
      </c>
      <c r="S693" s="24" t="s">
        <v>39</v>
      </c>
      <c r="T693" s="24" t="s">
        <v>39</v>
      </c>
      <c r="U693" s="24" t="s">
        <v>39</v>
      </c>
      <c r="V693" s="24" t="s">
        <v>39</v>
      </c>
      <c r="W693" s="24"/>
      <c r="X693" s="24"/>
      <c r="Y693" s="15"/>
      <c r="Z693" s="15"/>
      <c r="AA693" s="24"/>
      <c r="AB693" s="24"/>
      <c r="AC693" s="24"/>
      <c r="AD693" s="24"/>
      <c r="AE693" s="24"/>
      <c r="AF693" s="24"/>
      <c r="AG693" s="24"/>
      <c r="AH693" s="24"/>
    </row>
    <row r="694" spans="1:34" ht="30" x14ac:dyDescent="0.25">
      <c r="A694" s="24" t="str">
        <f>HYPERLINK("https://www.cpso.on.ca/DoctorDetails/Eve-Charmaigne-Cabalo/0305990-107930","Cabalo, Eve Charmaigne")</f>
        <v>Cabalo, Eve Charmaigne</v>
      </c>
      <c r="B694" s="25" t="s">
        <v>7189</v>
      </c>
      <c r="C694" s="24" t="s">
        <v>7190</v>
      </c>
      <c r="D694" s="24" t="s">
        <v>7191</v>
      </c>
      <c r="E694" s="24" t="s">
        <v>29</v>
      </c>
      <c r="F694" s="24" t="s">
        <v>47</v>
      </c>
      <c r="G694" s="24" t="s">
        <v>31</v>
      </c>
      <c r="H694" s="24" t="s">
        <v>7192</v>
      </c>
      <c r="I694" s="24" t="s">
        <v>7193</v>
      </c>
      <c r="J694" s="24" t="s">
        <v>7194</v>
      </c>
      <c r="K694" s="24" t="s">
        <v>7195</v>
      </c>
      <c r="L694" s="24" t="s">
        <v>52</v>
      </c>
      <c r="M694" s="15"/>
      <c r="N694" s="15"/>
      <c r="O694" s="15" t="s">
        <v>3112</v>
      </c>
      <c r="P694" s="15" t="s">
        <v>55</v>
      </c>
      <c r="Q694" s="15"/>
      <c r="R694" s="15" t="s">
        <v>7196</v>
      </c>
      <c r="S694" s="24" t="s">
        <v>39</v>
      </c>
      <c r="T694" s="24" t="s">
        <v>39</v>
      </c>
      <c r="U694" s="24" t="s">
        <v>39</v>
      </c>
      <c r="V694" s="24" t="s">
        <v>39</v>
      </c>
      <c r="W694" s="24" t="s">
        <v>7197</v>
      </c>
      <c r="X694" s="24" t="s">
        <v>7198</v>
      </c>
      <c r="Y694" s="15" t="s">
        <v>7199</v>
      </c>
      <c r="Z694" s="15" t="s">
        <v>7200</v>
      </c>
      <c r="AA694" s="24"/>
      <c r="AB694" s="24"/>
      <c r="AC694" s="24"/>
      <c r="AD694" s="24"/>
      <c r="AE694" s="24"/>
      <c r="AF694" s="24"/>
      <c r="AG694" s="24"/>
      <c r="AH694" s="24"/>
    </row>
    <row r="695" spans="1:34" ht="30" x14ac:dyDescent="0.25">
      <c r="A695" s="24" t="str">
        <f>HYPERLINK("https://www.cpso.on.ca/DoctorDetails/Ewa-Lidia-MartensKmiotek/0040203-54179","Martens-Kmiotek, Ewa Lidia")</f>
        <v>Martens-Kmiotek, Ewa Lidia</v>
      </c>
      <c r="B695" s="25" t="s">
        <v>7201</v>
      </c>
      <c r="C695" s="24" t="s">
        <v>704</v>
      </c>
      <c r="D695" s="24" t="s">
        <v>7202</v>
      </c>
      <c r="E695" s="24" t="s">
        <v>29</v>
      </c>
      <c r="F695" s="24" t="s">
        <v>47</v>
      </c>
      <c r="G695" s="24" t="s">
        <v>1657</v>
      </c>
      <c r="H695" s="24" t="s">
        <v>7203</v>
      </c>
      <c r="I695" s="24" t="s">
        <v>7204</v>
      </c>
      <c r="J695" s="24" t="s">
        <v>7205</v>
      </c>
      <c r="K695" s="24" t="s">
        <v>7206</v>
      </c>
      <c r="L695" s="24" t="s">
        <v>52</v>
      </c>
      <c r="M695" s="15"/>
      <c r="N695" s="15"/>
      <c r="O695" s="15"/>
      <c r="P695" s="15" t="s">
        <v>4499</v>
      </c>
      <c r="Q695" s="15" t="s">
        <v>5261</v>
      </c>
      <c r="R695" s="15" t="s">
        <v>7207</v>
      </c>
      <c r="S695" s="24" t="s">
        <v>39</v>
      </c>
      <c r="T695" s="24" t="s">
        <v>39</v>
      </c>
      <c r="U695" s="24" t="s">
        <v>39</v>
      </c>
      <c r="V695" s="24" t="s">
        <v>39</v>
      </c>
      <c r="W695" s="24" t="s">
        <v>7208</v>
      </c>
      <c r="X695" s="24" t="s">
        <v>7209</v>
      </c>
      <c r="Y695" s="15" t="s">
        <v>7210</v>
      </c>
      <c r="Z695" s="15" t="s">
        <v>7211</v>
      </c>
      <c r="AA695" s="24"/>
      <c r="AB695" s="24"/>
      <c r="AC695" s="24"/>
      <c r="AD695" s="24"/>
      <c r="AE695" s="24"/>
      <c r="AF695" s="24"/>
      <c r="AG695" s="24"/>
      <c r="AH695" s="24"/>
    </row>
    <row r="696" spans="1:34" ht="105" x14ac:dyDescent="0.25">
      <c r="A696" s="24" t="str">
        <f>HYPERLINK("https://www.cpso.on.ca/DoctorDetails/Ewa-Maria-TalikowskaSzymczak/0288503-100509","Talikowska-Szymczak, Ewa Maria")</f>
        <v>Talikowska-Szymczak, Ewa Maria</v>
      </c>
      <c r="B696" s="25" t="s">
        <v>7212</v>
      </c>
      <c r="C696" s="24" t="s">
        <v>199</v>
      </c>
      <c r="D696" s="24" t="s">
        <v>200</v>
      </c>
      <c r="E696" s="24" t="s">
        <v>29</v>
      </c>
      <c r="F696" s="24" t="s">
        <v>47</v>
      </c>
      <c r="G696" s="24" t="s">
        <v>31</v>
      </c>
      <c r="H696" s="24" t="s">
        <v>7213</v>
      </c>
      <c r="I696" s="24" t="s">
        <v>7214</v>
      </c>
      <c r="J696" s="24" t="s">
        <v>3661</v>
      </c>
      <c r="K696" s="24"/>
      <c r="L696" s="24" t="s">
        <v>152</v>
      </c>
      <c r="M696" s="15"/>
      <c r="N696" s="15"/>
      <c r="O696" s="15"/>
      <c r="P696" s="15" t="s">
        <v>205</v>
      </c>
      <c r="Q696" s="15" t="s">
        <v>7215</v>
      </c>
      <c r="R696" s="15" t="s">
        <v>1103</v>
      </c>
      <c r="S696" s="24" t="s">
        <v>39</v>
      </c>
      <c r="T696" s="24" t="s">
        <v>39</v>
      </c>
      <c r="U696" s="24" t="s">
        <v>39</v>
      </c>
      <c r="V696" s="24" t="s">
        <v>39</v>
      </c>
      <c r="W696" s="24" t="s">
        <v>7216</v>
      </c>
      <c r="X696" s="24" t="s">
        <v>7217</v>
      </c>
      <c r="Y696" s="15" t="s">
        <v>7218</v>
      </c>
      <c r="Z696" s="15" t="s">
        <v>7219</v>
      </c>
      <c r="AA696" s="24"/>
      <c r="AB696" s="24"/>
      <c r="AC696" s="24"/>
      <c r="AD696" s="24"/>
      <c r="AE696" s="24"/>
      <c r="AF696" s="24"/>
      <c r="AG696" s="24"/>
      <c r="AH696" s="24"/>
    </row>
    <row r="697" spans="1:34" x14ac:dyDescent="0.25">
      <c r="A697" s="24" t="str">
        <f>HYPERLINK("https://www.cpso.on.ca/DoctorDetails/Ewa-Swoboda/0236173-85691","Swoboda, Ewa")</f>
        <v>Swoboda, Ewa</v>
      </c>
      <c r="B697" s="25" t="s">
        <v>7220</v>
      </c>
      <c r="C697" s="24" t="s">
        <v>7221</v>
      </c>
      <c r="D697" s="24" t="s">
        <v>7222</v>
      </c>
      <c r="E697" s="24" t="s">
        <v>29</v>
      </c>
      <c r="F697" s="24" t="s">
        <v>47</v>
      </c>
      <c r="G697" s="24" t="s">
        <v>1657</v>
      </c>
      <c r="H697" s="24" t="s">
        <v>7223</v>
      </c>
      <c r="I697" s="24" t="s">
        <v>7224</v>
      </c>
      <c r="J697" s="24" t="s">
        <v>7225</v>
      </c>
      <c r="K697" s="24" t="s">
        <v>7226</v>
      </c>
      <c r="L697" s="24" t="s">
        <v>52</v>
      </c>
      <c r="M697" s="15"/>
      <c r="N697" s="15"/>
      <c r="O697" s="15"/>
      <c r="P697" s="15" t="s">
        <v>1149</v>
      </c>
      <c r="Q697" s="15"/>
      <c r="R697" s="15" t="s">
        <v>7227</v>
      </c>
      <c r="S697" s="24" t="s">
        <v>39</v>
      </c>
      <c r="T697" s="24" t="s">
        <v>39</v>
      </c>
      <c r="U697" s="24" t="s">
        <v>39</v>
      </c>
      <c r="V697" s="24" t="s">
        <v>39</v>
      </c>
      <c r="W697" s="24"/>
      <c r="X697" s="24"/>
      <c r="Y697" s="15"/>
      <c r="Z697" s="15"/>
      <c r="AA697" s="24"/>
      <c r="AB697" s="24"/>
      <c r="AC697" s="24"/>
      <c r="AD697" s="24"/>
      <c r="AE697" s="24"/>
      <c r="AF697" s="24"/>
      <c r="AG697" s="24"/>
      <c r="AH697" s="24"/>
    </row>
    <row r="698" spans="1:34" ht="75" x14ac:dyDescent="0.25">
      <c r="A698" s="24" t="str">
        <f>HYPERLINK("https://www.cpso.on.ca/DoctorDetails/Ewen-Macdonald-Macpherson/0061425-99088","Macpherson, Ewen Macdonald")</f>
        <v>Macpherson, Ewen Macdonald</v>
      </c>
      <c r="B698" s="25" t="s">
        <v>7228</v>
      </c>
      <c r="C698" s="24" t="s">
        <v>7229</v>
      </c>
      <c r="D698" s="24" t="s">
        <v>7230</v>
      </c>
      <c r="E698" s="24" t="s">
        <v>29</v>
      </c>
      <c r="F698" s="24" t="s">
        <v>30</v>
      </c>
      <c r="G698" s="24" t="s">
        <v>31</v>
      </c>
      <c r="H698" s="24" t="s">
        <v>7231</v>
      </c>
      <c r="I698" s="24" t="s">
        <v>7232</v>
      </c>
      <c r="J698" s="24" t="s">
        <v>7233</v>
      </c>
      <c r="K698" s="24" t="s">
        <v>7234</v>
      </c>
      <c r="L698" s="24" t="s">
        <v>36</v>
      </c>
      <c r="M698" s="15" t="s">
        <v>7235</v>
      </c>
      <c r="N698" s="15" t="s">
        <v>1449</v>
      </c>
      <c r="O698" s="15" t="s">
        <v>7236</v>
      </c>
      <c r="P698" s="15" t="s">
        <v>7237</v>
      </c>
      <c r="Q698" s="15"/>
      <c r="R698" s="15" t="s">
        <v>7238</v>
      </c>
      <c r="S698" s="24" t="s">
        <v>71</v>
      </c>
      <c r="T698" s="24" t="s">
        <v>39</v>
      </c>
      <c r="U698" s="24" t="s">
        <v>39</v>
      </c>
      <c r="V698" s="24" t="s">
        <v>39</v>
      </c>
      <c r="W698" s="24"/>
      <c r="X698" s="24"/>
      <c r="Y698" s="15"/>
      <c r="Z698" s="15"/>
      <c r="AA698" s="24"/>
      <c r="AB698" s="24"/>
      <c r="AC698" s="24"/>
      <c r="AD698" s="24"/>
      <c r="AE698" s="24"/>
      <c r="AF698" s="24"/>
      <c r="AG698" s="24"/>
      <c r="AH698" s="24"/>
    </row>
    <row r="699" spans="1:34" ht="30" x14ac:dyDescent="0.25">
      <c r="A699" s="24" t="str">
        <f>HYPERLINK("https://www.cpso.on.ca/DoctorDetails/Faizal-Hisham-Ali/0045989-59967","Ali, Faizal Hisham")</f>
        <v>Ali, Faizal Hisham</v>
      </c>
      <c r="B699" s="25" t="s">
        <v>7239</v>
      </c>
      <c r="C699" s="24" t="s">
        <v>2286</v>
      </c>
      <c r="D699" s="24" t="s">
        <v>7240</v>
      </c>
      <c r="E699" s="24" t="s">
        <v>29</v>
      </c>
      <c r="F699" s="24" t="s">
        <v>30</v>
      </c>
      <c r="G699" s="24" t="s">
        <v>31</v>
      </c>
      <c r="H699" s="24" t="s">
        <v>6204</v>
      </c>
      <c r="I699" s="24" t="s">
        <v>7241</v>
      </c>
      <c r="J699" s="24" t="s">
        <v>7242</v>
      </c>
      <c r="K699" s="24" t="s">
        <v>7243</v>
      </c>
      <c r="L699" s="24" t="s">
        <v>52</v>
      </c>
      <c r="M699" s="15" t="s">
        <v>7244</v>
      </c>
      <c r="N699" s="15"/>
      <c r="O699" s="15" t="s">
        <v>981</v>
      </c>
      <c r="P699" s="15" t="s">
        <v>2293</v>
      </c>
      <c r="Q699" s="15" t="s">
        <v>2634</v>
      </c>
      <c r="R699" s="15" t="s">
        <v>7245</v>
      </c>
      <c r="S699" s="24" t="s">
        <v>39</v>
      </c>
      <c r="T699" s="24" t="s">
        <v>39</v>
      </c>
      <c r="U699" s="24" t="s">
        <v>39</v>
      </c>
      <c r="V699" s="24" t="s">
        <v>39</v>
      </c>
      <c r="W699" s="24" t="s">
        <v>7246</v>
      </c>
      <c r="X699" s="24" t="s">
        <v>7247</v>
      </c>
      <c r="Y699" s="15" t="s">
        <v>7248</v>
      </c>
      <c r="Z699" s="15" t="s">
        <v>7249</v>
      </c>
      <c r="AA699" s="24"/>
      <c r="AB699" s="24"/>
      <c r="AC699" s="24"/>
      <c r="AD699" s="24"/>
      <c r="AE699" s="24"/>
      <c r="AF699" s="24"/>
      <c r="AG699" s="24"/>
      <c r="AH699" s="24"/>
    </row>
    <row r="700" spans="1:34" ht="75" x14ac:dyDescent="0.25">
      <c r="A700" s="24" t="str">
        <f>HYPERLINK("https://www.cpso.on.ca/DoctorDetails/Farhad-Davoodi/0288570-101022","Davoodi, Farhad")</f>
        <v>Davoodi, Farhad</v>
      </c>
      <c r="B700" s="25" t="s">
        <v>7250</v>
      </c>
      <c r="C700" s="24" t="s">
        <v>199</v>
      </c>
      <c r="D700" s="24" t="s">
        <v>200</v>
      </c>
      <c r="E700" s="24" t="s">
        <v>29</v>
      </c>
      <c r="F700" s="24" t="s">
        <v>30</v>
      </c>
      <c r="G700" s="24" t="s">
        <v>31</v>
      </c>
      <c r="H700" s="24" t="s">
        <v>7251</v>
      </c>
      <c r="I700" s="24" t="s">
        <v>7214</v>
      </c>
      <c r="J700" s="24"/>
      <c r="K700" s="24"/>
      <c r="L700" s="24" t="s">
        <v>152</v>
      </c>
      <c r="M700" s="15"/>
      <c r="N700" s="15"/>
      <c r="O700" s="15"/>
      <c r="P700" s="15" t="s">
        <v>205</v>
      </c>
      <c r="Q700" s="15" t="s">
        <v>2994</v>
      </c>
      <c r="R700" s="15" t="s">
        <v>207</v>
      </c>
      <c r="S700" s="24" t="s">
        <v>39</v>
      </c>
      <c r="T700" s="24" t="s">
        <v>39</v>
      </c>
      <c r="U700" s="24" t="s">
        <v>39</v>
      </c>
      <c r="V700" s="24" t="s">
        <v>39</v>
      </c>
      <c r="W700" s="24"/>
      <c r="X700" s="24"/>
      <c r="Y700" s="15"/>
      <c r="Z700" s="15"/>
      <c r="AA700" s="24"/>
      <c r="AB700" s="24"/>
      <c r="AC700" s="24"/>
      <c r="AD700" s="24"/>
      <c r="AE700" s="24"/>
      <c r="AF700" s="24"/>
      <c r="AG700" s="24"/>
      <c r="AH700" s="24"/>
    </row>
    <row r="701" spans="1:34" ht="60" x14ac:dyDescent="0.25">
      <c r="A701" s="24" t="str">
        <f>HYPERLINK("https://www.cpso.on.ca/DoctorDetails/Farid-Singh/0249472-89919","Singh, Farid")</f>
        <v>Singh, Farid</v>
      </c>
      <c r="B701" s="25" t="s">
        <v>7252</v>
      </c>
      <c r="C701" s="24" t="s">
        <v>7253</v>
      </c>
      <c r="D701" s="24" t="s">
        <v>7254</v>
      </c>
      <c r="E701" s="24" t="s">
        <v>29</v>
      </c>
      <c r="F701" s="24" t="s">
        <v>30</v>
      </c>
      <c r="G701" s="24" t="s">
        <v>691</v>
      </c>
      <c r="H701" s="24" t="s">
        <v>7255</v>
      </c>
      <c r="I701" s="24" t="s">
        <v>7256</v>
      </c>
      <c r="J701" s="24" t="s">
        <v>7257</v>
      </c>
      <c r="K701" s="24"/>
      <c r="L701" s="24" t="s">
        <v>184</v>
      </c>
      <c r="M701" s="15"/>
      <c r="N701" s="15" t="s">
        <v>7258</v>
      </c>
      <c r="O701" s="15" t="s">
        <v>1572</v>
      </c>
      <c r="P701" s="15" t="s">
        <v>7259</v>
      </c>
      <c r="Q701" s="15"/>
      <c r="R701" s="15" t="s">
        <v>7260</v>
      </c>
      <c r="S701" s="24" t="s">
        <v>71</v>
      </c>
      <c r="T701" s="24" t="s">
        <v>39</v>
      </c>
      <c r="U701" s="24" t="s">
        <v>39</v>
      </c>
      <c r="V701" s="24" t="s">
        <v>39</v>
      </c>
      <c r="W701" s="24" t="s">
        <v>7261</v>
      </c>
      <c r="X701" s="24" t="s">
        <v>7262</v>
      </c>
      <c r="Y701" s="15" t="s">
        <v>7263</v>
      </c>
      <c r="Z701" s="15" t="s">
        <v>7264</v>
      </c>
      <c r="AA701" s="24"/>
      <c r="AB701" s="24"/>
      <c r="AC701" s="24"/>
      <c r="AD701" s="24"/>
      <c r="AE701" s="24"/>
      <c r="AF701" s="24"/>
      <c r="AG701" s="24"/>
      <c r="AH701" s="24"/>
    </row>
    <row r="702" spans="1:34" ht="135" x14ac:dyDescent="0.25">
      <c r="A702" s="24" t="str">
        <f>HYPERLINK("https://www.cpso.on.ca/DoctorDetails/Farooq-Naeem/0286063-102306","Naeem, Farooq")</f>
        <v>Naeem, Farooq</v>
      </c>
      <c r="B702" s="25" t="s">
        <v>7265</v>
      </c>
      <c r="C702" s="24" t="s">
        <v>7266</v>
      </c>
      <c r="D702" s="24" t="s">
        <v>7267</v>
      </c>
      <c r="E702" s="24" t="s">
        <v>29</v>
      </c>
      <c r="F702" s="24" t="s">
        <v>30</v>
      </c>
      <c r="G702" s="24" t="s">
        <v>2425</v>
      </c>
      <c r="H702" s="24" t="s">
        <v>7268</v>
      </c>
      <c r="I702" s="24" t="s">
        <v>7269</v>
      </c>
      <c r="J702" s="24" t="s">
        <v>1262</v>
      </c>
      <c r="K702" s="24"/>
      <c r="L702" s="24" t="s">
        <v>52</v>
      </c>
      <c r="M702" s="15"/>
      <c r="N702" s="15"/>
      <c r="O702" s="15" t="s">
        <v>793</v>
      </c>
      <c r="P702" s="15" t="s">
        <v>7270</v>
      </c>
      <c r="Q702" s="15"/>
      <c r="R702" s="15" t="s">
        <v>7271</v>
      </c>
      <c r="S702" s="24" t="s">
        <v>71</v>
      </c>
      <c r="T702" s="24" t="s">
        <v>39</v>
      </c>
      <c r="U702" s="24" t="s">
        <v>39</v>
      </c>
      <c r="V702" s="24" t="s">
        <v>39</v>
      </c>
      <c r="W702" s="24" t="s">
        <v>7272</v>
      </c>
      <c r="X702" s="24" t="s">
        <v>7273</v>
      </c>
      <c r="Y702" s="15" t="s">
        <v>7274</v>
      </c>
      <c r="Z702" s="15" t="s">
        <v>7275</v>
      </c>
      <c r="AA702" s="24"/>
      <c r="AB702" s="24"/>
      <c r="AC702" s="24"/>
      <c r="AD702" s="24"/>
      <c r="AE702" s="24"/>
      <c r="AF702" s="24"/>
      <c r="AG702" s="24"/>
      <c r="AH702" s="24"/>
    </row>
    <row r="703" spans="1:34" ht="105" x14ac:dyDescent="0.25">
      <c r="A703" s="24" t="str">
        <f>HYPERLINK("https://www.cpso.on.ca/DoctorDetails/Farzana-Yousuf-Tak/0183990-83790","Tak, Farzana Yousuf")</f>
        <v>Tak, Farzana Yousuf</v>
      </c>
      <c r="B703" s="25" t="s">
        <v>7276</v>
      </c>
      <c r="C703" s="24" t="s">
        <v>7277</v>
      </c>
      <c r="D703" s="24" t="s">
        <v>7278</v>
      </c>
      <c r="E703" s="24" t="s">
        <v>29</v>
      </c>
      <c r="F703" s="24" t="s">
        <v>47</v>
      </c>
      <c r="G703" s="24" t="s">
        <v>31</v>
      </c>
      <c r="H703" s="24" t="s">
        <v>7279</v>
      </c>
      <c r="I703" s="24" t="s">
        <v>7280</v>
      </c>
      <c r="J703" s="24" t="s">
        <v>7281</v>
      </c>
      <c r="K703" s="24" t="s">
        <v>7282</v>
      </c>
      <c r="L703" s="24" t="s">
        <v>65</v>
      </c>
      <c r="M703" s="15" t="s">
        <v>7283</v>
      </c>
      <c r="N703" s="15" t="s">
        <v>7284</v>
      </c>
      <c r="O703" s="15" t="s">
        <v>2072</v>
      </c>
      <c r="P703" s="15" t="s">
        <v>7285</v>
      </c>
      <c r="Q703" s="15"/>
      <c r="R703" s="15" t="s">
        <v>7286</v>
      </c>
      <c r="S703" s="24" t="s">
        <v>39</v>
      </c>
      <c r="T703" s="24" t="s">
        <v>39</v>
      </c>
      <c r="U703" s="24" t="s">
        <v>39</v>
      </c>
      <c r="V703" s="24" t="s">
        <v>39</v>
      </c>
      <c r="W703" s="24" t="s">
        <v>7287</v>
      </c>
      <c r="X703" s="24" t="s">
        <v>7288</v>
      </c>
      <c r="Y703" s="15" t="s">
        <v>7289</v>
      </c>
      <c r="Z703" s="15" t="s">
        <v>7290</v>
      </c>
      <c r="AA703" s="24"/>
      <c r="AB703" s="24"/>
      <c r="AC703" s="24"/>
      <c r="AD703" s="24"/>
      <c r="AE703" s="24"/>
      <c r="AF703" s="24"/>
      <c r="AG703" s="24"/>
      <c r="AH703" s="24"/>
    </row>
    <row r="704" spans="1:34" ht="30" x14ac:dyDescent="0.25">
      <c r="A704" s="24" t="str">
        <f>HYPERLINK("https://www.cpso.on.ca/DoctorDetails/Faudry-PierreLouis/0027586-32409","Pierre-Louis, Faudry")</f>
        <v>Pierre-Louis, Faudry</v>
      </c>
      <c r="B704" s="25" t="s">
        <v>7291</v>
      </c>
      <c r="C704" s="24" t="s">
        <v>7292</v>
      </c>
      <c r="D704" s="24" t="s">
        <v>7293</v>
      </c>
      <c r="E704" s="24" t="s">
        <v>29</v>
      </c>
      <c r="F704" s="24" t="s">
        <v>30</v>
      </c>
      <c r="G704" s="24" t="s">
        <v>813</v>
      </c>
      <c r="H704" s="24" t="s">
        <v>7294</v>
      </c>
      <c r="I704" s="24" t="s">
        <v>107</v>
      </c>
      <c r="J704" s="24"/>
      <c r="K704" s="24"/>
      <c r="L704" s="24"/>
      <c r="M704" s="15"/>
      <c r="N704" s="15"/>
      <c r="O704" s="15" t="s">
        <v>6010</v>
      </c>
      <c r="P704" s="15" t="s">
        <v>4606</v>
      </c>
      <c r="Q704" s="15"/>
      <c r="R704" s="15" t="s">
        <v>7295</v>
      </c>
      <c r="S704" s="24" t="s">
        <v>39</v>
      </c>
      <c r="T704" s="24" t="s">
        <v>39</v>
      </c>
      <c r="U704" s="24" t="s">
        <v>39</v>
      </c>
      <c r="V704" s="24" t="s">
        <v>39</v>
      </c>
      <c r="W704" s="24"/>
      <c r="X704" s="24"/>
      <c r="Y704" s="15"/>
      <c r="Z704" s="15"/>
      <c r="AA704" s="24"/>
      <c r="AB704" s="24"/>
      <c r="AC704" s="24"/>
      <c r="AD704" s="24"/>
      <c r="AE704" s="24"/>
      <c r="AF704" s="24"/>
      <c r="AG704" s="24"/>
      <c r="AH704" s="24"/>
    </row>
    <row r="705" spans="1:34" ht="60" x14ac:dyDescent="0.25">
      <c r="A705" s="24" t="str">
        <f>HYPERLINK("https://www.cpso.on.ca/DoctorDetails/Felicia-Iftene/0244525-89167","Iftene, Felicia")</f>
        <v>Iftene, Felicia</v>
      </c>
      <c r="B705" s="25" t="s">
        <v>7296</v>
      </c>
      <c r="C705" s="24" t="s">
        <v>7297</v>
      </c>
      <c r="D705" s="24" t="s">
        <v>7298</v>
      </c>
      <c r="E705" s="24" t="s">
        <v>7299</v>
      </c>
      <c r="F705" s="24" t="s">
        <v>47</v>
      </c>
      <c r="G705" s="24" t="s">
        <v>7300</v>
      </c>
      <c r="H705" s="24" t="s">
        <v>7301</v>
      </c>
      <c r="I705" s="24" t="s">
        <v>7302</v>
      </c>
      <c r="J705" s="24" t="s">
        <v>7303</v>
      </c>
      <c r="K705" s="24" t="s">
        <v>7304</v>
      </c>
      <c r="L705" s="24" t="s">
        <v>340</v>
      </c>
      <c r="M705" s="15"/>
      <c r="N705" s="15"/>
      <c r="O705" s="15" t="s">
        <v>1122</v>
      </c>
      <c r="P705" s="15" t="s">
        <v>7305</v>
      </c>
      <c r="Q705" s="15"/>
      <c r="R705" s="15" t="s">
        <v>7306</v>
      </c>
      <c r="S705" s="24" t="s">
        <v>39</v>
      </c>
      <c r="T705" s="24" t="s">
        <v>39</v>
      </c>
      <c r="U705" s="24" t="s">
        <v>39</v>
      </c>
      <c r="V705" s="24" t="s">
        <v>39</v>
      </c>
      <c r="W705" s="24" t="s">
        <v>7307</v>
      </c>
      <c r="X705" s="24" t="s">
        <v>7308</v>
      </c>
      <c r="Y705" s="15" t="s">
        <v>7309</v>
      </c>
      <c r="Z705" s="15" t="s">
        <v>7310</v>
      </c>
      <c r="AA705" s="24"/>
      <c r="AB705" s="24"/>
      <c r="AC705" s="24"/>
      <c r="AD705" s="24"/>
      <c r="AE705" s="24"/>
      <c r="AF705" s="24"/>
      <c r="AG705" s="24"/>
      <c r="AH705" s="24"/>
    </row>
    <row r="706" spans="1:34" ht="45" x14ac:dyDescent="0.25">
      <c r="A706" s="24" t="str">
        <f>HYPERLINK("https://www.cpso.on.ca/DoctorDetails/Felisa-Levy-Rochwerger/0050661-64640","Rochwerger, Felisa Levy")</f>
        <v>Rochwerger, Felisa Levy</v>
      </c>
      <c r="B706" s="25" t="s">
        <v>7311</v>
      </c>
      <c r="C706" s="24" t="s">
        <v>7312</v>
      </c>
      <c r="D706" s="24" t="s">
        <v>7313</v>
      </c>
      <c r="E706" s="24" t="s">
        <v>29</v>
      </c>
      <c r="F706" s="24" t="s">
        <v>47</v>
      </c>
      <c r="G706" s="24" t="s">
        <v>115</v>
      </c>
      <c r="H706" s="24" t="s">
        <v>7314</v>
      </c>
      <c r="I706" s="24" t="s">
        <v>7315</v>
      </c>
      <c r="J706" s="24" t="s">
        <v>7316</v>
      </c>
      <c r="K706" s="24" t="s">
        <v>7317</v>
      </c>
      <c r="L706" s="24" t="s">
        <v>52</v>
      </c>
      <c r="M706" s="15"/>
      <c r="N706" s="15"/>
      <c r="O706" s="15"/>
      <c r="P706" s="15" t="s">
        <v>7318</v>
      </c>
      <c r="Q706" s="15"/>
      <c r="R706" s="15" t="s">
        <v>7319</v>
      </c>
      <c r="S706" s="24" t="s">
        <v>39</v>
      </c>
      <c r="T706" s="24" t="s">
        <v>39</v>
      </c>
      <c r="U706" s="24" t="s">
        <v>39</v>
      </c>
      <c r="V706" s="24" t="s">
        <v>39</v>
      </c>
      <c r="W706" s="24"/>
      <c r="X706" s="24"/>
      <c r="Y706" s="15"/>
      <c r="Z706" s="15"/>
      <c r="AA706" s="24"/>
      <c r="AB706" s="24"/>
      <c r="AC706" s="24"/>
      <c r="AD706" s="24"/>
      <c r="AE706" s="24"/>
      <c r="AF706" s="24"/>
      <c r="AG706" s="24"/>
      <c r="AH706" s="24"/>
    </row>
    <row r="707" spans="1:34" ht="75" x14ac:dyDescent="0.25">
      <c r="A707" s="24" t="str">
        <f>HYPERLINK("https://www.cpso.on.ca/DoctorDetails/Felix-Yaroshevsky/0027744-32567","Yaroshevsky, Felix")</f>
        <v>Yaroshevsky, Felix</v>
      </c>
      <c r="B707" s="25" t="s">
        <v>7320</v>
      </c>
      <c r="C707" s="24" t="s">
        <v>7321</v>
      </c>
      <c r="D707" s="24" t="s">
        <v>7322</v>
      </c>
      <c r="E707" s="24" t="s">
        <v>29</v>
      </c>
      <c r="F707" s="24" t="s">
        <v>30</v>
      </c>
      <c r="G707" s="24" t="s">
        <v>873</v>
      </c>
      <c r="H707" s="24" t="s">
        <v>7323</v>
      </c>
      <c r="I707" s="24" t="s">
        <v>7324</v>
      </c>
      <c r="J707" s="24" t="s">
        <v>7325</v>
      </c>
      <c r="K707" s="24" t="s">
        <v>7326</v>
      </c>
      <c r="L707" s="24" t="s">
        <v>52</v>
      </c>
      <c r="M707" s="15"/>
      <c r="N707" s="15"/>
      <c r="O707" s="15"/>
      <c r="P707" s="15" t="s">
        <v>7327</v>
      </c>
      <c r="Q707" s="15"/>
      <c r="R707" s="15" t="s">
        <v>7328</v>
      </c>
      <c r="S707" s="24" t="s">
        <v>39</v>
      </c>
      <c r="T707" s="24" t="s">
        <v>71</v>
      </c>
      <c r="U707" s="24" t="s">
        <v>39</v>
      </c>
      <c r="V707" s="24" t="s">
        <v>39</v>
      </c>
      <c r="W707" s="24"/>
      <c r="X707" s="24"/>
      <c r="Y707" s="15"/>
      <c r="Z707" s="15"/>
      <c r="AA707" s="24"/>
      <c r="AB707" s="24"/>
      <c r="AC707" s="24"/>
      <c r="AD707" s="24"/>
      <c r="AE707" s="24"/>
      <c r="AF707" s="24"/>
      <c r="AG707" s="24"/>
      <c r="AH707" s="24"/>
    </row>
    <row r="708" spans="1:34" ht="30" x14ac:dyDescent="0.25">
      <c r="A708" s="24" t="str">
        <f>HYPERLINK("https://www.cpso.on.ca/DoctorDetails/Fergus-Gerald-McNestry/0042640-56618","McNestry, Fergus Gerald")</f>
        <v>McNestry, Fergus Gerald</v>
      </c>
      <c r="B708" s="25" t="s">
        <v>7329</v>
      </c>
      <c r="C708" s="24" t="s">
        <v>7330</v>
      </c>
      <c r="D708" s="24" t="s">
        <v>7331</v>
      </c>
      <c r="E708" s="24" t="s">
        <v>29</v>
      </c>
      <c r="F708" s="24" t="s">
        <v>30</v>
      </c>
      <c r="G708" s="24" t="s">
        <v>31</v>
      </c>
      <c r="H708" s="24" t="s">
        <v>7332</v>
      </c>
      <c r="I708" s="24" t="s">
        <v>7333</v>
      </c>
      <c r="J708" s="24" t="s">
        <v>7334</v>
      </c>
      <c r="K708" s="24"/>
      <c r="L708" s="24" t="s">
        <v>84</v>
      </c>
      <c r="M708" s="15"/>
      <c r="N708" s="15"/>
      <c r="O708" s="15" t="s">
        <v>549</v>
      </c>
      <c r="P708" s="15" t="s">
        <v>4499</v>
      </c>
      <c r="Q708" s="15"/>
      <c r="R708" s="15" t="s">
        <v>7335</v>
      </c>
      <c r="S708" s="24" t="s">
        <v>39</v>
      </c>
      <c r="T708" s="24" t="s">
        <v>39</v>
      </c>
      <c r="U708" s="24" t="s">
        <v>39</v>
      </c>
      <c r="V708" s="24" t="s">
        <v>39</v>
      </c>
      <c r="W708" s="24" t="s">
        <v>7336</v>
      </c>
      <c r="X708" s="24" t="s">
        <v>7337</v>
      </c>
      <c r="Y708" s="15" t="s">
        <v>7338</v>
      </c>
      <c r="Z708" s="15" t="s">
        <v>7339</v>
      </c>
      <c r="AA708" s="24"/>
      <c r="AB708" s="24"/>
      <c r="AC708" s="24"/>
      <c r="AD708" s="24"/>
      <c r="AE708" s="24"/>
      <c r="AF708" s="24"/>
      <c r="AG708" s="24"/>
      <c r="AH708" s="24"/>
    </row>
    <row r="709" spans="1:34" x14ac:dyDescent="0.25">
      <c r="A709" s="24" t="str">
        <f>HYPERLINK("https://www.cpso.on.ca/DoctorDetails/Fern-Elaine-Small/0027599-32422","Small, Fern Elaine")</f>
        <v>Small, Fern Elaine</v>
      </c>
      <c r="B709" s="25" t="s">
        <v>7340</v>
      </c>
      <c r="C709" s="24" t="s">
        <v>7341</v>
      </c>
      <c r="D709" s="24" t="s">
        <v>7342</v>
      </c>
      <c r="E709" s="24" t="s">
        <v>29</v>
      </c>
      <c r="F709" s="24" t="s">
        <v>47</v>
      </c>
      <c r="G709" s="24" t="s">
        <v>31</v>
      </c>
      <c r="H709" s="24" t="s">
        <v>7343</v>
      </c>
      <c r="I709" s="24" t="s">
        <v>7344</v>
      </c>
      <c r="J709" s="24" t="s">
        <v>7345</v>
      </c>
      <c r="K709" s="24" t="s">
        <v>7346</v>
      </c>
      <c r="L709" s="24" t="s">
        <v>52</v>
      </c>
      <c r="M709" s="15"/>
      <c r="N709" s="15"/>
      <c r="O709" s="15"/>
      <c r="P709" s="15" t="s">
        <v>541</v>
      </c>
      <c r="Q709" s="15"/>
      <c r="R709" s="15" t="s">
        <v>7347</v>
      </c>
      <c r="S709" s="24" t="s">
        <v>39</v>
      </c>
      <c r="T709" s="24" t="s">
        <v>39</v>
      </c>
      <c r="U709" s="24" t="s">
        <v>39</v>
      </c>
      <c r="V709" s="24" t="s">
        <v>39</v>
      </c>
      <c r="W709" s="24"/>
      <c r="X709" s="24"/>
      <c r="Y709" s="15"/>
      <c r="Z709" s="15"/>
      <c r="AA709" s="24"/>
      <c r="AB709" s="24"/>
      <c r="AC709" s="24"/>
      <c r="AD709" s="24"/>
      <c r="AE709" s="24"/>
      <c r="AF709" s="24"/>
      <c r="AG709" s="24"/>
      <c r="AH709" s="24"/>
    </row>
    <row r="710" spans="1:34" ht="30" x14ac:dyDescent="0.25">
      <c r="A710" s="24" t="str">
        <f>HYPERLINK("https://www.cpso.on.ca/DoctorDetails/Fiore-Robert-Lalla/0051960-65939","Lalla, Fiore Robert")</f>
        <v>Lalla, Fiore Robert</v>
      </c>
      <c r="B710" s="25" t="s">
        <v>7348</v>
      </c>
      <c r="C710" s="24" t="s">
        <v>7349</v>
      </c>
      <c r="D710" s="24" t="s">
        <v>5865</v>
      </c>
      <c r="E710" s="24" t="s">
        <v>29</v>
      </c>
      <c r="F710" s="24" t="s">
        <v>30</v>
      </c>
      <c r="G710" s="24" t="s">
        <v>706</v>
      </c>
      <c r="H710" s="24" t="s">
        <v>7350</v>
      </c>
      <c r="I710" s="24" t="s">
        <v>7351</v>
      </c>
      <c r="J710" s="24" t="s">
        <v>7352</v>
      </c>
      <c r="K710" s="24"/>
      <c r="L710" s="24" t="s">
        <v>84</v>
      </c>
      <c r="M710" s="15" t="s">
        <v>7353</v>
      </c>
      <c r="N710" s="15" t="s">
        <v>7354</v>
      </c>
      <c r="O710" s="15"/>
      <c r="P710" s="15" t="s">
        <v>5981</v>
      </c>
      <c r="Q710" s="15"/>
      <c r="R710" s="15" t="s">
        <v>7355</v>
      </c>
      <c r="S710" s="24" t="s">
        <v>39</v>
      </c>
      <c r="T710" s="24" t="s">
        <v>39</v>
      </c>
      <c r="U710" s="24" t="s">
        <v>39</v>
      </c>
      <c r="V710" s="24" t="s">
        <v>39</v>
      </c>
      <c r="W710" s="24" t="s">
        <v>7356</v>
      </c>
      <c r="X710" s="24" t="s">
        <v>7357</v>
      </c>
      <c r="Y710" s="15" t="s">
        <v>7358</v>
      </c>
      <c r="Z710" s="15" t="s">
        <v>7359</v>
      </c>
      <c r="AA710" s="24"/>
      <c r="AB710" s="24"/>
      <c r="AC710" s="24"/>
      <c r="AD710" s="24"/>
      <c r="AE710" s="24"/>
      <c r="AF710" s="24"/>
      <c r="AG710" s="24"/>
      <c r="AH710" s="24"/>
    </row>
    <row r="711" spans="1:34" ht="30" x14ac:dyDescent="0.25">
      <c r="A711" s="24" t="str">
        <f>HYPERLINK("https://www.cpso.on.ca/DoctorDetails/Flavio-Pereira-Kapczinski/0311357-111161","Kapczinski, Flavio Pereira")</f>
        <v>Kapczinski, Flavio Pereira</v>
      </c>
      <c r="B711" s="25" t="s">
        <v>7360</v>
      </c>
      <c r="C711" s="24" t="s">
        <v>7361</v>
      </c>
      <c r="D711" s="24" t="s">
        <v>7362</v>
      </c>
      <c r="E711" s="24" t="s">
        <v>29</v>
      </c>
      <c r="F711" s="24" t="s">
        <v>30</v>
      </c>
      <c r="G711" s="24" t="s">
        <v>1015</v>
      </c>
      <c r="H711" s="24" t="s">
        <v>7363</v>
      </c>
      <c r="I711" s="24" t="s">
        <v>7364</v>
      </c>
      <c r="J711" s="24" t="s">
        <v>7365</v>
      </c>
      <c r="K711" s="24" t="s">
        <v>7366</v>
      </c>
      <c r="L711" s="24" t="s">
        <v>184</v>
      </c>
      <c r="M711" s="15"/>
      <c r="N711" s="15"/>
      <c r="O711" s="15" t="s">
        <v>3818</v>
      </c>
      <c r="P711" s="15" t="s">
        <v>7367</v>
      </c>
      <c r="Q711" s="15"/>
      <c r="R711" s="15" t="s">
        <v>7368</v>
      </c>
      <c r="S711" s="24" t="s">
        <v>39</v>
      </c>
      <c r="T711" s="24" t="s">
        <v>39</v>
      </c>
      <c r="U711" s="24" t="s">
        <v>39</v>
      </c>
      <c r="V711" s="24" t="s">
        <v>39</v>
      </c>
      <c r="W711" s="24"/>
      <c r="X711" s="24"/>
      <c r="Y711" s="15"/>
      <c r="Z711" s="15"/>
      <c r="AA711" s="24"/>
      <c r="AB711" s="24"/>
      <c r="AC711" s="24"/>
      <c r="AD711" s="24"/>
      <c r="AE711" s="24"/>
      <c r="AF711" s="24"/>
      <c r="AG711" s="24"/>
      <c r="AH711" s="24"/>
    </row>
    <row r="712" spans="1:34" ht="150" x14ac:dyDescent="0.25">
      <c r="A712" s="24" t="str">
        <f>HYPERLINK("https://www.cpso.on.ca/DoctorDetails/Folake-Olufunmilola-Esan/0290753-102552","Esan, Folake Olufunmilola")</f>
        <v>Esan, Folake Olufunmilola</v>
      </c>
      <c r="B712" s="25" t="s">
        <v>7369</v>
      </c>
      <c r="C712" s="24" t="s">
        <v>7370</v>
      </c>
      <c r="D712" s="24" t="s">
        <v>7371</v>
      </c>
      <c r="E712" s="24" t="s">
        <v>29</v>
      </c>
      <c r="F712" s="24" t="s">
        <v>47</v>
      </c>
      <c r="G712" s="24" t="s">
        <v>148</v>
      </c>
      <c r="H712" s="24" t="s">
        <v>421</v>
      </c>
      <c r="I712" s="24" t="s">
        <v>7372</v>
      </c>
      <c r="J712" s="24" t="s">
        <v>4777</v>
      </c>
      <c r="K712" s="24"/>
      <c r="L712" s="24" t="s">
        <v>152</v>
      </c>
      <c r="M712" s="15" t="s">
        <v>7373</v>
      </c>
      <c r="N712" s="15" t="s">
        <v>4147</v>
      </c>
      <c r="O712" s="15"/>
      <c r="P712" s="15" t="s">
        <v>4909</v>
      </c>
      <c r="Q712" s="15"/>
      <c r="R712" s="15" t="s">
        <v>7374</v>
      </c>
      <c r="S712" s="24" t="s">
        <v>71</v>
      </c>
      <c r="T712" s="24" t="s">
        <v>39</v>
      </c>
      <c r="U712" s="24" t="s">
        <v>39</v>
      </c>
      <c r="V712" s="24" t="s">
        <v>39</v>
      </c>
      <c r="W712" s="24" t="s">
        <v>7375</v>
      </c>
      <c r="X712" s="24" t="s">
        <v>7376</v>
      </c>
      <c r="Y712" s="15" t="s">
        <v>7377</v>
      </c>
      <c r="Z712" s="15" t="s">
        <v>7378</v>
      </c>
      <c r="AA712" s="24"/>
      <c r="AB712" s="24"/>
      <c r="AC712" s="24"/>
      <c r="AD712" s="24"/>
      <c r="AE712" s="24"/>
      <c r="AF712" s="24"/>
      <c r="AG712" s="24"/>
      <c r="AH712" s="24"/>
    </row>
    <row r="713" spans="1:34" ht="75" x14ac:dyDescent="0.25">
      <c r="A713" s="24" t="str">
        <f>HYPERLINK("https://www.cpso.on.ca/DoctorDetails/Fouad-Saher/0283595-99583","Saher, Fouad")</f>
        <v>Saher, Fouad</v>
      </c>
      <c r="B713" s="25" t="s">
        <v>7379</v>
      </c>
      <c r="C713" s="24" t="s">
        <v>7380</v>
      </c>
      <c r="D713" s="24" t="s">
        <v>7381</v>
      </c>
      <c r="E713" s="24" t="s">
        <v>29</v>
      </c>
      <c r="F713" s="24" t="s">
        <v>30</v>
      </c>
      <c r="G713" s="24" t="s">
        <v>813</v>
      </c>
      <c r="H713" s="24" t="s">
        <v>7382</v>
      </c>
      <c r="I713" s="24" t="s">
        <v>7383</v>
      </c>
      <c r="J713" s="24" t="s">
        <v>7384</v>
      </c>
      <c r="K713" s="24" t="s">
        <v>7385</v>
      </c>
      <c r="L713" s="24" t="s">
        <v>84</v>
      </c>
      <c r="M713" s="15"/>
      <c r="N713" s="15" t="s">
        <v>710</v>
      </c>
      <c r="O713" s="15"/>
      <c r="P713" s="15" t="s">
        <v>7386</v>
      </c>
      <c r="Q713" s="15"/>
      <c r="R713" s="15" t="s">
        <v>7387</v>
      </c>
      <c r="S713" s="24" t="s">
        <v>39</v>
      </c>
      <c r="T713" s="24" t="s">
        <v>39</v>
      </c>
      <c r="U713" s="24" t="s">
        <v>39</v>
      </c>
      <c r="V713" s="24" t="s">
        <v>39</v>
      </c>
      <c r="W713" s="24"/>
      <c r="X713" s="24"/>
      <c r="Y713" s="15"/>
      <c r="Z713" s="15"/>
      <c r="AA713" s="24"/>
      <c r="AB713" s="24"/>
      <c r="AC713" s="24"/>
      <c r="AD713" s="24"/>
      <c r="AE713" s="24"/>
      <c r="AF713" s="24"/>
      <c r="AG713" s="24"/>
      <c r="AH713" s="24"/>
    </row>
    <row r="714" spans="1:34" x14ac:dyDescent="0.25">
      <c r="A714" s="24" t="str">
        <f>HYPERLINK("https://www.cpso.on.ca/DoctorDetails/France-Rocheleau/0045133-59111","Rocheleau, France")</f>
        <v>Rocheleau, France</v>
      </c>
      <c r="B714" s="25" t="s">
        <v>7388</v>
      </c>
      <c r="C714" s="24" t="s">
        <v>7389</v>
      </c>
      <c r="D714" s="24" t="s">
        <v>7390</v>
      </c>
      <c r="E714" s="24" t="s">
        <v>29</v>
      </c>
      <c r="F714" s="24" t="s">
        <v>47</v>
      </c>
      <c r="G714" s="24" t="s">
        <v>813</v>
      </c>
      <c r="H714" s="24" t="s">
        <v>707</v>
      </c>
      <c r="I714" s="24" t="s">
        <v>7391</v>
      </c>
      <c r="J714" s="24" t="s">
        <v>6007</v>
      </c>
      <c r="K714" s="24" t="s">
        <v>6008</v>
      </c>
      <c r="L714" s="24" t="s">
        <v>84</v>
      </c>
      <c r="M714" s="15"/>
      <c r="N714" s="15" t="s">
        <v>710</v>
      </c>
      <c r="O714" s="15" t="s">
        <v>6010</v>
      </c>
      <c r="P714" s="15" t="s">
        <v>1877</v>
      </c>
      <c r="Q714" s="15"/>
      <c r="R714" s="15" t="s">
        <v>7392</v>
      </c>
      <c r="S714" s="24" t="s">
        <v>39</v>
      </c>
      <c r="T714" s="24" t="s">
        <v>39</v>
      </c>
      <c r="U714" s="24" t="s">
        <v>39</v>
      </c>
      <c r="V714" s="24" t="s">
        <v>39</v>
      </c>
      <c r="W714" s="24" t="s">
        <v>7393</v>
      </c>
      <c r="X714" s="24" t="s">
        <v>7394</v>
      </c>
      <c r="Y714" s="15" t="s">
        <v>7395</v>
      </c>
      <c r="Z714" s="15" t="s">
        <v>7396</v>
      </c>
      <c r="AA714" s="24"/>
      <c r="AB714" s="24"/>
      <c r="AC714" s="24"/>
      <c r="AD714" s="24"/>
      <c r="AE714" s="24"/>
      <c r="AF714" s="24"/>
      <c r="AG714" s="24"/>
      <c r="AH714" s="24"/>
    </row>
    <row r="715" spans="1:34" ht="75" x14ac:dyDescent="0.25">
      <c r="A715" s="24" t="str">
        <f>HYPERLINK("https://www.cpso.on.ca/DoctorDetails/Frances-Moira-OLeary/0280808-97801","O'Leary, Frances Moira")</f>
        <v>O'Leary, Frances Moira</v>
      </c>
      <c r="B715" s="25" t="s">
        <v>7397</v>
      </c>
      <c r="C715" s="24" t="s">
        <v>544</v>
      </c>
      <c r="D715" s="24" t="s">
        <v>545</v>
      </c>
      <c r="E715" s="24" t="s">
        <v>29</v>
      </c>
      <c r="F715" s="24" t="s">
        <v>47</v>
      </c>
      <c r="G715" s="24" t="s">
        <v>31</v>
      </c>
      <c r="H715" s="24" t="s">
        <v>7398</v>
      </c>
      <c r="I715" s="24" t="s">
        <v>7399</v>
      </c>
      <c r="J715" s="24" t="s">
        <v>7400</v>
      </c>
      <c r="K715" s="24"/>
      <c r="L715" s="24" t="s">
        <v>84</v>
      </c>
      <c r="M715" s="15"/>
      <c r="N715" s="15"/>
      <c r="O715" s="15" t="s">
        <v>817</v>
      </c>
      <c r="P715" s="15" t="s">
        <v>550</v>
      </c>
      <c r="Q715" s="15" t="s">
        <v>7401</v>
      </c>
      <c r="R715" s="15" t="s">
        <v>552</v>
      </c>
      <c r="S715" s="24" t="s">
        <v>39</v>
      </c>
      <c r="T715" s="24" t="s">
        <v>39</v>
      </c>
      <c r="U715" s="24" t="s">
        <v>39</v>
      </c>
      <c r="V715" s="24" t="s">
        <v>39</v>
      </c>
      <c r="W715" s="24"/>
      <c r="X715" s="24"/>
      <c r="Y715" s="15"/>
      <c r="Z715" s="15"/>
      <c r="AA715" s="24"/>
      <c r="AB715" s="24"/>
      <c r="AC715" s="24"/>
      <c r="AD715" s="24"/>
      <c r="AE715" s="24"/>
      <c r="AF715" s="24"/>
      <c r="AG715" s="24"/>
      <c r="AH715" s="24"/>
    </row>
    <row r="716" spans="1:34" ht="90" x14ac:dyDescent="0.25">
      <c r="A716" s="24" t="str">
        <f>HYPERLINK("https://www.cpso.on.ca/DoctorDetails/Francine-Brill/0042991-56969","Brill, Francine")</f>
        <v>Brill, Francine</v>
      </c>
      <c r="B716" s="25" t="s">
        <v>7402</v>
      </c>
      <c r="C716" s="24" t="s">
        <v>3427</v>
      </c>
      <c r="D716" s="24" t="s">
        <v>6222</v>
      </c>
      <c r="E716" s="24" t="s">
        <v>29</v>
      </c>
      <c r="F716" s="24" t="s">
        <v>47</v>
      </c>
      <c r="G716" s="24" t="s">
        <v>31</v>
      </c>
      <c r="H716" s="24" t="s">
        <v>4039</v>
      </c>
      <c r="I716" s="24" t="s">
        <v>7403</v>
      </c>
      <c r="J716" s="24" t="s">
        <v>7404</v>
      </c>
      <c r="K716" s="24"/>
      <c r="L716" s="24" t="s">
        <v>36</v>
      </c>
      <c r="M716" s="15"/>
      <c r="N716" s="15"/>
      <c r="O716" s="15" t="s">
        <v>4094</v>
      </c>
      <c r="P716" s="15" t="s">
        <v>7405</v>
      </c>
      <c r="Q716" s="15" t="s">
        <v>7406</v>
      </c>
      <c r="R716" s="15" t="s">
        <v>7407</v>
      </c>
      <c r="S716" s="24" t="s">
        <v>39</v>
      </c>
      <c r="T716" s="24" t="s">
        <v>39</v>
      </c>
      <c r="U716" s="24" t="s">
        <v>39</v>
      </c>
      <c r="V716" s="24" t="s">
        <v>39</v>
      </c>
      <c r="W716" s="24" t="s">
        <v>7408</v>
      </c>
      <c r="X716" s="24" t="s">
        <v>7409</v>
      </c>
      <c r="Y716" s="15" t="s">
        <v>7410</v>
      </c>
      <c r="Z716" s="15" t="s">
        <v>7411</v>
      </c>
      <c r="AA716" s="24"/>
      <c r="AB716" s="24"/>
      <c r="AC716" s="24"/>
      <c r="AD716" s="24"/>
      <c r="AE716" s="24"/>
      <c r="AF716" s="24"/>
      <c r="AG716" s="24"/>
      <c r="AH716" s="24"/>
    </row>
    <row r="717" spans="1:34" x14ac:dyDescent="0.25">
      <c r="A717" s="24" t="str">
        <f>HYPERLINK("https://www.cpso.on.ca/DoctorDetails/Francine-LHeureux/0051996-65975","L'Heureux, Francine")</f>
        <v>L'Heureux, Francine</v>
      </c>
      <c r="B717" s="25" t="s">
        <v>7412</v>
      </c>
      <c r="C717" s="24" t="s">
        <v>7413</v>
      </c>
      <c r="D717" s="24" t="s">
        <v>7414</v>
      </c>
      <c r="E717" s="24" t="s">
        <v>29</v>
      </c>
      <c r="F717" s="24" t="s">
        <v>47</v>
      </c>
      <c r="G717" s="24" t="s">
        <v>813</v>
      </c>
      <c r="H717" s="24" t="s">
        <v>707</v>
      </c>
      <c r="I717" s="24" t="s">
        <v>7415</v>
      </c>
      <c r="J717" s="24" t="s">
        <v>6007</v>
      </c>
      <c r="K717" s="24" t="s">
        <v>7416</v>
      </c>
      <c r="L717" s="24" t="s">
        <v>84</v>
      </c>
      <c r="M717" s="15"/>
      <c r="N717" s="15" t="s">
        <v>710</v>
      </c>
      <c r="O717" s="15" t="s">
        <v>6010</v>
      </c>
      <c r="P717" s="15" t="s">
        <v>1420</v>
      </c>
      <c r="Q717" s="15"/>
      <c r="R717" s="15" t="s">
        <v>7417</v>
      </c>
      <c r="S717" s="24" t="s">
        <v>39</v>
      </c>
      <c r="T717" s="24" t="s">
        <v>39</v>
      </c>
      <c r="U717" s="24" t="s">
        <v>39</v>
      </c>
      <c r="V717" s="24" t="s">
        <v>39</v>
      </c>
      <c r="W717" s="24"/>
      <c r="X717" s="24"/>
      <c r="Y717" s="15"/>
      <c r="Z717" s="15"/>
      <c r="AA717" s="24"/>
      <c r="AB717" s="24"/>
      <c r="AC717" s="24"/>
      <c r="AD717" s="24"/>
      <c r="AE717" s="24"/>
      <c r="AF717" s="24"/>
      <c r="AG717" s="24"/>
      <c r="AH717" s="24"/>
    </row>
    <row r="718" spans="1:34" ht="45" x14ac:dyDescent="0.25">
      <c r="A718" s="24" t="str">
        <f>HYPERLINK("https://www.cpso.on.ca/DoctorDetails/Francis-John-Jarrett/0027073-31896","Jarrett, Francis John")</f>
        <v>Jarrett, Francis John</v>
      </c>
      <c r="B718" s="25" t="s">
        <v>7418</v>
      </c>
      <c r="C718" s="24" t="s">
        <v>7419</v>
      </c>
      <c r="D718" s="24" t="s">
        <v>7420</v>
      </c>
      <c r="E718" s="24" t="s">
        <v>29</v>
      </c>
      <c r="F718" s="24" t="s">
        <v>30</v>
      </c>
      <c r="G718" s="24" t="s">
        <v>31</v>
      </c>
      <c r="H718" s="24" t="s">
        <v>7421</v>
      </c>
      <c r="I718" s="24" t="s">
        <v>107</v>
      </c>
      <c r="J718" s="24"/>
      <c r="K718" s="24"/>
      <c r="L718" s="24"/>
      <c r="M718" s="15"/>
      <c r="N718" s="15"/>
      <c r="O718" s="15"/>
      <c r="P718" s="15" t="s">
        <v>7422</v>
      </c>
      <c r="Q718" s="15"/>
      <c r="R718" s="15" t="s">
        <v>7423</v>
      </c>
      <c r="S718" s="24" t="s">
        <v>39</v>
      </c>
      <c r="T718" s="24" t="s">
        <v>39</v>
      </c>
      <c r="U718" s="24" t="s">
        <v>39</v>
      </c>
      <c r="V718" s="24" t="s">
        <v>39</v>
      </c>
      <c r="W718" s="24"/>
      <c r="X718" s="24"/>
      <c r="Y718" s="15"/>
      <c r="Z718" s="15"/>
      <c r="AA718" s="24"/>
      <c r="AB718" s="24"/>
      <c r="AC718" s="24"/>
      <c r="AD718" s="24"/>
      <c r="AE718" s="24"/>
      <c r="AF718" s="24"/>
      <c r="AG718" s="24"/>
      <c r="AH718" s="24"/>
    </row>
    <row r="719" spans="1:34" ht="60" x14ac:dyDescent="0.25">
      <c r="A719" s="24" t="str">
        <f>HYPERLINK("https://www.cpso.on.ca/DoctorDetails/Francis-Priyalal-Fernando/0044950-58928","Fernando, Francis Priyalal")</f>
        <v>Fernando, Francis Priyalal</v>
      </c>
      <c r="B719" s="25" t="s">
        <v>7424</v>
      </c>
      <c r="C719" s="24" t="s">
        <v>7425</v>
      </c>
      <c r="D719" s="24" t="s">
        <v>7426</v>
      </c>
      <c r="E719" s="24" t="s">
        <v>29</v>
      </c>
      <c r="F719" s="24" t="s">
        <v>30</v>
      </c>
      <c r="G719" s="24" t="s">
        <v>7427</v>
      </c>
      <c r="H719" s="24" t="s">
        <v>7428</v>
      </c>
      <c r="I719" s="24" t="s">
        <v>7429</v>
      </c>
      <c r="J719" s="24" t="s">
        <v>7430</v>
      </c>
      <c r="K719" s="24" t="s">
        <v>7431</v>
      </c>
      <c r="L719" s="24" t="s">
        <v>65</v>
      </c>
      <c r="M719" s="15"/>
      <c r="N719" s="15"/>
      <c r="O719" s="15" t="s">
        <v>2072</v>
      </c>
      <c r="P719" s="15" t="s">
        <v>2541</v>
      </c>
      <c r="Q719" s="15"/>
      <c r="R719" s="15" t="s">
        <v>7432</v>
      </c>
      <c r="S719" s="24" t="s">
        <v>39</v>
      </c>
      <c r="T719" s="24" t="s">
        <v>39</v>
      </c>
      <c r="U719" s="24" t="s">
        <v>39</v>
      </c>
      <c r="V719" s="24" t="s">
        <v>39</v>
      </c>
      <c r="W719" s="24" t="s">
        <v>7433</v>
      </c>
      <c r="X719" s="24" t="s">
        <v>7434</v>
      </c>
      <c r="Y719" s="15" t="s">
        <v>7435</v>
      </c>
      <c r="Z719" s="15" t="s">
        <v>7436</v>
      </c>
      <c r="AA719" s="24"/>
      <c r="AB719" s="24"/>
      <c r="AC719" s="24"/>
      <c r="AD719" s="24"/>
      <c r="AE719" s="24"/>
      <c r="AF719" s="24"/>
      <c r="AG719" s="24"/>
      <c r="AH719" s="24"/>
    </row>
    <row r="720" spans="1:34" ht="30" x14ac:dyDescent="0.25">
      <c r="A720" s="24" t="str">
        <f>HYPERLINK("https://www.cpso.on.ca/DoctorDetails/Francis-Wayne-Quan/0021223-26011","Quan, Francis Wayne")</f>
        <v>Quan, Francis Wayne</v>
      </c>
      <c r="B720" s="25" t="s">
        <v>7437</v>
      </c>
      <c r="C720" s="24" t="s">
        <v>4856</v>
      </c>
      <c r="D720" s="24" t="s">
        <v>4857</v>
      </c>
      <c r="E720" s="24" t="s">
        <v>29</v>
      </c>
      <c r="F720" s="24" t="s">
        <v>30</v>
      </c>
      <c r="G720" s="24" t="s">
        <v>31</v>
      </c>
      <c r="H720" s="24" t="s">
        <v>7438</v>
      </c>
      <c r="I720" s="24" t="s">
        <v>7439</v>
      </c>
      <c r="J720" s="24" t="s">
        <v>7440</v>
      </c>
      <c r="K720" s="24" t="s">
        <v>7441</v>
      </c>
      <c r="L720" s="24" t="s">
        <v>84</v>
      </c>
      <c r="M720" s="15"/>
      <c r="N720" s="15"/>
      <c r="O720" s="15" t="s">
        <v>1309</v>
      </c>
      <c r="P720" s="15" t="s">
        <v>6465</v>
      </c>
      <c r="Q720" s="15"/>
      <c r="R720" s="15" t="s">
        <v>4863</v>
      </c>
      <c r="S720" s="24" t="s">
        <v>39</v>
      </c>
      <c r="T720" s="24" t="s">
        <v>39</v>
      </c>
      <c r="U720" s="24" t="s">
        <v>39</v>
      </c>
      <c r="V720" s="24" t="s">
        <v>39</v>
      </c>
      <c r="W720" s="24"/>
      <c r="X720" s="24"/>
      <c r="Y720" s="15"/>
      <c r="Z720" s="15"/>
      <c r="AA720" s="24"/>
      <c r="AB720" s="24"/>
      <c r="AC720" s="24"/>
      <c r="AD720" s="24"/>
      <c r="AE720" s="24"/>
      <c r="AF720" s="24"/>
      <c r="AG720" s="24"/>
      <c r="AH720" s="24"/>
    </row>
    <row r="721" spans="1:34" ht="30" x14ac:dyDescent="0.25">
      <c r="A721" s="24" t="str">
        <f>HYPERLINK("https://www.cpso.on.ca/DoctorDetails/Frank-George-Sommers/0019051-23838","Sommers, Frank George")</f>
        <v>Sommers, Frank George</v>
      </c>
      <c r="B721" s="25" t="s">
        <v>7442</v>
      </c>
      <c r="C721" s="24" t="s">
        <v>7443</v>
      </c>
      <c r="D721" s="24" t="s">
        <v>7444</v>
      </c>
      <c r="E721" s="24" t="s">
        <v>29</v>
      </c>
      <c r="F721" s="24" t="s">
        <v>30</v>
      </c>
      <c r="G721" s="24" t="s">
        <v>31</v>
      </c>
      <c r="H721" s="24" t="s">
        <v>2396</v>
      </c>
      <c r="I721" s="24" t="s">
        <v>7445</v>
      </c>
      <c r="J721" s="24" t="s">
        <v>7446</v>
      </c>
      <c r="K721" s="24" t="s">
        <v>7447</v>
      </c>
      <c r="L721" s="24" t="s">
        <v>52</v>
      </c>
      <c r="M721" s="15"/>
      <c r="N721" s="15"/>
      <c r="O721" s="15"/>
      <c r="P721" s="15" t="s">
        <v>2661</v>
      </c>
      <c r="Q721" s="15"/>
      <c r="R721" s="15" t="s">
        <v>7448</v>
      </c>
      <c r="S721" s="24" t="s">
        <v>39</v>
      </c>
      <c r="T721" s="24" t="s">
        <v>39</v>
      </c>
      <c r="U721" s="24" t="s">
        <v>39</v>
      </c>
      <c r="V721" s="24" t="s">
        <v>39</v>
      </c>
      <c r="W721" s="24"/>
      <c r="X721" s="24"/>
      <c r="Y721" s="15"/>
      <c r="Z721" s="15"/>
      <c r="AA721" s="24"/>
      <c r="AB721" s="24"/>
      <c r="AC721" s="24"/>
      <c r="AD721" s="24"/>
      <c r="AE721" s="24"/>
      <c r="AF721" s="24"/>
      <c r="AG721" s="24"/>
      <c r="AH721" s="24"/>
    </row>
    <row r="722" spans="1:34" ht="60" x14ac:dyDescent="0.25">
      <c r="A722" s="24" t="str">
        <f>HYPERLINK("https://www.cpso.on.ca/DoctorDetails/Frank-Jan-Mace/0037090-51066","Mace, Frank Jan")</f>
        <v>Mace, Frank Jan</v>
      </c>
      <c r="B722" s="25" t="s">
        <v>7449</v>
      </c>
      <c r="C722" s="24" t="s">
        <v>3746</v>
      </c>
      <c r="D722" s="24" t="s">
        <v>7450</v>
      </c>
      <c r="E722" s="24" t="s">
        <v>29</v>
      </c>
      <c r="F722" s="24" t="s">
        <v>30</v>
      </c>
      <c r="G722" s="24" t="s">
        <v>31</v>
      </c>
      <c r="H722" s="24" t="s">
        <v>5524</v>
      </c>
      <c r="I722" s="24" t="s">
        <v>107</v>
      </c>
      <c r="J722" s="24"/>
      <c r="K722" s="24"/>
      <c r="L722" s="24"/>
      <c r="M722" s="15"/>
      <c r="N722" s="15"/>
      <c r="O722" s="15"/>
      <c r="P722" s="15" t="s">
        <v>3443</v>
      </c>
      <c r="Q722" s="15"/>
      <c r="R722" s="15" t="s">
        <v>7451</v>
      </c>
      <c r="S722" s="24" t="s">
        <v>71</v>
      </c>
      <c r="T722" s="24" t="s">
        <v>39</v>
      </c>
      <c r="U722" s="24" t="s">
        <v>39</v>
      </c>
      <c r="V722" s="24" t="s">
        <v>71</v>
      </c>
      <c r="W722" s="24" t="s">
        <v>7452</v>
      </c>
      <c r="X722" s="24" t="s">
        <v>7453</v>
      </c>
      <c r="Y722" s="15"/>
      <c r="Z722" s="15"/>
      <c r="AA722" s="24"/>
      <c r="AB722" s="24"/>
      <c r="AC722" s="24"/>
      <c r="AD722" s="24"/>
      <c r="AE722" s="24"/>
      <c r="AF722" s="24"/>
      <c r="AG722" s="24"/>
      <c r="AH722" s="24"/>
    </row>
    <row r="723" spans="1:34" ht="45" x14ac:dyDescent="0.25">
      <c r="A723" s="24" t="str">
        <f>HYPERLINK("https://www.cpso.on.ca/DoctorDetails/Frank-Peter-Symons/0298007-104690","Symons, Frank Peter")</f>
        <v>Symons, Frank Peter</v>
      </c>
      <c r="B723" s="25" t="s">
        <v>7454</v>
      </c>
      <c r="C723" s="24" t="s">
        <v>7455</v>
      </c>
      <c r="D723" s="24" t="s">
        <v>7456</v>
      </c>
      <c r="E723" s="24" t="s">
        <v>29</v>
      </c>
      <c r="F723" s="24" t="s">
        <v>30</v>
      </c>
      <c r="G723" s="24" t="s">
        <v>31</v>
      </c>
      <c r="H723" s="24" t="s">
        <v>5003</v>
      </c>
      <c r="I723" s="24" t="s">
        <v>7457</v>
      </c>
      <c r="J723" s="24" t="s">
        <v>7458</v>
      </c>
      <c r="K723" s="24"/>
      <c r="L723" s="24" t="s">
        <v>135</v>
      </c>
      <c r="M723" s="15"/>
      <c r="N723" s="15"/>
      <c r="O723" s="15" t="s">
        <v>7459</v>
      </c>
      <c r="P723" s="15" t="s">
        <v>1270</v>
      </c>
      <c r="Q723" s="15" t="s">
        <v>7460</v>
      </c>
      <c r="R723" s="15" t="s">
        <v>7461</v>
      </c>
      <c r="S723" s="24" t="s">
        <v>39</v>
      </c>
      <c r="T723" s="24" t="s">
        <v>39</v>
      </c>
      <c r="U723" s="24" t="s">
        <v>39</v>
      </c>
      <c r="V723" s="24" t="s">
        <v>39</v>
      </c>
      <c r="W723" s="24"/>
      <c r="X723" s="24"/>
      <c r="Y723" s="15"/>
      <c r="Z723" s="15"/>
      <c r="AA723" s="24"/>
      <c r="AB723" s="24"/>
      <c r="AC723" s="24"/>
      <c r="AD723" s="24"/>
      <c r="AE723" s="24"/>
      <c r="AF723" s="24"/>
      <c r="AG723" s="24"/>
      <c r="AH723" s="24"/>
    </row>
    <row r="724" spans="1:34" ht="90" x14ac:dyDescent="0.25">
      <c r="A724" s="24" t="str">
        <f>HYPERLINK("https://www.cpso.on.ca/DoctorDetails/Franklin-Hindson-Sim/0132976-69931","Sim, Franklin Hindson")</f>
        <v>Sim, Franklin Hindson</v>
      </c>
      <c r="B724" s="25" t="s">
        <v>7462</v>
      </c>
      <c r="C724" s="24" t="s">
        <v>2673</v>
      </c>
      <c r="D724" s="24" t="s">
        <v>2674</v>
      </c>
      <c r="E724" s="24" t="s">
        <v>29</v>
      </c>
      <c r="F724" s="24" t="s">
        <v>30</v>
      </c>
      <c r="G724" s="24" t="s">
        <v>31</v>
      </c>
      <c r="H724" s="24" t="s">
        <v>7463</v>
      </c>
      <c r="I724" s="24" t="s">
        <v>7464</v>
      </c>
      <c r="J724" s="24" t="s">
        <v>2969</v>
      </c>
      <c r="K724" s="24" t="s">
        <v>2970</v>
      </c>
      <c r="L724" s="24" t="s">
        <v>340</v>
      </c>
      <c r="M724" s="15" t="s">
        <v>7465</v>
      </c>
      <c r="N724" s="15"/>
      <c r="O724" s="15" t="s">
        <v>7466</v>
      </c>
      <c r="P724" s="15" t="s">
        <v>2678</v>
      </c>
      <c r="Q724" s="15" t="s">
        <v>7467</v>
      </c>
      <c r="R724" s="15" t="s">
        <v>2680</v>
      </c>
      <c r="S724" s="24" t="s">
        <v>39</v>
      </c>
      <c r="T724" s="24" t="s">
        <v>39</v>
      </c>
      <c r="U724" s="24" t="s">
        <v>39</v>
      </c>
      <c r="V724" s="24" t="s">
        <v>39</v>
      </c>
      <c r="W724" s="24" t="s">
        <v>7468</v>
      </c>
      <c r="X724" s="24" t="s">
        <v>7469</v>
      </c>
      <c r="Y724" s="15" t="s">
        <v>7470</v>
      </c>
      <c r="Z724" s="15" t="s">
        <v>7471</v>
      </c>
      <c r="AA724" s="24"/>
      <c r="AB724" s="24"/>
      <c r="AC724" s="24"/>
      <c r="AD724" s="24"/>
      <c r="AE724" s="24"/>
      <c r="AF724" s="24"/>
      <c r="AG724" s="24"/>
      <c r="AH724" s="24"/>
    </row>
    <row r="725" spans="1:34" ht="60" x14ac:dyDescent="0.25">
      <c r="A725" s="24" t="str">
        <f>HYPERLINK("https://www.cpso.on.ca/DoctorDetails/Franklin-TzeYen-Wong/0052718-66682","Wong, Franklin Tze-Yen")</f>
        <v>Wong, Franklin Tze-Yen</v>
      </c>
      <c r="B725" s="25" t="s">
        <v>7472</v>
      </c>
      <c r="C725" s="24" t="s">
        <v>836</v>
      </c>
      <c r="D725" s="24" t="s">
        <v>7473</v>
      </c>
      <c r="E725" s="24" t="s">
        <v>29</v>
      </c>
      <c r="F725" s="24" t="s">
        <v>30</v>
      </c>
      <c r="G725" s="24" t="s">
        <v>31</v>
      </c>
      <c r="H725" s="24" t="s">
        <v>7474</v>
      </c>
      <c r="I725" s="24" t="s">
        <v>7475</v>
      </c>
      <c r="J725" s="24" t="s">
        <v>7476</v>
      </c>
      <c r="K725" s="24" t="s">
        <v>7477</v>
      </c>
      <c r="L725" s="24" t="s">
        <v>52</v>
      </c>
      <c r="M725" s="15" t="s">
        <v>7478</v>
      </c>
      <c r="N725" s="15"/>
      <c r="O725" s="15" t="s">
        <v>232</v>
      </c>
      <c r="P725" s="15" t="s">
        <v>562</v>
      </c>
      <c r="Q725" s="15" t="s">
        <v>7479</v>
      </c>
      <c r="R725" s="15" t="s">
        <v>7480</v>
      </c>
      <c r="S725" s="24" t="s">
        <v>39</v>
      </c>
      <c r="T725" s="24" t="s">
        <v>39</v>
      </c>
      <c r="U725" s="24" t="s">
        <v>39</v>
      </c>
      <c r="V725" s="24" t="s">
        <v>39</v>
      </c>
      <c r="W725" s="24" t="s">
        <v>7481</v>
      </c>
      <c r="X725" s="24" t="s">
        <v>7482</v>
      </c>
      <c r="Y725" s="15" t="s">
        <v>7483</v>
      </c>
      <c r="Z725" s="15" t="s">
        <v>7484</v>
      </c>
      <c r="AA725" s="24"/>
      <c r="AB725" s="24"/>
      <c r="AC725" s="24"/>
      <c r="AD725" s="24"/>
      <c r="AE725" s="24"/>
      <c r="AF725" s="24"/>
      <c r="AG725" s="24"/>
      <c r="AH725" s="24"/>
    </row>
    <row r="726" spans="1:34" ht="75" x14ac:dyDescent="0.25">
      <c r="A726" s="24" t="str">
        <f>HYPERLINK("https://www.cpso.on.ca/DoctorDetails/Frederic-David-Templeman/0194065-77827","Templeman, Frederic David")</f>
        <v>Templeman, Frederic David</v>
      </c>
      <c r="B726" s="25" t="s">
        <v>7485</v>
      </c>
      <c r="C726" s="24" t="s">
        <v>921</v>
      </c>
      <c r="D726" s="24" t="s">
        <v>922</v>
      </c>
      <c r="E726" s="24" t="s">
        <v>29</v>
      </c>
      <c r="F726" s="24" t="s">
        <v>30</v>
      </c>
      <c r="G726" s="24" t="s">
        <v>31</v>
      </c>
      <c r="H726" s="24" t="s">
        <v>5679</v>
      </c>
      <c r="I726" s="24" t="s">
        <v>7486</v>
      </c>
      <c r="J726" s="24" t="s">
        <v>7487</v>
      </c>
      <c r="K726" s="24" t="s">
        <v>7488</v>
      </c>
      <c r="L726" s="24" t="s">
        <v>135</v>
      </c>
      <c r="M726" s="15"/>
      <c r="N726" s="15"/>
      <c r="O726" s="15"/>
      <c r="P726" s="15" t="s">
        <v>488</v>
      </c>
      <c r="Q726" s="15" t="s">
        <v>928</v>
      </c>
      <c r="R726" s="15" t="s">
        <v>929</v>
      </c>
      <c r="S726" s="24" t="s">
        <v>39</v>
      </c>
      <c r="T726" s="24" t="s">
        <v>39</v>
      </c>
      <c r="U726" s="24" t="s">
        <v>39</v>
      </c>
      <c r="V726" s="24" t="s">
        <v>39</v>
      </c>
      <c r="W726" s="24" t="s">
        <v>7489</v>
      </c>
      <c r="X726" s="24" t="s">
        <v>7490</v>
      </c>
      <c r="Y726" s="15" t="s">
        <v>7491</v>
      </c>
      <c r="Z726" s="15" t="s">
        <v>7492</v>
      </c>
      <c r="AA726" s="24"/>
      <c r="AB726" s="24"/>
      <c r="AC726" s="24"/>
      <c r="AD726" s="24"/>
      <c r="AE726" s="24"/>
      <c r="AF726" s="24"/>
      <c r="AG726" s="24"/>
      <c r="AH726" s="24"/>
    </row>
    <row r="727" spans="1:34" ht="30" x14ac:dyDescent="0.25">
      <c r="A727" s="24" t="str">
        <f>HYPERLINK("https://www.cpso.on.ca/DoctorDetails/Frederick-Finkelberg/0028151-32974","Finkelberg, Frederick")</f>
        <v>Finkelberg, Frederick</v>
      </c>
      <c r="B727" s="25" t="s">
        <v>7493</v>
      </c>
      <c r="C727" s="24" t="s">
        <v>7494</v>
      </c>
      <c r="D727" s="24" t="s">
        <v>7495</v>
      </c>
      <c r="E727" s="24" t="s">
        <v>29</v>
      </c>
      <c r="F727" s="24" t="s">
        <v>30</v>
      </c>
      <c r="G727" s="24" t="s">
        <v>31</v>
      </c>
      <c r="H727" s="24" t="s">
        <v>1216</v>
      </c>
      <c r="I727" s="24" t="s">
        <v>7496</v>
      </c>
      <c r="J727" s="24" t="s">
        <v>7497</v>
      </c>
      <c r="K727" s="24" t="s">
        <v>7498</v>
      </c>
      <c r="L727" s="24" t="s">
        <v>52</v>
      </c>
      <c r="M727" s="15"/>
      <c r="N727" s="15" t="s">
        <v>66</v>
      </c>
      <c r="O727" s="15"/>
      <c r="P727" s="15" t="s">
        <v>7499</v>
      </c>
      <c r="Q727" s="15"/>
      <c r="R727" s="15" t="s">
        <v>7500</v>
      </c>
      <c r="S727" s="24" t="s">
        <v>39</v>
      </c>
      <c r="T727" s="24" t="s">
        <v>39</v>
      </c>
      <c r="U727" s="24" t="s">
        <v>39</v>
      </c>
      <c r="V727" s="24" t="s">
        <v>39</v>
      </c>
      <c r="W727" s="24" t="s">
        <v>7501</v>
      </c>
      <c r="X727" s="24" t="s">
        <v>7502</v>
      </c>
      <c r="Y727" s="15" t="s">
        <v>7503</v>
      </c>
      <c r="Z727" s="15" t="s">
        <v>7504</v>
      </c>
      <c r="AA727" s="24"/>
      <c r="AB727" s="24"/>
      <c r="AC727" s="24"/>
      <c r="AD727" s="24"/>
      <c r="AE727" s="24"/>
      <c r="AF727" s="24"/>
      <c r="AG727" s="24"/>
      <c r="AH727" s="24"/>
    </row>
    <row r="728" spans="1:34" ht="45" x14ac:dyDescent="0.25">
      <c r="A728" s="24" t="str">
        <f>HYPERLINK("https://www.cpso.on.ca/DoctorDetails/Frederick-Joseph-Stocker-Jr/0326176-117133","Stocker Jr, Frederick Joseph")</f>
        <v>Stocker Jr, Frederick Joseph</v>
      </c>
      <c r="B728" s="25" t="s">
        <v>7505</v>
      </c>
      <c r="C728" s="24" t="s">
        <v>7506</v>
      </c>
      <c r="D728" s="24" t="s">
        <v>7507</v>
      </c>
      <c r="E728" s="24" t="s">
        <v>29</v>
      </c>
      <c r="F728" s="24" t="s">
        <v>30</v>
      </c>
      <c r="G728" s="24" t="s">
        <v>31</v>
      </c>
      <c r="H728" s="24" t="s">
        <v>7508</v>
      </c>
      <c r="I728" s="24" t="s">
        <v>7509</v>
      </c>
      <c r="J728" s="24"/>
      <c r="K728" s="24"/>
      <c r="L728" s="24" t="s">
        <v>84</v>
      </c>
      <c r="M728" s="15"/>
      <c r="N728" s="15"/>
      <c r="O728" s="15"/>
      <c r="P728" s="15" t="s">
        <v>7510</v>
      </c>
      <c r="Q728" s="15"/>
      <c r="R728" s="15" t="s">
        <v>7511</v>
      </c>
      <c r="S728" s="24" t="s">
        <v>71</v>
      </c>
      <c r="T728" s="24" t="s">
        <v>39</v>
      </c>
      <c r="U728" s="24" t="s">
        <v>39</v>
      </c>
      <c r="V728" s="24" t="s">
        <v>39</v>
      </c>
      <c r="W728" s="24"/>
      <c r="X728" s="24"/>
      <c r="Y728" s="15"/>
      <c r="Z728" s="15"/>
      <c r="AA728" s="24"/>
      <c r="AB728" s="24"/>
      <c r="AC728" s="24"/>
      <c r="AD728" s="24"/>
      <c r="AE728" s="24"/>
      <c r="AF728" s="24"/>
      <c r="AG728" s="24"/>
      <c r="AH728" s="24"/>
    </row>
    <row r="729" spans="1:34" ht="30" x14ac:dyDescent="0.25">
      <c r="A729" s="24" t="str">
        <f>HYPERLINK("https://www.cpso.on.ca/DoctorDetails/Fredrick-Earl-Kroft/0015184-19968","Kroft, Fredrick Earl")</f>
        <v>Kroft, Fredrick Earl</v>
      </c>
      <c r="B729" s="25" t="s">
        <v>7512</v>
      </c>
      <c r="C729" s="24" t="s">
        <v>7513</v>
      </c>
      <c r="D729" s="24" t="s">
        <v>7514</v>
      </c>
      <c r="E729" s="24" t="s">
        <v>29</v>
      </c>
      <c r="F729" s="24" t="s">
        <v>30</v>
      </c>
      <c r="G729" s="24" t="s">
        <v>31</v>
      </c>
      <c r="H729" s="24" t="s">
        <v>7515</v>
      </c>
      <c r="I729" s="24" t="s">
        <v>7516</v>
      </c>
      <c r="J729" s="24" t="s">
        <v>7517</v>
      </c>
      <c r="K729" s="24" t="s">
        <v>7518</v>
      </c>
      <c r="L729" s="24" t="s">
        <v>52</v>
      </c>
      <c r="M729" s="15" t="s">
        <v>7519</v>
      </c>
      <c r="N729" s="15"/>
      <c r="O729" s="15" t="s">
        <v>7520</v>
      </c>
      <c r="P729" s="15" t="s">
        <v>7521</v>
      </c>
      <c r="Q729" s="15"/>
      <c r="R729" s="15" t="s">
        <v>7522</v>
      </c>
      <c r="S729" s="24" t="s">
        <v>39</v>
      </c>
      <c r="T729" s="24" t="s">
        <v>39</v>
      </c>
      <c r="U729" s="24" t="s">
        <v>39</v>
      </c>
      <c r="V729" s="24" t="s">
        <v>39</v>
      </c>
      <c r="W729" s="24"/>
      <c r="X729" s="24"/>
      <c r="Y729" s="15"/>
      <c r="Z729" s="15"/>
      <c r="AA729" s="24"/>
      <c r="AB729" s="24"/>
      <c r="AC729" s="24"/>
      <c r="AD729" s="24"/>
      <c r="AE729" s="24"/>
      <c r="AF729" s="24"/>
      <c r="AG729" s="24"/>
      <c r="AH729" s="24"/>
    </row>
    <row r="730" spans="1:34" ht="90" x14ac:dyDescent="0.25">
      <c r="A730" s="24" t="str">
        <f>HYPERLINK("https://www.cpso.on.ca/DoctorDetails/Gabrielle-Helena-Ledger/0200743-79537","Ledger, Gabrielle Helena")</f>
        <v>Ledger, Gabrielle Helena</v>
      </c>
      <c r="B730" s="25" t="s">
        <v>7523</v>
      </c>
      <c r="C730" s="24" t="s">
        <v>7524</v>
      </c>
      <c r="D730" s="24" t="s">
        <v>7525</v>
      </c>
      <c r="E730" s="24" t="s">
        <v>7526</v>
      </c>
      <c r="F730" s="24" t="s">
        <v>47</v>
      </c>
      <c r="G730" s="24" t="s">
        <v>31</v>
      </c>
      <c r="H730" s="24" t="s">
        <v>1604</v>
      </c>
      <c r="I730" s="24" t="s">
        <v>7527</v>
      </c>
      <c r="J730" s="24" t="s">
        <v>7528</v>
      </c>
      <c r="K730" s="24" t="s">
        <v>7529</v>
      </c>
      <c r="L730" s="24" t="s">
        <v>36</v>
      </c>
      <c r="M730" s="15" t="s">
        <v>7530</v>
      </c>
      <c r="N730" s="15"/>
      <c r="O730" s="15"/>
      <c r="P730" s="15" t="s">
        <v>55</v>
      </c>
      <c r="Q730" s="15" t="s">
        <v>7531</v>
      </c>
      <c r="R730" s="15" t="s">
        <v>7532</v>
      </c>
      <c r="S730" s="24" t="s">
        <v>39</v>
      </c>
      <c r="T730" s="24" t="s">
        <v>39</v>
      </c>
      <c r="U730" s="24" t="s">
        <v>39</v>
      </c>
      <c r="V730" s="24" t="s">
        <v>39</v>
      </c>
      <c r="W730" s="24"/>
      <c r="X730" s="24"/>
      <c r="Y730" s="15"/>
      <c r="Z730" s="15"/>
      <c r="AA730" s="24"/>
      <c r="AB730" s="24"/>
      <c r="AC730" s="24"/>
      <c r="AD730" s="24"/>
      <c r="AE730" s="24"/>
      <c r="AF730" s="24"/>
      <c r="AG730" s="24"/>
      <c r="AH730" s="24"/>
    </row>
    <row r="731" spans="1:34" ht="90" x14ac:dyDescent="0.25">
      <c r="A731" s="24" t="str">
        <f>HYPERLINK("https://www.cpso.on.ca/DoctorDetails/Gabrielle-Marie-Louise-Cyr/0258469-91687","Cyr, Gabrielle Marie Louise")</f>
        <v>Cyr, Gabrielle Marie Louise</v>
      </c>
      <c r="B731" s="25" t="s">
        <v>7533</v>
      </c>
      <c r="C731" s="24" t="s">
        <v>7534</v>
      </c>
      <c r="D731" s="24" t="s">
        <v>7535</v>
      </c>
      <c r="E731" s="24" t="s">
        <v>29</v>
      </c>
      <c r="F731" s="24" t="s">
        <v>47</v>
      </c>
      <c r="G731" s="24" t="s">
        <v>31</v>
      </c>
      <c r="H731" s="24" t="s">
        <v>7536</v>
      </c>
      <c r="I731" s="24" t="s">
        <v>7537</v>
      </c>
      <c r="J731" s="24" t="s">
        <v>7538</v>
      </c>
      <c r="K731" s="24"/>
      <c r="L731" s="24" t="s">
        <v>84</v>
      </c>
      <c r="M731" s="15"/>
      <c r="N731" s="15"/>
      <c r="O731" s="15"/>
      <c r="P731" s="15" t="s">
        <v>7539</v>
      </c>
      <c r="Q731" s="15" t="s">
        <v>7540</v>
      </c>
      <c r="R731" s="15" t="s">
        <v>7541</v>
      </c>
      <c r="S731" s="24" t="s">
        <v>39</v>
      </c>
      <c r="T731" s="24" t="s">
        <v>39</v>
      </c>
      <c r="U731" s="24" t="s">
        <v>39</v>
      </c>
      <c r="V731" s="24" t="s">
        <v>39</v>
      </c>
      <c r="W731" s="24"/>
      <c r="X731" s="24"/>
      <c r="Y731" s="15"/>
      <c r="Z731" s="15"/>
      <c r="AA731" s="24"/>
      <c r="AB731" s="24"/>
      <c r="AC731" s="24"/>
      <c r="AD731" s="24"/>
      <c r="AE731" s="24"/>
      <c r="AF731" s="24"/>
      <c r="AG731" s="24"/>
      <c r="AH731" s="24"/>
    </row>
    <row r="732" spans="1:34" ht="75" x14ac:dyDescent="0.25">
      <c r="A732" s="24" t="str">
        <f>HYPERLINK("https://www.cpso.on.ca/DoctorDetails/Gagan-Singh-Gaind/0041360-55336","Gaind, Gagan Singh")</f>
        <v>Gaind, Gagan Singh</v>
      </c>
      <c r="B732" s="25" t="s">
        <v>7542</v>
      </c>
      <c r="C732" s="24" t="s">
        <v>2132</v>
      </c>
      <c r="D732" s="24" t="s">
        <v>3874</v>
      </c>
      <c r="E732" s="24" t="s">
        <v>29</v>
      </c>
      <c r="F732" s="24" t="s">
        <v>30</v>
      </c>
      <c r="G732" s="24" t="s">
        <v>31</v>
      </c>
      <c r="H732" s="24" t="s">
        <v>4592</v>
      </c>
      <c r="I732" s="24" t="s">
        <v>7543</v>
      </c>
      <c r="J732" s="24" t="s">
        <v>7544</v>
      </c>
      <c r="K732" s="24"/>
      <c r="L732" s="24" t="s">
        <v>184</v>
      </c>
      <c r="M732" s="15"/>
      <c r="N732" s="15"/>
      <c r="O732" s="15" t="s">
        <v>726</v>
      </c>
      <c r="P732" s="15" t="s">
        <v>2908</v>
      </c>
      <c r="Q732" s="15" t="s">
        <v>7545</v>
      </c>
      <c r="R732" s="15" t="s">
        <v>7546</v>
      </c>
      <c r="S732" s="24" t="s">
        <v>39</v>
      </c>
      <c r="T732" s="24" t="s">
        <v>39</v>
      </c>
      <c r="U732" s="24" t="s">
        <v>39</v>
      </c>
      <c r="V732" s="24" t="s">
        <v>39</v>
      </c>
      <c r="W732" s="24" t="s">
        <v>7547</v>
      </c>
      <c r="X732" s="24" t="s">
        <v>7548</v>
      </c>
      <c r="Y732" s="15" t="s">
        <v>7549</v>
      </c>
      <c r="Z732" s="15" t="s">
        <v>7550</v>
      </c>
      <c r="AA732" s="24"/>
      <c r="AB732" s="24"/>
      <c r="AC732" s="24"/>
      <c r="AD732" s="24"/>
      <c r="AE732" s="24"/>
      <c r="AF732" s="24"/>
      <c r="AG732" s="24"/>
      <c r="AH732" s="24"/>
    </row>
    <row r="733" spans="1:34" ht="105" x14ac:dyDescent="0.25">
      <c r="A733" s="24" t="str">
        <f>HYPERLINK("https://www.cpso.on.ca/DoctorDetails/Gaiathry-Jeyarajan/0280850-98909","Jeyarajan, Gaiathry")</f>
        <v>Jeyarajan, Gaiathry</v>
      </c>
      <c r="B733" s="25" t="s">
        <v>7551</v>
      </c>
      <c r="C733" s="24" t="s">
        <v>3052</v>
      </c>
      <c r="D733" s="24" t="s">
        <v>545</v>
      </c>
      <c r="E733" s="24" t="s">
        <v>29</v>
      </c>
      <c r="F733" s="24" t="s">
        <v>47</v>
      </c>
      <c r="G733" s="24" t="s">
        <v>31</v>
      </c>
      <c r="H733" s="24" t="s">
        <v>7552</v>
      </c>
      <c r="I733" s="24" t="s">
        <v>7553</v>
      </c>
      <c r="J733" s="24" t="s">
        <v>6099</v>
      </c>
      <c r="K733" s="24"/>
      <c r="L733" s="24" t="s">
        <v>328</v>
      </c>
      <c r="M733" s="15"/>
      <c r="N733" s="15"/>
      <c r="O733" s="15"/>
      <c r="P733" s="15" t="s">
        <v>550</v>
      </c>
      <c r="Q733" s="15" t="s">
        <v>3728</v>
      </c>
      <c r="R733" s="15" t="s">
        <v>7554</v>
      </c>
      <c r="S733" s="24" t="s">
        <v>39</v>
      </c>
      <c r="T733" s="24" t="s">
        <v>39</v>
      </c>
      <c r="U733" s="24" t="s">
        <v>39</v>
      </c>
      <c r="V733" s="24" t="s">
        <v>39</v>
      </c>
      <c r="W733" s="24" t="s">
        <v>7555</v>
      </c>
      <c r="X733" s="24" t="s">
        <v>7556</v>
      </c>
      <c r="Y733" s="15" t="s">
        <v>7557</v>
      </c>
      <c r="Z733" s="15" t="s">
        <v>7558</v>
      </c>
      <c r="AA733" s="24"/>
      <c r="AB733" s="24"/>
      <c r="AC733" s="24"/>
      <c r="AD733" s="24"/>
      <c r="AE733" s="24"/>
      <c r="AF733" s="24"/>
      <c r="AG733" s="24"/>
      <c r="AH733" s="24"/>
    </row>
    <row r="734" spans="1:34" ht="45" x14ac:dyDescent="0.25">
      <c r="A734" s="24" t="str">
        <f>HYPERLINK("https://www.cpso.on.ca/DoctorDetails/Gail-Maureen-Beck/0038112-52088","Beck, Gail Maureen")</f>
        <v>Beck, Gail Maureen</v>
      </c>
      <c r="B734" s="25" t="s">
        <v>7559</v>
      </c>
      <c r="C734" s="24" t="s">
        <v>7560</v>
      </c>
      <c r="D734" s="24" t="s">
        <v>7561</v>
      </c>
      <c r="E734" s="24" t="s">
        <v>29</v>
      </c>
      <c r="F734" s="24" t="s">
        <v>47</v>
      </c>
      <c r="G734" s="24" t="s">
        <v>813</v>
      </c>
      <c r="H734" s="24" t="s">
        <v>7562</v>
      </c>
      <c r="I734" s="24" t="s">
        <v>742</v>
      </c>
      <c r="J734" s="24" t="s">
        <v>7563</v>
      </c>
      <c r="K734" s="24"/>
      <c r="L734" s="24" t="s">
        <v>84</v>
      </c>
      <c r="M734" s="15"/>
      <c r="N734" s="15"/>
      <c r="O734" s="15" t="s">
        <v>2156</v>
      </c>
      <c r="P734" s="15" t="s">
        <v>4853</v>
      </c>
      <c r="Q734" s="15"/>
      <c r="R734" s="15" t="s">
        <v>7564</v>
      </c>
      <c r="S734" s="24" t="s">
        <v>39</v>
      </c>
      <c r="T734" s="24" t="s">
        <v>39</v>
      </c>
      <c r="U734" s="24" t="s">
        <v>39</v>
      </c>
      <c r="V734" s="24" t="s">
        <v>39</v>
      </c>
      <c r="W734" s="24" t="s">
        <v>7565</v>
      </c>
      <c r="X734" s="24" t="s">
        <v>7566</v>
      </c>
      <c r="Y734" s="15" t="s">
        <v>7567</v>
      </c>
      <c r="Z734" s="15" t="s">
        <v>2554</v>
      </c>
      <c r="AA734" s="24"/>
      <c r="AB734" s="24"/>
      <c r="AC734" s="24"/>
      <c r="AD734" s="24"/>
      <c r="AE734" s="24"/>
      <c r="AF734" s="24"/>
      <c r="AG734" s="24"/>
      <c r="AH734" s="24"/>
    </row>
    <row r="735" spans="1:34" ht="90" x14ac:dyDescent="0.25">
      <c r="A735" s="24" t="str">
        <f>HYPERLINK("https://www.cpso.on.ca/DoctorDetails/Gamal-Moustafa-Sayed-Salama/0198799-78650","Salama, Gamal Moustafa Sayed")</f>
        <v>Salama, Gamal Moustafa Sayed</v>
      </c>
      <c r="B735" s="25" t="s">
        <v>7568</v>
      </c>
      <c r="C735" s="24" t="s">
        <v>3006</v>
      </c>
      <c r="D735" s="24" t="s">
        <v>7569</v>
      </c>
      <c r="E735" s="24" t="s">
        <v>29</v>
      </c>
      <c r="F735" s="24" t="s">
        <v>30</v>
      </c>
      <c r="G735" s="24" t="s">
        <v>105</v>
      </c>
      <c r="H735" s="24" t="s">
        <v>7570</v>
      </c>
      <c r="I735" s="24" t="s">
        <v>7571</v>
      </c>
      <c r="J735" s="24" t="s">
        <v>7572</v>
      </c>
      <c r="K735" s="24"/>
      <c r="L735" s="24" t="s">
        <v>36</v>
      </c>
      <c r="M735" s="15" t="s">
        <v>7573</v>
      </c>
      <c r="N735" s="15"/>
      <c r="O735" s="15"/>
      <c r="P735" s="15" t="s">
        <v>7574</v>
      </c>
      <c r="Q735" s="15" t="s">
        <v>7575</v>
      </c>
      <c r="R735" s="15" t="s">
        <v>7576</v>
      </c>
      <c r="S735" s="24" t="s">
        <v>39</v>
      </c>
      <c r="T735" s="24" t="s">
        <v>39</v>
      </c>
      <c r="U735" s="24" t="s">
        <v>39</v>
      </c>
      <c r="V735" s="24" t="s">
        <v>39</v>
      </c>
      <c r="W735" s="24" t="s">
        <v>7577</v>
      </c>
      <c r="X735" s="24" t="s">
        <v>749</v>
      </c>
      <c r="Y735" s="15" t="s">
        <v>7578</v>
      </c>
      <c r="Z735" s="15" t="s">
        <v>7579</v>
      </c>
      <c r="AA735" s="24"/>
      <c r="AB735" s="24"/>
      <c r="AC735" s="24"/>
      <c r="AD735" s="24"/>
      <c r="AE735" s="24"/>
      <c r="AF735" s="24"/>
      <c r="AG735" s="24"/>
      <c r="AH735" s="24"/>
    </row>
    <row r="736" spans="1:34" ht="90" x14ac:dyDescent="0.25">
      <c r="A736" s="24" t="str">
        <f>HYPERLINK("https://www.cpso.on.ca/DoctorDetails/Garen-Gharakhanian/0040521-54497","Gharakhanian, Garen")</f>
        <v>Gharakhanian, Garen</v>
      </c>
      <c r="B736" s="25" t="s">
        <v>7580</v>
      </c>
      <c r="C736" s="24" t="s">
        <v>704</v>
      </c>
      <c r="D736" s="24" t="s">
        <v>7581</v>
      </c>
      <c r="E736" s="24" t="s">
        <v>29</v>
      </c>
      <c r="F736" s="24" t="s">
        <v>30</v>
      </c>
      <c r="G736" s="24" t="s">
        <v>7582</v>
      </c>
      <c r="H736" s="24" t="s">
        <v>7583</v>
      </c>
      <c r="I736" s="24" t="s">
        <v>7584</v>
      </c>
      <c r="J736" s="24" t="s">
        <v>7585</v>
      </c>
      <c r="K736" s="24" t="s">
        <v>7586</v>
      </c>
      <c r="L736" s="24"/>
      <c r="M736" s="15"/>
      <c r="N736" s="15" t="s">
        <v>7587</v>
      </c>
      <c r="O736" s="15"/>
      <c r="P736" s="15" t="s">
        <v>7588</v>
      </c>
      <c r="Q736" s="15" t="s">
        <v>7589</v>
      </c>
      <c r="R736" s="15" t="s">
        <v>7590</v>
      </c>
      <c r="S736" s="24" t="s">
        <v>39</v>
      </c>
      <c r="T736" s="24" t="s">
        <v>39</v>
      </c>
      <c r="U736" s="24" t="s">
        <v>39</v>
      </c>
      <c r="V736" s="24" t="s">
        <v>39</v>
      </c>
      <c r="W736" s="24"/>
      <c r="X736" s="24"/>
      <c r="Y736" s="15"/>
      <c r="Z736" s="15"/>
      <c r="AA736" s="24"/>
      <c r="AB736" s="24"/>
      <c r="AC736" s="24"/>
      <c r="AD736" s="24"/>
      <c r="AE736" s="24"/>
      <c r="AF736" s="24"/>
      <c r="AG736" s="24"/>
      <c r="AH736" s="24"/>
    </row>
    <row r="737" spans="1:34" ht="90" x14ac:dyDescent="0.25">
      <c r="A737" s="24" t="str">
        <f>HYPERLINK("https://www.cpso.on.ca/DoctorDetails/Garry-Yehudah-Shomair/0022935-27726","Shomair, Garry Yehudah")</f>
        <v>Shomair, Garry Yehudah</v>
      </c>
      <c r="B737" s="25" t="s">
        <v>7591</v>
      </c>
      <c r="C737" s="24" t="s">
        <v>7592</v>
      </c>
      <c r="D737" s="24" t="s">
        <v>7593</v>
      </c>
      <c r="E737" s="24" t="s">
        <v>29</v>
      </c>
      <c r="F737" s="24" t="s">
        <v>30</v>
      </c>
      <c r="G737" s="24" t="s">
        <v>31</v>
      </c>
      <c r="H737" s="24" t="s">
        <v>7012</v>
      </c>
      <c r="I737" s="24" t="s">
        <v>7594</v>
      </c>
      <c r="J737" s="24" t="s">
        <v>7595</v>
      </c>
      <c r="K737" s="24" t="s">
        <v>7596</v>
      </c>
      <c r="L737" s="24" t="s">
        <v>52</v>
      </c>
      <c r="M737" s="15"/>
      <c r="N737" s="15"/>
      <c r="O737" s="15" t="s">
        <v>121</v>
      </c>
      <c r="P737" s="15" t="s">
        <v>7597</v>
      </c>
      <c r="Q737" s="15"/>
      <c r="R737" s="15" t="s">
        <v>7598</v>
      </c>
      <c r="S737" s="24" t="s">
        <v>71</v>
      </c>
      <c r="T737" s="24" t="s">
        <v>71</v>
      </c>
      <c r="U737" s="24" t="s">
        <v>39</v>
      </c>
      <c r="V737" s="24" t="s">
        <v>71</v>
      </c>
      <c r="W737" s="24" t="s">
        <v>7599</v>
      </c>
      <c r="X737" s="24" t="s">
        <v>7600</v>
      </c>
      <c r="Y737" s="15" t="s">
        <v>7601</v>
      </c>
      <c r="Z737" s="15" t="s">
        <v>7602</v>
      </c>
      <c r="AA737" s="24"/>
      <c r="AB737" s="24"/>
      <c r="AC737" s="24"/>
      <c r="AD737" s="24"/>
      <c r="AE737" s="24"/>
      <c r="AF737" s="24"/>
      <c r="AG737" s="24"/>
      <c r="AH737" s="24"/>
    </row>
    <row r="738" spans="1:34" ht="30" x14ac:dyDescent="0.25">
      <c r="A738" s="24" t="str">
        <f>HYPERLINK("https://www.cpso.on.ca/DoctorDetails/Gary-Andrew-Chaimowitz/0042121-56099","Chaimowitz, Gary Andrew")</f>
        <v>Chaimowitz, Gary Andrew</v>
      </c>
      <c r="B738" s="25" t="s">
        <v>7603</v>
      </c>
      <c r="C738" s="24" t="s">
        <v>2132</v>
      </c>
      <c r="D738" s="24" t="s">
        <v>7604</v>
      </c>
      <c r="E738" s="24" t="s">
        <v>29</v>
      </c>
      <c r="F738" s="24" t="s">
        <v>30</v>
      </c>
      <c r="G738" s="24" t="s">
        <v>31</v>
      </c>
      <c r="H738" s="24" t="s">
        <v>7605</v>
      </c>
      <c r="I738" s="24" t="s">
        <v>7606</v>
      </c>
      <c r="J738" s="24" t="s">
        <v>7607</v>
      </c>
      <c r="K738" s="24" t="s">
        <v>7608</v>
      </c>
      <c r="L738" s="24" t="s">
        <v>184</v>
      </c>
      <c r="M738" s="15"/>
      <c r="N738" s="15" t="s">
        <v>7609</v>
      </c>
      <c r="O738" s="15" t="s">
        <v>4002</v>
      </c>
      <c r="P738" s="15" t="s">
        <v>868</v>
      </c>
      <c r="Q738" s="15"/>
      <c r="R738" s="15" t="s">
        <v>7610</v>
      </c>
      <c r="S738" s="24" t="s">
        <v>39</v>
      </c>
      <c r="T738" s="24" t="s">
        <v>39</v>
      </c>
      <c r="U738" s="24" t="s">
        <v>39</v>
      </c>
      <c r="V738" s="24" t="s">
        <v>39</v>
      </c>
      <c r="W738" s="24"/>
      <c r="X738" s="24"/>
      <c r="Y738" s="15"/>
      <c r="Z738" s="15"/>
      <c r="AA738" s="24"/>
      <c r="AB738" s="24"/>
      <c r="AC738" s="24"/>
      <c r="AD738" s="24"/>
      <c r="AE738" s="24"/>
      <c r="AF738" s="24"/>
      <c r="AG738" s="24"/>
      <c r="AH738" s="24"/>
    </row>
    <row r="739" spans="1:34" ht="75" x14ac:dyDescent="0.25">
      <c r="A739" s="24" t="str">
        <f>HYPERLINK("https://www.cpso.on.ca/DoctorDetails/Gary-James-Remington/0037514-51490","Remington, Gary James")</f>
        <v>Remington, Gary James</v>
      </c>
      <c r="B739" s="25" t="s">
        <v>7611</v>
      </c>
      <c r="C739" s="24" t="s">
        <v>7612</v>
      </c>
      <c r="D739" s="24" t="s">
        <v>7613</v>
      </c>
      <c r="E739" s="24" t="s">
        <v>29</v>
      </c>
      <c r="F739" s="24" t="s">
        <v>30</v>
      </c>
      <c r="G739" s="24" t="s">
        <v>31</v>
      </c>
      <c r="H739" s="24" t="s">
        <v>2805</v>
      </c>
      <c r="I739" s="24" t="s">
        <v>5306</v>
      </c>
      <c r="J739" s="24" t="s">
        <v>7614</v>
      </c>
      <c r="K739" s="24" t="s">
        <v>7615</v>
      </c>
      <c r="L739" s="24" t="s">
        <v>52</v>
      </c>
      <c r="M739" s="15"/>
      <c r="N739" s="15"/>
      <c r="O739" s="15" t="s">
        <v>793</v>
      </c>
      <c r="P739" s="15" t="s">
        <v>2876</v>
      </c>
      <c r="Q739" s="15" t="s">
        <v>7616</v>
      </c>
      <c r="R739" s="15" t="s">
        <v>7617</v>
      </c>
      <c r="S739" s="24" t="s">
        <v>39</v>
      </c>
      <c r="T739" s="24" t="s">
        <v>39</v>
      </c>
      <c r="U739" s="24" t="s">
        <v>39</v>
      </c>
      <c r="V739" s="24" t="s">
        <v>39</v>
      </c>
      <c r="W739" s="24" t="s">
        <v>7618</v>
      </c>
      <c r="X739" s="24" t="s">
        <v>7619</v>
      </c>
      <c r="Y739" s="15" t="s">
        <v>7620</v>
      </c>
      <c r="Z739" s="15" t="s">
        <v>7621</v>
      </c>
      <c r="AA739" s="24"/>
      <c r="AB739" s="24"/>
      <c r="AC739" s="24"/>
      <c r="AD739" s="24"/>
      <c r="AE739" s="24"/>
      <c r="AF739" s="24"/>
      <c r="AG739" s="24"/>
      <c r="AH739" s="24"/>
    </row>
    <row r="740" spans="1:34" ht="75" x14ac:dyDescent="0.25">
      <c r="A740" s="24" t="str">
        <f>HYPERLINK("https://www.cpso.on.ca/DoctorDetails/Gary-Marcel-Hasey/0031892-43872","Hasey, Gary Marcel")</f>
        <v>Hasey, Gary Marcel</v>
      </c>
      <c r="B740" s="25" t="s">
        <v>7622</v>
      </c>
      <c r="C740" s="24" t="s">
        <v>432</v>
      </c>
      <c r="D740" s="24" t="s">
        <v>433</v>
      </c>
      <c r="E740" s="24" t="s">
        <v>29</v>
      </c>
      <c r="F740" s="24" t="s">
        <v>30</v>
      </c>
      <c r="G740" s="24" t="s">
        <v>31</v>
      </c>
      <c r="H740" s="24" t="s">
        <v>741</v>
      </c>
      <c r="I740" s="24" t="s">
        <v>7623</v>
      </c>
      <c r="J740" s="24" t="s">
        <v>7624</v>
      </c>
      <c r="K740" s="24"/>
      <c r="L740" s="24" t="s">
        <v>184</v>
      </c>
      <c r="M740" s="15"/>
      <c r="N740" s="15"/>
      <c r="O740" s="15" t="s">
        <v>1135</v>
      </c>
      <c r="P740" s="15" t="s">
        <v>745</v>
      </c>
      <c r="Q740" s="15"/>
      <c r="R740" s="15" t="s">
        <v>7625</v>
      </c>
      <c r="S740" s="24" t="s">
        <v>39</v>
      </c>
      <c r="T740" s="24" t="s">
        <v>39</v>
      </c>
      <c r="U740" s="24" t="s">
        <v>39</v>
      </c>
      <c r="V740" s="24" t="s">
        <v>39</v>
      </c>
      <c r="W740" s="24"/>
      <c r="X740" s="24"/>
      <c r="Y740" s="15"/>
      <c r="Z740" s="15"/>
      <c r="AA740" s="24"/>
      <c r="AB740" s="24"/>
      <c r="AC740" s="24"/>
      <c r="AD740" s="24"/>
      <c r="AE740" s="24"/>
      <c r="AF740" s="24"/>
      <c r="AG740" s="24"/>
      <c r="AH740" s="24"/>
    </row>
    <row r="741" spans="1:34" ht="60" x14ac:dyDescent="0.25">
      <c r="A741" s="24" t="str">
        <f>HYPERLINK("https://www.cpso.on.ca/DoctorDetails/Gary-Michael-Rodin/0022374-27164","Rodin, Gary Michael")</f>
        <v>Rodin, Gary Michael</v>
      </c>
      <c r="B741" s="25" t="s">
        <v>7626</v>
      </c>
      <c r="C741" s="24" t="s">
        <v>7627</v>
      </c>
      <c r="D741" s="24" t="s">
        <v>7628</v>
      </c>
      <c r="E741" s="24" t="s">
        <v>29</v>
      </c>
      <c r="F741" s="24" t="s">
        <v>30</v>
      </c>
      <c r="G741" s="24" t="s">
        <v>31</v>
      </c>
      <c r="H741" s="24" t="s">
        <v>2405</v>
      </c>
      <c r="I741" s="24" t="s">
        <v>7629</v>
      </c>
      <c r="J741" s="24" t="s">
        <v>7630</v>
      </c>
      <c r="K741" s="24" t="s">
        <v>7631</v>
      </c>
      <c r="L741" s="24" t="s">
        <v>52</v>
      </c>
      <c r="M741" s="15"/>
      <c r="N741" s="15"/>
      <c r="O741" s="15" t="s">
        <v>5784</v>
      </c>
      <c r="P741" s="15" t="s">
        <v>3887</v>
      </c>
      <c r="Q741" s="15"/>
      <c r="R741" s="15" t="s">
        <v>7632</v>
      </c>
      <c r="S741" s="24" t="s">
        <v>39</v>
      </c>
      <c r="T741" s="24" t="s">
        <v>39</v>
      </c>
      <c r="U741" s="24" t="s">
        <v>39</v>
      </c>
      <c r="V741" s="24" t="s">
        <v>39</v>
      </c>
      <c r="W741" s="24" t="s">
        <v>7633</v>
      </c>
      <c r="X741" s="24" t="s">
        <v>7634</v>
      </c>
      <c r="Y741" s="15" t="s">
        <v>7635</v>
      </c>
      <c r="Z741" s="15" t="s">
        <v>7636</v>
      </c>
      <c r="AA741" s="24"/>
      <c r="AB741" s="24"/>
      <c r="AC741" s="24"/>
      <c r="AD741" s="24"/>
      <c r="AE741" s="24"/>
      <c r="AF741" s="24"/>
      <c r="AG741" s="24"/>
      <c r="AH741" s="24"/>
    </row>
    <row r="742" spans="1:34" ht="75" x14ac:dyDescent="0.25">
      <c r="A742" s="24" t="str">
        <f>HYPERLINK("https://www.cpso.on.ca/DoctorDetails/Gary-Peter-Kay/0181953-76050","Kay, Gary Peter")</f>
        <v>Kay, Gary Peter</v>
      </c>
      <c r="B742" s="25" t="s">
        <v>7637</v>
      </c>
      <c r="C742" s="24" t="s">
        <v>1130</v>
      </c>
      <c r="D742" s="24" t="s">
        <v>4401</v>
      </c>
      <c r="E742" s="24" t="s">
        <v>29</v>
      </c>
      <c r="F742" s="24" t="s">
        <v>30</v>
      </c>
      <c r="G742" s="24" t="s">
        <v>31</v>
      </c>
      <c r="H742" s="24" t="s">
        <v>7638</v>
      </c>
      <c r="I742" s="24" t="s">
        <v>7639</v>
      </c>
      <c r="J742" s="24" t="s">
        <v>7640</v>
      </c>
      <c r="K742" s="24" t="s">
        <v>6323</v>
      </c>
      <c r="L742" s="24" t="s">
        <v>84</v>
      </c>
      <c r="M742" s="15" t="s">
        <v>7641</v>
      </c>
      <c r="N742" s="15"/>
      <c r="O742" s="15" t="s">
        <v>7642</v>
      </c>
      <c r="P742" s="15" t="s">
        <v>1149</v>
      </c>
      <c r="Q742" s="15" t="s">
        <v>7643</v>
      </c>
      <c r="R742" s="15" t="s">
        <v>4407</v>
      </c>
      <c r="S742" s="24" t="s">
        <v>39</v>
      </c>
      <c r="T742" s="24" t="s">
        <v>39</v>
      </c>
      <c r="U742" s="24" t="s">
        <v>39</v>
      </c>
      <c r="V742" s="24" t="s">
        <v>39</v>
      </c>
      <c r="W742" s="24" t="s">
        <v>7644</v>
      </c>
      <c r="X742" s="24" t="s">
        <v>7645</v>
      </c>
      <c r="Y742" s="15" t="s">
        <v>7646</v>
      </c>
      <c r="Z742" s="15" t="s">
        <v>7647</v>
      </c>
      <c r="AA742" s="24"/>
      <c r="AB742" s="24"/>
      <c r="AC742" s="24"/>
      <c r="AD742" s="24"/>
      <c r="AE742" s="24"/>
      <c r="AF742" s="24"/>
      <c r="AG742" s="24"/>
      <c r="AH742" s="24"/>
    </row>
    <row r="743" spans="1:34" ht="45" x14ac:dyDescent="0.25">
      <c r="A743" s="24" t="str">
        <f>HYPERLINK("https://www.cpso.on.ca/DoctorDetails/Gary-Stephen-Taerk/0024416-29238","Taerk, Gary Stephen")</f>
        <v>Taerk, Gary Stephen</v>
      </c>
      <c r="B743" s="25" t="s">
        <v>7648</v>
      </c>
      <c r="C743" s="24" t="s">
        <v>7649</v>
      </c>
      <c r="D743" s="24" t="s">
        <v>7650</v>
      </c>
      <c r="E743" s="24" t="s">
        <v>29</v>
      </c>
      <c r="F743" s="24" t="s">
        <v>30</v>
      </c>
      <c r="G743" s="24" t="s">
        <v>31</v>
      </c>
      <c r="H743" s="24" t="s">
        <v>455</v>
      </c>
      <c r="I743" s="24" t="s">
        <v>7651</v>
      </c>
      <c r="J743" s="24" t="s">
        <v>7652</v>
      </c>
      <c r="K743" s="24"/>
      <c r="L743" s="24" t="s">
        <v>52</v>
      </c>
      <c r="M743" s="15"/>
      <c r="N743" s="15"/>
      <c r="O743" s="15" t="s">
        <v>1867</v>
      </c>
      <c r="P743" s="15" t="s">
        <v>7653</v>
      </c>
      <c r="Q743" s="15"/>
      <c r="R743" s="15" t="s">
        <v>7654</v>
      </c>
      <c r="S743" s="24" t="s">
        <v>39</v>
      </c>
      <c r="T743" s="24" t="s">
        <v>39</v>
      </c>
      <c r="U743" s="24" t="s">
        <v>39</v>
      </c>
      <c r="V743" s="24" t="s">
        <v>39</v>
      </c>
      <c r="W743" s="24" t="s">
        <v>7655</v>
      </c>
      <c r="X743" s="24" t="s">
        <v>7656</v>
      </c>
      <c r="Y743" s="15" t="s">
        <v>7657</v>
      </c>
      <c r="Z743" s="15" t="s">
        <v>7658</v>
      </c>
      <c r="AA743" s="24"/>
      <c r="AB743" s="24"/>
      <c r="AC743" s="24"/>
      <c r="AD743" s="24"/>
      <c r="AE743" s="24"/>
      <c r="AF743" s="24"/>
      <c r="AG743" s="24"/>
      <c r="AH743" s="24"/>
    </row>
    <row r="744" spans="1:34" ht="90" x14ac:dyDescent="0.25">
      <c r="A744" s="24" t="str">
        <f>HYPERLINK("https://www.cpso.on.ca/DoctorDetails/Gaurav-Mehta/0291012-102148","Mehta, Gaurav")</f>
        <v>Mehta, Gaurav</v>
      </c>
      <c r="B744" s="25" t="s">
        <v>7659</v>
      </c>
      <c r="C744" s="24" t="s">
        <v>7361</v>
      </c>
      <c r="D744" s="24" t="s">
        <v>7660</v>
      </c>
      <c r="E744" s="24" t="s">
        <v>29</v>
      </c>
      <c r="F744" s="24" t="s">
        <v>30</v>
      </c>
      <c r="G744" s="24" t="s">
        <v>61</v>
      </c>
      <c r="H744" s="24" t="s">
        <v>7661</v>
      </c>
      <c r="I744" s="24" t="s">
        <v>7662</v>
      </c>
      <c r="J744" s="24" t="s">
        <v>7663</v>
      </c>
      <c r="K744" s="24" t="s">
        <v>7664</v>
      </c>
      <c r="L744" s="24" t="s">
        <v>36</v>
      </c>
      <c r="M744" s="15"/>
      <c r="N744" s="15" t="s">
        <v>4485</v>
      </c>
      <c r="O744" s="15" t="s">
        <v>4094</v>
      </c>
      <c r="P744" s="15" t="s">
        <v>425</v>
      </c>
      <c r="Q744" s="15"/>
      <c r="R744" s="15" t="s">
        <v>7665</v>
      </c>
      <c r="S744" s="24" t="s">
        <v>39</v>
      </c>
      <c r="T744" s="24" t="s">
        <v>39</v>
      </c>
      <c r="U744" s="24" t="s">
        <v>39</v>
      </c>
      <c r="V744" s="24" t="s">
        <v>39</v>
      </c>
      <c r="W744" s="24" t="s">
        <v>7666</v>
      </c>
      <c r="X744" s="24" t="s">
        <v>7667</v>
      </c>
      <c r="Y744" s="15" t="s">
        <v>7668</v>
      </c>
      <c r="Z744" s="15" t="s">
        <v>7669</v>
      </c>
      <c r="AA744" s="24"/>
      <c r="AB744" s="24"/>
      <c r="AC744" s="24"/>
      <c r="AD744" s="24"/>
      <c r="AE744" s="24"/>
      <c r="AF744" s="24"/>
      <c r="AG744" s="24"/>
      <c r="AH744" s="24"/>
    </row>
    <row r="745" spans="1:34" ht="120" x14ac:dyDescent="0.25">
      <c r="A745" s="24" t="str">
        <f>HYPERLINK("https://www.cpso.on.ca/DoctorDetails/Gayathri-Purushothaman-Shyamal/0232702-84925","Shyamal, Gayathri Purushothaman")</f>
        <v>Shyamal, Gayathri Purushothaman</v>
      </c>
      <c r="B745" s="25" t="s">
        <v>7670</v>
      </c>
      <c r="C745" s="24" t="s">
        <v>4431</v>
      </c>
      <c r="D745" s="24" t="s">
        <v>200</v>
      </c>
      <c r="E745" s="24" t="s">
        <v>29</v>
      </c>
      <c r="F745" s="24" t="s">
        <v>47</v>
      </c>
      <c r="G745" s="24" t="s">
        <v>7671</v>
      </c>
      <c r="H745" s="24" t="s">
        <v>7672</v>
      </c>
      <c r="I745" s="24" t="s">
        <v>7673</v>
      </c>
      <c r="J745" s="24"/>
      <c r="K745" s="24"/>
      <c r="L745" s="24" t="s">
        <v>340</v>
      </c>
      <c r="M745" s="15"/>
      <c r="N745" s="15"/>
      <c r="O745" s="15"/>
      <c r="P745" s="15" t="s">
        <v>7674</v>
      </c>
      <c r="Q745" s="15" t="s">
        <v>7675</v>
      </c>
      <c r="R745" s="15" t="s">
        <v>7676</v>
      </c>
      <c r="S745" s="24" t="s">
        <v>39</v>
      </c>
      <c r="T745" s="24" t="s">
        <v>39</v>
      </c>
      <c r="U745" s="24" t="s">
        <v>39</v>
      </c>
      <c r="V745" s="24" t="s">
        <v>39</v>
      </c>
      <c r="W745" s="24"/>
      <c r="X745" s="24"/>
      <c r="Y745" s="15"/>
      <c r="Z745" s="15"/>
      <c r="AA745" s="24"/>
      <c r="AB745" s="24"/>
      <c r="AC745" s="24"/>
      <c r="AD745" s="24"/>
      <c r="AE745" s="24"/>
      <c r="AF745" s="24"/>
      <c r="AG745" s="24"/>
      <c r="AH745" s="24"/>
    </row>
    <row r="746" spans="1:34" ht="75" x14ac:dyDescent="0.25">
      <c r="A746" s="24" t="str">
        <f>HYPERLINK("https://www.cpso.on.ca/DoctorDetails/Gayla-Beth-Tennen/0181604-76101","Tennen, Gayla Beth")</f>
        <v>Tennen, Gayla Beth</v>
      </c>
      <c r="B746" s="25" t="s">
        <v>7677</v>
      </c>
      <c r="C746" s="24" t="s">
        <v>7678</v>
      </c>
      <c r="D746" s="24" t="s">
        <v>7679</v>
      </c>
      <c r="E746" s="24" t="s">
        <v>29</v>
      </c>
      <c r="F746" s="24" t="s">
        <v>47</v>
      </c>
      <c r="G746" s="24" t="s">
        <v>31</v>
      </c>
      <c r="H746" s="24" t="s">
        <v>1132</v>
      </c>
      <c r="I746" s="24" t="s">
        <v>6535</v>
      </c>
      <c r="J746" s="24" t="s">
        <v>1551</v>
      </c>
      <c r="K746" s="24"/>
      <c r="L746" s="24" t="s">
        <v>52</v>
      </c>
      <c r="M746" s="15"/>
      <c r="N746" s="15"/>
      <c r="O746" s="15" t="s">
        <v>1397</v>
      </c>
      <c r="P746" s="15" t="s">
        <v>1149</v>
      </c>
      <c r="Q746" s="15" t="s">
        <v>3063</v>
      </c>
      <c r="R746" s="15" t="s">
        <v>7680</v>
      </c>
      <c r="S746" s="24" t="s">
        <v>39</v>
      </c>
      <c r="T746" s="24" t="s">
        <v>39</v>
      </c>
      <c r="U746" s="24" t="s">
        <v>39</v>
      </c>
      <c r="V746" s="24" t="s">
        <v>39</v>
      </c>
      <c r="W746" s="24" t="s">
        <v>7681</v>
      </c>
      <c r="X746" s="24" t="s">
        <v>7682</v>
      </c>
      <c r="Y746" s="15" t="s">
        <v>7683</v>
      </c>
      <c r="Z746" s="15" t="s">
        <v>7684</v>
      </c>
      <c r="AA746" s="24"/>
      <c r="AB746" s="24"/>
      <c r="AC746" s="24"/>
      <c r="AD746" s="24"/>
      <c r="AE746" s="24"/>
      <c r="AF746" s="24"/>
      <c r="AG746" s="24"/>
      <c r="AH746" s="24"/>
    </row>
    <row r="747" spans="1:34" ht="30" x14ac:dyDescent="0.25">
      <c r="A747" s="24" t="str">
        <f>HYPERLINK("https://www.cpso.on.ca/DoctorDetails/Gayle-Sandra-Bigelow/0038431-52407","Bigelow, Gayle Sandra")</f>
        <v>Bigelow, Gayle Sandra</v>
      </c>
      <c r="B747" s="25" t="s">
        <v>7685</v>
      </c>
      <c r="C747" s="24" t="s">
        <v>2000</v>
      </c>
      <c r="D747" s="24" t="s">
        <v>7686</v>
      </c>
      <c r="E747" s="24" t="s">
        <v>29</v>
      </c>
      <c r="F747" s="24" t="s">
        <v>47</v>
      </c>
      <c r="G747" s="24" t="s">
        <v>31</v>
      </c>
      <c r="H747" s="24" t="s">
        <v>2003</v>
      </c>
      <c r="I747" s="24" t="s">
        <v>7687</v>
      </c>
      <c r="J747" s="24" t="s">
        <v>7688</v>
      </c>
      <c r="K747" s="24"/>
      <c r="L747" s="24" t="s">
        <v>184</v>
      </c>
      <c r="M747" s="15"/>
      <c r="N747" s="15"/>
      <c r="O747" s="15"/>
      <c r="P747" s="15" t="s">
        <v>2864</v>
      </c>
      <c r="Q747" s="15"/>
      <c r="R747" s="15" t="s">
        <v>7689</v>
      </c>
      <c r="S747" s="24" t="s">
        <v>39</v>
      </c>
      <c r="T747" s="24" t="s">
        <v>39</v>
      </c>
      <c r="U747" s="24" t="s">
        <v>39</v>
      </c>
      <c r="V747" s="24" t="s">
        <v>39</v>
      </c>
      <c r="W747" s="24" t="s">
        <v>7690</v>
      </c>
      <c r="X747" s="24" t="s">
        <v>5796</v>
      </c>
      <c r="Y747" s="15" t="s">
        <v>7691</v>
      </c>
      <c r="Z747" s="15" t="s">
        <v>7692</v>
      </c>
      <c r="AA747" s="24"/>
      <c r="AB747" s="24"/>
      <c r="AC747" s="24"/>
      <c r="AD747" s="24"/>
      <c r="AE747" s="24"/>
      <c r="AF747" s="24"/>
      <c r="AG747" s="24"/>
      <c r="AH747" s="24"/>
    </row>
    <row r="748" spans="1:34" ht="120" x14ac:dyDescent="0.25">
      <c r="A748" s="24" t="str">
        <f>HYPERLINK("https://www.cpso.on.ca/DoctorDetails/Gbolahan-Olatokunbo-Bamidele-Odejayi/0274458-96496","Odejayi, Gbolahan Olatokunbo Bamidele")</f>
        <v>Odejayi, Gbolahan Olatokunbo Bamidele</v>
      </c>
      <c r="B748" s="25" t="s">
        <v>7693</v>
      </c>
      <c r="C748" s="24" t="s">
        <v>7694</v>
      </c>
      <c r="D748" s="24" t="s">
        <v>967</v>
      </c>
      <c r="E748" s="24" t="s">
        <v>29</v>
      </c>
      <c r="F748" s="24" t="s">
        <v>30</v>
      </c>
      <c r="G748" s="24" t="s">
        <v>31</v>
      </c>
      <c r="H748" s="24" t="s">
        <v>7695</v>
      </c>
      <c r="I748" s="24" t="s">
        <v>7696</v>
      </c>
      <c r="J748" s="24" t="s">
        <v>7697</v>
      </c>
      <c r="K748" s="24"/>
      <c r="L748" s="24" t="s">
        <v>184</v>
      </c>
      <c r="M748" s="15"/>
      <c r="N748" s="15" t="s">
        <v>7698</v>
      </c>
      <c r="O748" s="15"/>
      <c r="P748" s="15" t="s">
        <v>973</v>
      </c>
      <c r="Q748" s="15" t="s">
        <v>7699</v>
      </c>
      <c r="R748" s="15" t="s">
        <v>7700</v>
      </c>
      <c r="S748" s="24" t="s">
        <v>39</v>
      </c>
      <c r="T748" s="24" t="s">
        <v>39</v>
      </c>
      <c r="U748" s="24" t="s">
        <v>39</v>
      </c>
      <c r="V748" s="24" t="s">
        <v>39</v>
      </c>
      <c r="W748" s="24"/>
      <c r="X748" s="24"/>
      <c r="Y748" s="15"/>
      <c r="Z748" s="15"/>
      <c r="AA748" s="24"/>
      <c r="AB748" s="24"/>
      <c r="AC748" s="24"/>
      <c r="AD748" s="24"/>
      <c r="AE748" s="24"/>
      <c r="AF748" s="24"/>
      <c r="AG748" s="24"/>
      <c r="AH748" s="24"/>
    </row>
    <row r="749" spans="1:34" ht="60" x14ac:dyDescent="0.25">
      <c r="A749" s="24" t="str">
        <f>HYPERLINK("https://www.cpso.on.ca/DoctorDetails/Gebrehiwot-Abraham/0044732-58710","Abraham, Gebrehiwot")</f>
        <v>Abraham, Gebrehiwot</v>
      </c>
      <c r="B749" s="25" t="s">
        <v>7701</v>
      </c>
      <c r="C749" s="24" t="s">
        <v>7702</v>
      </c>
      <c r="D749" s="24" t="s">
        <v>7703</v>
      </c>
      <c r="E749" s="24" t="s">
        <v>29</v>
      </c>
      <c r="F749" s="24" t="s">
        <v>30</v>
      </c>
      <c r="G749" s="24" t="s">
        <v>7704</v>
      </c>
      <c r="H749" s="24" t="s">
        <v>7705</v>
      </c>
      <c r="I749" s="24" t="s">
        <v>7706</v>
      </c>
      <c r="J749" s="24" t="s">
        <v>7707</v>
      </c>
      <c r="K749" s="24" t="s">
        <v>7708</v>
      </c>
      <c r="L749" s="24" t="s">
        <v>52</v>
      </c>
      <c r="M749" s="15" t="s">
        <v>7709</v>
      </c>
      <c r="N749" s="15"/>
      <c r="O749" s="15" t="s">
        <v>842</v>
      </c>
      <c r="P749" s="15" t="s">
        <v>2908</v>
      </c>
      <c r="Q749" s="15"/>
      <c r="R749" s="15" t="s">
        <v>7710</v>
      </c>
      <c r="S749" s="24" t="s">
        <v>39</v>
      </c>
      <c r="T749" s="24" t="s">
        <v>39</v>
      </c>
      <c r="U749" s="24" t="s">
        <v>39</v>
      </c>
      <c r="V749" s="24" t="s">
        <v>39</v>
      </c>
      <c r="W749" s="24" t="s">
        <v>7711</v>
      </c>
      <c r="X749" s="24" t="s">
        <v>7712</v>
      </c>
      <c r="Y749" s="15" t="s">
        <v>7713</v>
      </c>
      <c r="Z749" s="15" t="s">
        <v>7714</v>
      </c>
      <c r="AA749" s="24"/>
      <c r="AB749" s="24"/>
      <c r="AC749" s="24"/>
      <c r="AD749" s="24"/>
      <c r="AE749" s="24"/>
      <c r="AF749" s="24"/>
      <c r="AG749" s="24"/>
      <c r="AH749" s="24"/>
    </row>
    <row r="750" spans="1:34" ht="105" x14ac:dyDescent="0.25">
      <c r="A750" s="24" t="str">
        <f>HYPERLINK("https://www.cpso.on.ca/DoctorDetails/Genevieve-Christiane-Proulx/0243132-87361","Proulx, Genevieve Christiane")</f>
        <v>Proulx, Genevieve Christiane</v>
      </c>
      <c r="B750" s="25" t="s">
        <v>7715</v>
      </c>
      <c r="C750" s="24" t="s">
        <v>7716</v>
      </c>
      <c r="D750" s="24" t="s">
        <v>7717</v>
      </c>
      <c r="E750" s="24" t="s">
        <v>29</v>
      </c>
      <c r="F750" s="24" t="s">
        <v>47</v>
      </c>
      <c r="G750" s="24" t="s">
        <v>813</v>
      </c>
      <c r="H750" s="24" t="s">
        <v>7718</v>
      </c>
      <c r="I750" s="24" t="s">
        <v>7719</v>
      </c>
      <c r="J750" s="24" t="s">
        <v>7720</v>
      </c>
      <c r="K750" s="24"/>
      <c r="L750" s="24" t="s">
        <v>84</v>
      </c>
      <c r="M750" s="15"/>
      <c r="N750" s="15"/>
      <c r="O750" s="15" t="s">
        <v>3289</v>
      </c>
      <c r="P750" s="15" t="s">
        <v>1074</v>
      </c>
      <c r="Q750" s="15" t="s">
        <v>7721</v>
      </c>
      <c r="R750" s="15" t="s">
        <v>7722</v>
      </c>
      <c r="S750" s="24" t="s">
        <v>39</v>
      </c>
      <c r="T750" s="24" t="s">
        <v>39</v>
      </c>
      <c r="U750" s="24" t="s">
        <v>39</v>
      </c>
      <c r="V750" s="24" t="s">
        <v>39</v>
      </c>
      <c r="W750" s="24" t="s">
        <v>7723</v>
      </c>
      <c r="X750" s="24" t="s">
        <v>7724</v>
      </c>
      <c r="Y750" s="15" t="s">
        <v>7725</v>
      </c>
      <c r="Z750" s="15" t="s">
        <v>7726</v>
      </c>
      <c r="AA750" s="24"/>
      <c r="AB750" s="24"/>
      <c r="AC750" s="24"/>
      <c r="AD750" s="24"/>
      <c r="AE750" s="24"/>
      <c r="AF750" s="24"/>
      <c r="AG750" s="24"/>
      <c r="AH750" s="24"/>
    </row>
    <row r="751" spans="1:34" ht="75" x14ac:dyDescent="0.25">
      <c r="A751" s="24" t="str">
        <f>HYPERLINK("https://www.cpso.on.ca/DoctorDetails/Geoffrey-Blake-Daniel/0044234-58212","Daniel, Geoffrey Blake")</f>
        <v>Daniel, Geoffrey Blake</v>
      </c>
      <c r="B751" s="25" t="s">
        <v>7727</v>
      </c>
      <c r="C751" s="24" t="s">
        <v>7728</v>
      </c>
      <c r="D751" s="24" t="s">
        <v>7729</v>
      </c>
      <c r="E751" s="24" t="s">
        <v>29</v>
      </c>
      <c r="F751" s="24" t="s">
        <v>30</v>
      </c>
      <c r="G751" s="24" t="s">
        <v>31</v>
      </c>
      <c r="H751" s="24" t="s">
        <v>2189</v>
      </c>
      <c r="I751" s="24" t="s">
        <v>7730</v>
      </c>
      <c r="J751" s="24" t="s">
        <v>7731</v>
      </c>
      <c r="K751" s="24"/>
      <c r="L751" s="24" t="s">
        <v>36</v>
      </c>
      <c r="M751" s="15"/>
      <c r="N751" s="15"/>
      <c r="O751" s="15" t="s">
        <v>1760</v>
      </c>
      <c r="P751" s="15" t="s">
        <v>2293</v>
      </c>
      <c r="Q751" s="15" t="s">
        <v>7732</v>
      </c>
      <c r="R751" s="15" t="s">
        <v>7733</v>
      </c>
      <c r="S751" s="24" t="s">
        <v>39</v>
      </c>
      <c r="T751" s="24" t="s">
        <v>39</v>
      </c>
      <c r="U751" s="24" t="s">
        <v>39</v>
      </c>
      <c r="V751" s="24" t="s">
        <v>39</v>
      </c>
      <c r="W751" s="24" t="s">
        <v>7734</v>
      </c>
      <c r="X751" s="24" t="s">
        <v>7735</v>
      </c>
      <c r="Y751" s="15" t="s">
        <v>7736</v>
      </c>
      <c r="Z751" s="15" t="s">
        <v>7737</v>
      </c>
      <c r="AA751" s="24"/>
      <c r="AB751" s="24"/>
      <c r="AC751" s="24"/>
      <c r="AD751" s="24"/>
      <c r="AE751" s="24"/>
      <c r="AF751" s="24"/>
      <c r="AG751" s="24"/>
      <c r="AH751" s="24"/>
    </row>
    <row r="752" spans="1:34" ht="30" x14ac:dyDescent="0.25">
      <c r="A752" s="24" t="str">
        <f>HYPERLINK("https://www.cpso.on.ca/DoctorDetails/Geoffrey-Stafford-Duckworth/0015110-19894","Duckworth, Geoffrey Stafford")</f>
        <v>Duckworth, Geoffrey Stafford</v>
      </c>
      <c r="B752" s="25" t="s">
        <v>7738</v>
      </c>
      <c r="C752" s="24" t="s">
        <v>7739</v>
      </c>
      <c r="D752" s="24" t="s">
        <v>7740</v>
      </c>
      <c r="E752" s="24" t="s">
        <v>29</v>
      </c>
      <c r="F752" s="24" t="s">
        <v>30</v>
      </c>
      <c r="G752" s="24" t="s">
        <v>31</v>
      </c>
      <c r="H752" s="24" t="s">
        <v>7741</v>
      </c>
      <c r="I752" s="24" t="s">
        <v>7742</v>
      </c>
      <c r="J752" s="24" t="s">
        <v>7743</v>
      </c>
      <c r="K752" s="24" t="s">
        <v>7744</v>
      </c>
      <c r="L752" s="24" t="s">
        <v>36</v>
      </c>
      <c r="M752" s="15"/>
      <c r="N752" s="15"/>
      <c r="O752" s="15"/>
      <c r="P752" s="15" t="s">
        <v>5281</v>
      </c>
      <c r="Q752" s="15"/>
      <c r="R752" s="15" t="s">
        <v>7745</v>
      </c>
      <c r="S752" s="24" t="s">
        <v>39</v>
      </c>
      <c r="T752" s="24" t="s">
        <v>39</v>
      </c>
      <c r="U752" s="24" t="s">
        <v>39</v>
      </c>
      <c r="V752" s="24" t="s">
        <v>39</v>
      </c>
      <c r="W752" s="24" t="s">
        <v>1786</v>
      </c>
      <c r="X752" s="24" t="s">
        <v>1787</v>
      </c>
      <c r="Y752" s="15"/>
      <c r="Z752" s="15"/>
      <c r="AA752" s="24"/>
      <c r="AB752" s="24"/>
      <c r="AC752" s="24"/>
      <c r="AD752" s="24"/>
      <c r="AE752" s="24"/>
      <c r="AF752" s="24"/>
      <c r="AG752" s="24"/>
      <c r="AH752" s="24"/>
    </row>
    <row r="753" spans="1:34" x14ac:dyDescent="0.25">
      <c r="A753" s="24" t="str">
        <f>HYPERLINK("https://www.cpso.on.ca/DoctorDetails/George-Albert-Fraser/0028965-33788","Fraser, George Albert")</f>
        <v>Fraser, George Albert</v>
      </c>
      <c r="B753" s="25" t="s">
        <v>7746</v>
      </c>
      <c r="C753" s="24" t="s">
        <v>7747</v>
      </c>
      <c r="D753" s="24" t="s">
        <v>7748</v>
      </c>
      <c r="E753" s="24" t="s">
        <v>29</v>
      </c>
      <c r="F753" s="24" t="s">
        <v>30</v>
      </c>
      <c r="G753" s="24" t="s">
        <v>31</v>
      </c>
      <c r="H753" s="24" t="s">
        <v>7749</v>
      </c>
      <c r="I753" s="24" t="s">
        <v>7750</v>
      </c>
      <c r="J753" s="24" t="s">
        <v>7751</v>
      </c>
      <c r="K753" s="24" t="s">
        <v>945</v>
      </c>
      <c r="L753" s="24" t="s">
        <v>84</v>
      </c>
      <c r="M753" s="15"/>
      <c r="N753" s="15"/>
      <c r="O753" s="15"/>
      <c r="P753" s="15" t="s">
        <v>5323</v>
      </c>
      <c r="Q753" s="15"/>
      <c r="R753" s="15" t="s">
        <v>7752</v>
      </c>
      <c r="S753" s="24" t="s">
        <v>39</v>
      </c>
      <c r="T753" s="24" t="s">
        <v>39</v>
      </c>
      <c r="U753" s="24" t="s">
        <v>39</v>
      </c>
      <c r="V753" s="24" t="s">
        <v>39</v>
      </c>
      <c r="W753" s="24" t="s">
        <v>7753</v>
      </c>
      <c r="X753" s="24" t="s">
        <v>7754</v>
      </c>
      <c r="Y753" s="15" t="s">
        <v>7755</v>
      </c>
      <c r="Z753" s="15" t="s">
        <v>7756</v>
      </c>
      <c r="AA753" s="24"/>
      <c r="AB753" s="24"/>
      <c r="AC753" s="24"/>
      <c r="AD753" s="24"/>
      <c r="AE753" s="24"/>
      <c r="AF753" s="24"/>
      <c r="AG753" s="24"/>
      <c r="AH753" s="24"/>
    </row>
    <row r="754" spans="1:34" ht="135" x14ac:dyDescent="0.25">
      <c r="A754" s="24" t="str">
        <f>HYPERLINK("https://www.cpso.on.ca/DoctorDetails/George-Foussias/0214377-81176","Foussias, George")</f>
        <v>Foussias, George</v>
      </c>
      <c r="B754" s="25" t="s">
        <v>7757</v>
      </c>
      <c r="C754" s="24" t="s">
        <v>45</v>
      </c>
      <c r="D754" s="24" t="s">
        <v>46</v>
      </c>
      <c r="E754" s="24" t="s">
        <v>29</v>
      </c>
      <c r="F754" s="24" t="s">
        <v>30</v>
      </c>
      <c r="G754" s="24" t="s">
        <v>536</v>
      </c>
      <c r="H754" s="24" t="s">
        <v>7758</v>
      </c>
      <c r="I754" s="24" t="s">
        <v>7759</v>
      </c>
      <c r="J754" s="24" t="s">
        <v>7760</v>
      </c>
      <c r="K754" s="24"/>
      <c r="L754" s="24" t="s">
        <v>52</v>
      </c>
      <c r="M754" s="15"/>
      <c r="N754" s="15"/>
      <c r="O754" s="15" t="s">
        <v>793</v>
      </c>
      <c r="P754" s="15" t="s">
        <v>55</v>
      </c>
      <c r="Q754" s="15" t="s">
        <v>7761</v>
      </c>
      <c r="R754" s="15" t="s">
        <v>57</v>
      </c>
      <c r="S754" s="24" t="s">
        <v>39</v>
      </c>
      <c r="T754" s="24" t="s">
        <v>39</v>
      </c>
      <c r="U754" s="24" t="s">
        <v>39</v>
      </c>
      <c r="V754" s="24" t="s">
        <v>39</v>
      </c>
      <c r="W754" s="24"/>
      <c r="X754" s="24"/>
      <c r="Y754" s="15"/>
      <c r="Z754" s="15"/>
      <c r="AA754" s="24"/>
      <c r="AB754" s="24"/>
      <c r="AC754" s="24"/>
      <c r="AD754" s="24"/>
      <c r="AE754" s="24"/>
      <c r="AF754" s="24"/>
      <c r="AG754" s="24"/>
      <c r="AH754" s="24"/>
    </row>
    <row r="755" spans="1:34" x14ac:dyDescent="0.25">
      <c r="A755" s="24" t="str">
        <f>HYPERLINK("https://www.cpso.on.ca/DoctorDetails/George-Papatheodorou/0049314-63292","Papatheodorou, George")</f>
        <v>Papatheodorou, George</v>
      </c>
      <c r="B755" s="25" t="s">
        <v>7762</v>
      </c>
      <c r="C755" s="24" t="s">
        <v>7763</v>
      </c>
      <c r="D755" s="24" t="s">
        <v>7764</v>
      </c>
      <c r="E755" s="24" t="s">
        <v>29</v>
      </c>
      <c r="F755" s="24" t="s">
        <v>30</v>
      </c>
      <c r="G755" s="24" t="s">
        <v>536</v>
      </c>
      <c r="H755" s="24" t="s">
        <v>7765</v>
      </c>
      <c r="I755" s="24" t="s">
        <v>7766</v>
      </c>
      <c r="J755" s="24" t="s">
        <v>7767</v>
      </c>
      <c r="K755" s="24"/>
      <c r="L755" s="24" t="s">
        <v>52</v>
      </c>
      <c r="M755" s="15"/>
      <c r="N755" s="15"/>
      <c r="O755" s="15"/>
      <c r="P755" s="15" t="s">
        <v>3433</v>
      </c>
      <c r="Q755" s="15" t="s">
        <v>2909</v>
      </c>
      <c r="R755" s="15" t="s">
        <v>7768</v>
      </c>
      <c r="S755" s="24" t="s">
        <v>39</v>
      </c>
      <c r="T755" s="24" t="s">
        <v>39</v>
      </c>
      <c r="U755" s="24" t="s">
        <v>39</v>
      </c>
      <c r="V755" s="24" t="s">
        <v>39</v>
      </c>
      <c r="W755" s="24"/>
      <c r="X755" s="24"/>
      <c r="Y755" s="15"/>
      <c r="Z755" s="15"/>
      <c r="AA755" s="24"/>
      <c r="AB755" s="24"/>
      <c r="AC755" s="24"/>
      <c r="AD755" s="24"/>
      <c r="AE755" s="24"/>
      <c r="AF755" s="24"/>
      <c r="AG755" s="24"/>
      <c r="AH755" s="24"/>
    </row>
    <row r="756" spans="1:34" ht="30" x14ac:dyDescent="0.25">
      <c r="A756" s="24" t="str">
        <f>HYPERLINK("https://www.cpso.on.ca/DoctorDetails/George-Vladimir-Boujoff/0014532-19315","Boujoff, George Vladimir")</f>
        <v>Boujoff, George Vladimir</v>
      </c>
      <c r="B756" s="25" t="s">
        <v>7769</v>
      </c>
      <c r="C756" s="24" t="s">
        <v>7770</v>
      </c>
      <c r="D756" s="24" t="s">
        <v>7771</v>
      </c>
      <c r="E756" s="24" t="s">
        <v>29</v>
      </c>
      <c r="F756" s="24" t="s">
        <v>30</v>
      </c>
      <c r="G756" s="24" t="s">
        <v>31</v>
      </c>
      <c r="H756" s="24" t="s">
        <v>6548</v>
      </c>
      <c r="I756" s="24" t="s">
        <v>7772</v>
      </c>
      <c r="J756" s="24" t="s">
        <v>7773</v>
      </c>
      <c r="K756" s="24"/>
      <c r="L756" s="24" t="s">
        <v>52</v>
      </c>
      <c r="M756" s="15"/>
      <c r="N756" s="15"/>
      <c r="O756" s="15"/>
      <c r="P756" s="15" t="s">
        <v>4653</v>
      </c>
      <c r="Q756" s="15"/>
      <c r="R756" s="15" t="s">
        <v>7774</v>
      </c>
      <c r="S756" s="24" t="s">
        <v>39</v>
      </c>
      <c r="T756" s="24" t="s">
        <v>39</v>
      </c>
      <c r="U756" s="24" t="s">
        <v>39</v>
      </c>
      <c r="V756" s="24" t="s">
        <v>39</v>
      </c>
      <c r="W756" s="24"/>
      <c r="X756" s="24"/>
      <c r="Y756" s="15"/>
      <c r="Z756" s="15"/>
      <c r="AA756" s="24"/>
      <c r="AB756" s="24"/>
      <c r="AC756" s="24"/>
      <c r="AD756" s="24"/>
      <c r="AE756" s="24"/>
      <c r="AF756" s="24"/>
      <c r="AG756" s="24"/>
      <c r="AH756" s="24"/>
    </row>
    <row r="757" spans="1:34" ht="105" x14ac:dyDescent="0.25">
      <c r="A757" s="24" t="str">
        <f>HYPERLINK("https://www.cpso.on.ca/DoctorDetails/Georges-Loba-Gutierrez/0249473-88469","Loba Gutierrez, Georges")</f>
        <v>Loba Gutierrez, Georges</v>
      </c>
      <c r="B757" s="25" t="s">
        <v>7775</v>
      </c>
      <c r="C757" s="24" t="s">
        <v>846</v>
      </c>
      <c r="D757" s="24" t="s">
        <v>7776</v>
      </c>
      <c r="E757" s="24" t="s">
        <v>29</v>
      </c>
      <c r="F757" s="24" t="s">
        <v>30</v>
      </c>
      <c r="G757" s="24" t="s">
        <v>813</v>
      </c>
      <c r="H757" s="24" t="s">
        <v>7777</v>
      </c>
      <c r="I757" s="24" t="s">
        <v>7778</v>
      </c>
      <c r="J757" s="24" t="s">
        <v>7779</v>
      </c>
      <c r="K757" s="24"/>
      <c r="L757" s="24" t="s">
        <v>135</v>
      </c>
      <c r="M757" s="15" t="s">
        <v>7780</v>
      </c>
      <c r="N757" s="15"/>
      <c r="O757" s="15" t="s">
        <v>4950</v>
      </c>
      <c r="P757" s="15" t="s">
        <v>7781</v>
      </c>
      <c r="Q757" s="15" t="s">
        <v>7782</v>
      </c>
      <c r="R757" s="15" t="s">
        <v>7783</v>
      </c>
      <c r="S757" s="24" t="s">
        <v>39</v>
      </c>
      <c r="T757" s="24" t="s">
        <v>39</v>
      </c>
      <c r="U757" s="24" t="s">
        <v>39</v>
      </c>
      <c r="V757" s="24" t="s">
        <v>39</v>
      </c>
      <c r="W757" s="24"/>
      <c r="X757" s="24"/>
      <c r="Y757" s="15"/>
      <c r="Z757" s="15"/>
      <c r="AA757" s="24"/>
      <c r="AB757" s="24"/>
      <c r="AC757" s="24"/>
      <c r="AD757" s="24"/>
      <c r="AE757" s="24"/>
      <c r="AF757" s="24"/>
      <c r="AG757" s="24"/>
      <c r="AH757" s="24"/>
    </row>
    <row r="758" spans="1:34" ht="90" x14ac:dyDescent="0.25">
      <c r="A758" s="24" t="str">
        <f>HYPERLINK("https://www.cpso.on.ca/DoctorDetails/Georgia-Dell-Walton/0266315-93030","Walton, Georgia Dell")</f>
        <v>Walton, Georgia Dell</v>
      </c>
      <c r="B758" s="25" t="s">
        <v>7784</v>
      </c>
      <c r="C758" s="24" t="s">
        <v>570</v>
      </c>
      <c r="D758" s="24" t="s">
        <v>571</v>
      </c>
      <c r="E758" s="24" t="s">
        <v>29</v>
      </c>
      <c r="F758" s="24" t="s">
        <v>47</v>
      </c>
      <c r="G758" s="24" t="s">
        <v>31</v>
      </c>
      <c r="H758" s="24" t="s">
        <v>7785</v>
      </c>
      <c r="I758" s="24" t="s">
        <v>7786</v>
      </c>
      <c r="J758" s="24" t="s">
        <v>1262</v>
      </c>
      <c r="K758" s="24"/>
      <c r="L758" s="24" t="s">
        <v>52</v>
      </c>
      <c r="M758" s="15" t="s">
        <v>7787</v>
      </c>
      <c r="N758" s="15"/>
      <c r="O758" s="15" t="s">
        <v>7788</v>
      </c>
      <c r="P758" s="15" t="s">
        <v>7789</v>
      </c>
      <c r="Q758" s="15" t="s">
        <v>7790</v>
      </c>
      <c r="R758" s="15" t="s">
        <v>1706</v>
      </c>
      <c r="S758" s="24" t="s">
        <v>39</v>
      </c>
      <c r="T758" s="24" t="s">
        <v>39</v>
      </c>
      <c r="U758" s="24" t="s">
        <v>39</v>
      </c>
      <c r="V758" s="24" t="s">
        <v>39</v>
      </c>
      <c r="W758" s="24" t="s">
        <v>7791</v>
      </c>
      <c r="X758" s="24" t="s">
        <v>477</v>
      </c>
      <c r="Y758" s="15" t="s">
        <v>7792</v>
      </c>
      <c r="Z758" s="15" t="s">
        <v>7793</v>
      </c>
      <c r="AA758" s="24"/>
      <c r="AB758" s="24"/>
      <c r="AC758" s="24"/>
      <c r="AD758" s="24"/>
      <c r="AE758" s="24"/>
      <c r="AF758" s="24"/>
      <c r="AG758" s="24"/>
      <c r="AH758" s="24"/>
    </row>
    <row r="759" spans="1:34" ht="105" x14ac:dyDescent="0.25">
      <c r="A759" s="24" t="str">
        <f>HYPERLINK("https://www.cpso.on.ca/DoctorDetails/Georgios-Koutsoukos/0180450-77090","Koutsoukos, Georgios")</f>
        <v>Koutsoukos, Georgios</v>
      </c>
      <c r="B759" s="25" t="s">
        <v>7794</v>
      </c>
      <c r="C759" s="24" t="s">
        <v>7795</v>
      </c>
      <c r="D759" s="24" t="s">
        <v>7796</v>
      </c>
      <c r="E759" s="24" t="s">
        <v>29</v>
      </c>
      <c r="F759" s="24" t="s">
        <v>30</v>
      </c>
      <c r="G759" s="24" t="s">
        <v>536</v>
      </c>
      <c r="H759" s="24" t="s">
        <v>4402</v>
      </c>
      <c r="I759" s="24" t="s">
        <v>7797</v>
      </c>
      <c r="J759" s="24" t="s">
        <v>7798</v>
      </c>
      <c r="K759" s="24" t="s">
        <v>7799</v>
      </c>
      <c r="L759" s="24" t="s">
        <v>52</v>
      </c>
      <c r="M759" s="15"/>
      <c r="N759" s="15"/>
      <c r="O759" s="15"/>
      <c r="P759" s="15" t="s">
        <v>7800</v>
      </c>
      <c r="Q759" s="15" t="s">
        <v>7801</v>
      </c>
      <c r="R759" s="15" t="s">
        <v>7802</v>
      </c>
      <c r="S759" s="24" t="s">
        <v>39</v>
      </c>
      <c r="T759" s="24" t="s">
        <v>39</v>
      </c>
      <c r="U759" s="24" t="s">
        <v>39</v>
      </c>
      <c r="V759" s="24" t="s">
        <v>39</v>
      </c>
      <c r="W759" s="24" t="s">
        <v>7803</v>
      </c>
      <c r="X759" s="24" t="s">
        <v>7804</v>
      </c>
      <c r="Y759" s="15" t="s">
        <v>7805</v>
      </c>
      <c r="Z759" s="15" t="s">
        <v>7806</v>
      </c>
      <c r="AA759" s="24"/>
      <c r="AB759" s="24"/>
      <c r="AC759" s="24"/>
      <c r="AD759" s="24"/>
      <c r="AE759" s="24"/>
      <c r="AF759" s="24"/>
      <c r="AG759" s="24"/>
      <c r="AH759" s="24"/>
    </row>
    <row r="760" spans="1:34" x14ac:dyDescent="0.25">
      <c r="A760" s="24" t="str">
        <f>HYPERLINK("https://www.cpso.on.ca/DoctorDetails/Gerald-Shugar/0013246-18026","Shugar, Gerald")</f>
        <v>Shugar, Gerald</v>
      </c>
      <c r="B760" s="25" t="s">
        <v>7807</v>
      </c>
      <c r="C760" s="24" t="s">
        <v>7808</v>
      </c>
      <c r="D760" s="24" t="s">
        <v>7809</v>
      </c>
      <c r="E760" s="24" t="s">
        <v>29</v>
      </c>
      <c r="F760" s="24" t="s">
        <v>30</v>
      </c>
      <c r="G760" s="24" t="s">
        <v>31</v>
      </c>
      <c r="H760" s="24" t="s">
        <v>6485</v>
      </c>
      <c r="I760" s="24" t="s">
        <v>7810</v>
      </c>
      <c r="J760" s="24" t="s">
        <v>7811</v>
      </c>
      <c r="K760" s="24" t="s">
        <v>792</v>
      </c>
      <c r="L760" s="24" t="s">
        <v>52</v>
      </c>
      <c r="M760" s="15"/>
      <c r="N760" s="15"/>
      <c r="O760" s="15" t="s">
        <v>793</v>
      </c>
      <c r="P760" s="15" t="s">
        <v>7812</v>
      </c>
      <c r="Q760" s="15"/>
      <c r="R760" s="15" t="s">
        <v>7813</v>
      </c>
      <c r="S760" s="24" t="s">
        <v>39</v>
      </c>
      <c r="T760" s="24" t="s">
        <v>39</v>
      </c>
      <c r="U760" s="24" t="s">
        <v>39</v>
      </c>
      <c r="V760" s="24" t="s">
        <v>39</v>
      </c>
      <c r="W760" s="24"/>
      <c r="X760" s="24"/>
      <c r="Y760" s="15"/>
      <c r="Z760" s="15"/>
      <c r="AA760" s="24"/>
      <c r="AB760" s="24"/>
      <c r="AC760" s="24"/>
      <c r="AD760" s="24"/>
      <c r="AE760" s="24"/>
      <c r="AF760" s="24"/>
      <c r="AG760" s="24"/>
      <c r="AH760" s="24"/>
    </row>
    <row r="761" spans="1:34" ht="135" x14ac:dyDescent="0.25">
      <c r="A761" s="24" t="str">
        <f>HYPERLINK("https://www.cpso.on.ca/DoctorDetails/Gerald-Wayne-Powell/0040398-54374","Powell, Gerald Wayne")</f>
        <v>Powell, Gerald Wayne</v>
      </c>
      <c r="B761" s="25" t="s">
        <v>7814</v>
      </c>
      <c r="C761" s="24" t="s">
        <v>2769</v>
      </c>
      <c r="D761" s="24" t="s">
        <v>7815</v>
      </c>
      <c r="E761" s="24" t="s">
        <v>29</v>
      </c>
      <c r="F761" s="24" t="s">
        <v>30</v>
      </c>
      <c r="G761" s="24" t="s">
        <v>31</v>
      </c>
      <c r="H761" s="24" t="s">
        <v>7816</v>
      </c>
      <c r="I761" s="24" t="s">
        <v>7817</v>
      </c>
      <c r="J761" s="24" t="s">
        <v>7818</v>
      </c>
      <c r="K761" s="24"/>
      <c r="L761" s="24" t="s">
        <v>84</v>
      </c>
      <c r="M761" s="15"/>
      <c r="N761" s="15"/>
      <c r="O761" s="15"/>
      <c r="P761" s="15" t="s">
        <v>1094</v>
      </c>
      <c r="Q761" s="15" t="s">
        <v>7819</v>
      </c>
      <c r="R761" s="15" t="s">
        <v>7820</v>
      </c>
      <c r="S761" s="24" t="s">
        <v>71</v>
      </c>
      <c r="T761" s="24" t="s">
        <v>71</v>
      </c>
      <c r="U761" s="24" t="s">
        <v>39</v>
      </c>
      <c r="V761" s="24" t="s">
        <v>39</v>
      </c>
      <c r="W761" s="24"/>
      <c r="X761" s="24"/>
      <c r="Y761" s="15"/>
      <c r="Z761" s="15"/>
      <c r="AA761" s="24"/>
      <c r="AB761" s="24"/>
      <c r="AC761" s="24"/>
      <c r="AD761" s="24"/>
      <c r="AE761" s="24"/>
      <c r="AF761" s="24"/>
      <c r="AG761" s="24"/>
      <c r="AH761" s="24"/>
    </row>
    <row r="762" spans="1:34" ht="30" x14ac:dyDescent="0.25">
      <c r="A762" s="24" t="str">
        <f>HYPERLINK("https://www.cpso.on.ca/DoctorDetails/Geraldine-Gail-Erlick-Robinson/0017067-21852","Robinson, Geraldine Gail Erlick")</f>
        <v>Robinson, Geraldine Gail Erlick</v>
      </c>
      <c r="B762" s="25" t="s">
        <v>7821</v>
      </c>
      <c r="C762" s="24" t="s">
        <v>7822</v>
      </c>
      <c r="D762" s="24" t="s">
        <v>7823</v>
      </c>
      <c r="E762" s="24" t="s">
        <v>29</v>
      </c>
      <c r="F762" s="24" t="s">
        <v>47</v>
      </c>
      <c r="G762" s="24" t="s">
        <v>31</v>
      </c>
      <c r="H762" s="24" t="s">
        <v>6989</v>
      </c>
      <c r="I762" s="24" t="s">
        <v>7824</v>
      </c>
      <c r="J762" s="24" t="s">
        <v>7825</v>
      </c>
      <c r="K762" s="24" t="s">
        <v>1396</v>
      </c>
      <c r="L762" s="24" t="s">
        <v>52</v>
      </c>
      <c r="M762" s="15"/>
      <c r="N762" s="15"/>
      <c r="O762" s="15" t="s">
        <v>1397</v>
      </c>
      <c r="P762" s="15" t="s">
        <v>4894</v>
      </c>
      <c r="Q762" s="15"/>
      <c r="R762" s="15" t="s">
        <v>7826</v>
      </c>
      <c r="S762" s="24" t="s">
        <v>39</v>
      </c>
      <c r="T762" s="24" t="s">
        <v>39</v>
      </c>
      <c r="U762" s="24" t="s">
        <v>39</v>
      </c>
      <c r="V762" s="24" t="s">
        <v>39</v>
      </c>
      <c r="W762" s="24" t="s">
        <v>7827</v>
      </c>
      <c r="X762" s="24" t="s">
        <v>7828</v>
      </c>
      <c r="Y762" s="15" t="s">
        <v>7829</v>
      </c>
      <c r="Z762" s="15" t="s">
        <v>7830</v>
      </c>
      <c r="AA762" s="24"/>
      <c r="AB762" s="24"/>
      <c r="AC762" s="24"/>
      <c r="AD762" s="24"/>
      <c r="AE762" s="24"/>
      <c r="AF762" s="24"/>
      <c r="AG762" s="24"/>
      <c r="AH762" s="24"/>
    </row>
    <row r="763" spans="1:34" ht="90" x14ac:dyDescent="0.25">
      <c r="A763" s="24" t="str">
        <f>HYPERLINK("https://www.cpso.on.ca/DoctorDetails/Gerard-Michael-Joseph-Kimmons/0044733-58711","Kimmons, Gerard Michael Joseph")</f>
        <v>Kimmons, Gerard Michael Joseph</v>
      </c>
      <c r="B763" s="25" t="s">
        <v>7831</v>
      </c>
      <c r="C763" s="24" t="s">
        <v>7832</v>
      </c>
      <c r="D763" s="24" t="s">
        <v>7833</v>
      </c>
      <c r="E763" s="24" t="s">
        <v>29</v>
      </c>
      <c r="F763" s="24" t="s">
        <v>30</v>
      </c>
      <c r="G763" s="24" t="s">
        <v>31</v>
      </c>
      <c r="H763" s="24" t="s">
        <v>1176</v>
      </c>
      <c r="I763" s="24" t="s">
        <v>7834</v>
      </c>
      <c r="J763" s="24" t="s">
        <v>7835</v>
      </c>
      <c r="K763" s="24" t="s">
        <v>7836</v>
      </c>
      <c r="L763" s="24" t="s">
        <v>36</v>
      </c>
      <c r="M763" s="15" t="s">
        <v>7837</v>
      </c>
      <c r="N763" s="15" t="s">
        <v>1370</v>
      </c>
      <c r="O763" s="15"/>
      <c r="P763" s="15" t="s">
        <v>3353</v>
      </c>
      <c r="Q763" s="15" t="s">
        <v>7838</v>
      </c>
      <c r="R763" s="15" t="s">
        <v>7839</v>
      </c>
      <c r="S763" s="24" t="s">
        <v>39</v>
      </c>
      <c r="T763" s="24" t="s">
        <v>39</v>
      </c>
      <c r="U763" s="24" t="s">
        <v>39</v>
      </c>
      <c r="V763" s="24" t="s">
        <v>39</v>
      </c>
      <c r="W763" s="24" t="s">
        <v>7840</v>
      </c>
      <c r="X763" s="24" t="s">
        <v>7841</v>
      </c>
      <c r="Y763" s="15" t="s">
        <v>7842</v>
      </c>
      <c r="Z763" s="15" t="s">
        <v>7843</v>
      </c>
      <c r="AA763" s="24"/>
      <c r="AB763" s="24"/>
      <c r="AC763" s="24"/>
      <c r="AD763" s="24"/>
      <c r="AE763" s="24"/>
      <c r="AF763" s="24"/>
      <c r="AG763" s="24"/>
      <c r="AH763" s="24"/>
    </row>
    <row r="764" spans="1:34" ht="105" x14ac:dyDescent="0.25">
      <c r="A764" s="24" t="str">
        <f>HYPERLINK("https://www.cpso.on.ca/DoctorDetails/Gerard-Patrick-Craigen/0038920-52896","Craigen, Gerard Patrick")</f>
        <v>Craigen, Gerard Patrick</v>
      </c>
      <c r="B764" s="25" t="s">
        <v>7844</v>
      </c>
      <c r="C764" s="24" t="s">
        <v>6867</v>
      </c>
      <c r="D764" s="24" t="s">
        <v>7845</v>
      </c>
      <c r="E764" s="24" t="s">
        <v>29</v>
      </c>
      <c r="F764" s="24" t="s">
        <v>30</v>
      </c>
      <c r="G764" s="24" t="s">
        <v>31</v>
      </c>
      <c r="H764" s="24" t="s">
        <v>7846</v>
      </c>
      <c r="I764" s="24" t="s">
        <v>5350</v>
      </c>
      <c r="J764" s="24" t="s">
        <v>7847</v>
      </c>
      <c r="K764" s="24" t="s">
        <v>7848</v>
      </c>
      <c r="L764" s="24" t="s">
        <v>52</v>
      </c>
      <c r="M764" s="15"/>
      <c r="N764" s="15" t="s">
        <v>7849</v>
      </c>
      <c r="O764" s="15" t="s">
        <v>487</v>
      </c>
      <c r="P764" s="15" t="s">
        <v>2640</v>
      </c>
      <c r="Q764" s="15" t="s">
        <v>7850</v>
      </c>
      <c r="R764" s="15" t="s">
        <v>7851</v>
      </c>
      <c r="S764" s="24" t="s">
        <v>39</v>
      </c>
      <c r="T764" s="24" t="s">
        <v>39</v>
      </c>
      <c r="U764" s="24" t="s">
        <v>39</v>
      </c>
      <c r="V764" s="24" t="s">
        <v>39</v>
      </c>
      <c r="W764" s="24"/>
      <c r="X764" s="24"/>
      <c r="Y764" s="15"/>
      <c r="Z764" s="15"/>
      <c r="AA764" s="24"/>
      <c r="AB764" s="24"/>
      <c r="AC764" s="24"/>
      <c r="AD764" s="24"/>
      <c r="AE764" s="24"/>
      <c r="AF764" s="24"/>
      <c r="AG764" s="24"/>
      <c r="AH764" s="24"/>
    </row>
    <row r="765" spans="1:34" ht="60" x14ac:dyDescent="0.25">
      <c r="A765" s="24" t="str">
        <f>HYPERLINK("https://www.cpso.on.ca/DoctorDetails/Gerasimos-Ioannis-Kambites/0047988-61966","Kambites, Gerasimos Ioannis")</f>
        <v>Kambites, Gerasimos Ioannis</v>
      </c>
      <c r="B765" s="25" t="s">
        <v>7852</v>
      </c>
      <c r="C765" s="24" t="s">
        <v>7853</v>
      </c>
      <c r="D765" s="24" t="s">
        <v>1028</v>
      </c>
      <c r="E765" s="24" t="s">
        <v>29</v>
      </c>
      <c r="F765" s="24" t="s">
        <v>30</v>
      </c>
      <c r="G765" s="24" t="s">
        <v>31</v>
      </c>
      <c r="H765" s="24" t="s">
        <v>1176</v>
      </c>
      <c r="I765" s="24" t="s">
        <v>7854</v>
      </c>
      <c r="J765" s="24" t="s">
        <v>7855</v>
      </c>
      <c r="K765" s="24" t="s">
        <v>7856</v>
      </c>
      <c r="L765" s="24" t="s">
        <v>84</v>
      </c>
      <c r="M765" s="15"/>
      <c r="N765" s="15"/>
      <c r="O765" s="15"/>
      <c r="P765" s="15" t="s">
        <v>6158</v>
      </c>
      <c r="Q765" s="15" t="s">
        <v>7857</v>
      </c>
      <c r="R765" s="15" t="s">
        <v>7858</v>
      </c>
      <c r="S765" s="24" t="s">
        <v>39</v>
      </c>
      <c r="T765" s="24" t="s">
        <v>71</v>
      </c>
      <c r="U765" s="24" t="s">
        <v>39</v>
      </c>
      <c r="V765" s="24" t="s">
        <v>39</v>
      </c>
      <c r="W765" s="24" t="s">
        <v>7859</v>
      </c>
      <c r="X765" s="24" t="s">
        <v>7860</v>
      </c>
      <c r="Y765" s="15" t="s">
        <v>7861</v>
      </c>
      <c r="Z765" s="15" t="s">
        <v>7862</v>
      </c>
      <c r="AA765" s="24"/>
      <c r="AB765" s="24"/>
      <c r="AC765" s="24"/>
      <c r="AD765" s="24"/>
      <c r="AE765" s="24"/>
      <c r="AF765" s="24"/>
      <c r="AG765" s="24"/>
      <c r="AH765" s="24"/>
    </row>
    <row r="766" spans="1:34" ht="30" x14ac:dyDescent="0.25">
      <c r="A766" s="24" t="str">
        <f>HYPERLINK("https://www.cpso.on.ca/DoctorDetails/Gertrude-Elizabeth-Eayrs/0187229-76965","Eayrs, Gertrude Elizabeth")</f>
        <v>Eayrs, Gertrude Elizabeth</v>
      </c>
      <c r="B766" s="25" t="s">
        <v>7863</v>
      </c>
      <c r="C766" s="24" t="s">
        <v>7864</v>
      </c>
      <c r="D766" s="24" t="s">
        <v>7865</v>
      </c>
      <c r="E766" s="24" t="s">
        <v>29</v>
      </c>
      <c r="F766" s="24" t="s">
        <v>47</v>
      </c>
      <c r="G766" s="24" t="s">
        <v>31</v>
      </c>
      <c r="H766" s="24" t="s">
        <v>7866</v>
      </c>
      <c r="I766" s="24" t="s">
        <v>2847</v>
      </c>
      <c r="J766" s="24" t="s">
        <v>7867</v>
      </c>
      <c r="K766" s="24"/>
      <c r="L766" s="24" t="s">
        <v>36</v>
      </c>
      <c r="M766" s="15" t="s">
        <v>7868</v>
      </c>
      <c r="N766" s="15"/>
      <c r="O766" s="15" t="s">
        <v>1760</v>
      </c>
      <c r="P766" s="15" t="s">
        <v>7869</v>
      </c>
      <c r="Q766" s="15"/>
      <c r="R766" s="15" t="s">
        <v>7870</v>
      </c>
      <c r="S766" s="24" t="s">
        <v>39</v>
      </c>
      <c r="T766" s="24" t="s">
        <v>39</v>
      </c>
      <c r="U766" s="24" t="s">
        <v>39</v>
      </c>
      <c r="V766" s="24" t="s">
        <v>39</v>
      </c>
      <c r="W766" s="24" t="s">
        <v>7871</v>
      </c>
      <c r="X766" s="24" t="s">
        <v>7872</v>
      </c>
      <c r="Y766" s="15" t="s">
        <v>7873</v>
      </c>
      <c r="Z766" s="15" t="s">
        <v>7874</v>
      </c>
      <c r="AA766" s="24"/>
      <c r="AB766" s="24"/>
      <c r="AC766" s="24"/>
      <c r="AD766" s="24"/>
      <c r="AE766" s="24"/>
      <c r="AF766" s="24"/>
      <c r="AG766" s="24"/>
      <c r="AH766" s="24"/>
    </row>
    <row r="767" spans="1:34" ht="75" x14ac:dyDescent="0.25">
      <c r="A767" s="24" t="str">
        <f>HYPERLINK("https://www.cpso.on.ca/DoctorDetails/GholamAbbas-Azadian/0057730-69318","Azadian, Gholam-Abbas")</f>
        <v>Azadian, Gholam-Abbas</v>
      </c>
      <c r="B767" s="25" t="s">
        <v>7875</v>
      </c>
      <c r="C767" s="24" t="s">
        <v>3831</v>
      </c>
      <c r="D767" s="24" t="s">
        <v>214</v>
      </c>
      <c r="E767" s="24" t="s">
        <v>29</v>
      </c>
      <c r="F767" s="24" t="s">
        <v>30</v>
      </c>
      <c r="G767" s="24" t="s">
        <v>522</v>
      </c>
      <c r="H767" s="24" t="s">
        <v>4511</v>
      </c>
      <c r="I767" s="24" t="s">
        <v>7876</v>
      </c>
      <c r="J767" s="24" t="s">
        <v>7877</v>
      </c>
      <c r="K767" s="24" t="s">
        <v>7878</v>
      </c>
      <c r="L767" s="24" t="s">
        <v>36</v>
      </c>
      <c r="M767" s="15"/>
      <c r="N767" s="15"/>
      <c r="O767" s="15"/>
      <c r="P767" s="15" t="s">
        <v>1343</v>
      </c>
      <c r="Q767" s="15" t="s">
        <v>4714</v>
      </c>
      <c r="R767" s="15" t="s">
        <v>3839</v>
      </c>
      <c r="S767" s="24" t="s">
        <v>39</v>
      </c>
      <c r="T767" s="24" t="s">
        <v>39</v>
      </c>
      <c r="U767" s="24" t="s">
        <v>39</v>
      </c>
      <c r="V767" s="24" t="s">
        <v>39</v>
      </c>
      <c r="W767" s="24"/>
      <c r="X767" s="24"/>
      <c r="Y767" s="15"/>
      <c r="Z767" s="15"/>
      <c r="AA767" s="24"/>
      <c r="AB767" s="24"/>
      <c r="AC767" s="24"/>
      <c r="AD767" s="24"/>
      <c r="AE767" s="24"/>
      <c r="AF767" s="24"/>
      <c r="AG767" s="24"/>
      <c r="AH767" s="24"/>
    </row>
    <row r="768" spans="1:34" ht="75" x14ac:dyDescent="0.25">
      <c r="A768" s="24" t="str">
        <f>HYPERLINK("https://www.cpso.on.ca/DoctorDetails/Giampiero-Bartolucci/0029999-41976","Bartolucci, Giampiero")</f>
        <v>Bartolucci, Giampiero</v>
      </c>
      <c r="B768" s="25" t="s">
        <v>7879</v>
      </c>
      <c r="C768" s="24" t="s">
        <v>7880</v>
      </c>
      <c r="D768" s="24" t="s">
        <v>7881</v>
      </c>
      <c r="E768" s="24" t="s">
        <v>29</v>
      </c>
      <c r="F768" s="24" t="s">
        <v>30</v>
      </c>
      <c r="G768" s="24" t="s">
        <v>2188</v>
      </c>
      <c r="H768" s="24" t="s">
        <v>7882</v>
      </c>
      <c r="I768" s="24" t="s">
        <v>7883</v>
      </c>
      <c r="J768" s="24" t="s">
        <v>5177</v>
      </c>
      <c r="K768" s="24" t="s">
        <v>7884</v>
      </c>
      <c r="L768" s="24" t="s">
        <v>3849</v>
      </c>
      <c r="M768" s="15"/>
      <c r="N768" s="15"/>
      <c r="O768" s="15" t="s">
        <v>4262</v>
      </c>
      <c r="P768" s="15" t="s">
        <v>7885</v>
      </c>
      <c r="Q768" s="15"/>
      <c r="R768" s="15" t="s">
        <v>7886</v>
      </c>
      <c r="S768" s="24" t="s">
        <v>71</v>
      </c>
      <c r="T768" s="24" t="s">
        <v>39</v>
      </c>
      <c r="U768" s="24" t="s">
        <v>39</v>
      </c>
      <c r="V768" s="24" t="s">
        <v>39</v>
      </c>
      <c r="W768" s="24" t="s">
        <v>7887</v>
      </c>
      <c r="X768" s="24" t="s">
        <v>7888</v>
      </c>
      <c r="Y768" s="15" t="s">
        <v>7889</v>
      </c>
      <c r="Z768" s="15" t="s">
        <v>7890</v>
      </c>
      <c r="AA768" s="24"/>
      <c r="AB768" s="24"/>
      <c r="AC768" s="24"/>
      <c r="AD768" s="24"/>
      <c r="AE768" s="24"/>
      <c r="AF768" s="24"/>
      <c r="AG768" s="24"/>
      <c r="AH768" s="24"/>
    </row>
    <row r="769" spans="1:34" ht="120" x14ac:dyDescent="0.25">
      <c r="A769" s="24" t="str">
        <f>HYPERLINK("https://www.cpso.on.ca/DoctorDetails/Gili-Wendy-Adler-Nevo/0217053-82322","Adler Nevo, Gili Wendy")</f>
        <v>Adler Nevo, Gili Wendy</v>
      </c>
      <c r="B769" s="25" t="s">
        <v>7891</v>
      </c>
      <c r="C769" s="24" t="s">
        <v>7892</v>
      </c>
      <c r="D769" s="24" t="s">
        <v>7893</v>
      </c>
      <c r="E769" s="24" t="s">
        <v>29</v>
      </c>
      <c r="F769" s="24" t="s">
        <v>47</v>
      </c>
      <c r="G769" s="24" t="s">
        <v>252</v>
      </c>
      <c r="H769" s="24" t="s">
        <v>7894</v>
      </c>
      <c r="I769" s="24" t="s">
        <v>7895</v>
      </c>
      <c r="J769" s="24" t="s">
        <v>7896</v>
      </c>
      <c r="K769" s="24"/>
      <c r="L769" s="24" t="s">
        <v>52</v>
      </c>
      <c r="M769" s="15" t="s">
        <v>7897</v>
      </c>
      <c r="N769" s="15"/>
      <c r="O769" s="15" t="s">
        <v>7898</v>
      </c>
      <c r="P769" s="15" t="s">
        <v>7899</v>
      </c>
      <c r="Q769" s="15" t="s">
        <v>7900</v>
      </c>
      <c r="R769" s="15" t="s">
        <v>7901</v>
      </c>
      <c r="S769" s="24" t="s">
        <v>71</v>
      </c>
      <c r="T769" s="24" t="s">
        <v>39</v>
      </c>
      <c r="U769" s="24" t="s">
        <v>39</v>
      </c>
      <c r="V769" s="24" t="s">
        <v>39</v>
      </c>
      <c r="W769" s="24" t="s">
        <v>7902</v>
      </c>
      <c r="X769" s="24" t="s">
        <v>7903</v>
      </c>
      <c r="Y769" s="15" t="s">
        <v>7904</v>
      </c>
      <c r="Z769" s="15" t="s">
        <v>7905</v>
      </c>
      <c r="AA769" s="24"/>
      <c r="AB769" s="24"/>
      <c r="AC769" s="24"/>
      <c r="AD769" s="24"/>
      <c r="AE769" s="24"/>
      <c r="AF769" s="24"/>
      <c r="AG769" s="24"/>
      <c r="AH769" s="24"/>
    </row>
    <row r="770" spans="1:34" ht="60" x14ac:dyDescent="0.25">
      <c r="A770" s="24" t="str">
        <f>HYPERLINK("https://www.cpso.on.ca/DoctorDetails/Gilles-Fleury/0240637-86118","Fleury, Gilles")</f>
        <v>Fleury, Gilles</v>
      </c>
      <c r="B770" s="25" t="s">
        <v>7906</v>
      </c>
      <c r="C770" s="24" t="s">
        <v>7907</v>
      </c>
      <c r="D770" s="24" t="s">
        <v>7908</v>
      </c>
      <c r="E770" s="24" t="s">
        <v>29</v>
      </c>
      <c r="F770" s="24" t="s">
        <v>30</v>
      </c>
      <c r="G770" s="24" t="s">
        <v>813</v>
      </c>
      <c r="H770" s="24" t="s">
        <v>7909</v>
      </c>
      <c r="I770" s="24" t="s">
        <v>7910</v>
      </c>
      <c r="J770" s="24" t="s">
        <v>816</v>
      </c>
      <c r="K770" s="24"/>
      <c r="L770" s="24" t="s">
        <v>84</v>
      </c>
      <c r="M770" s="15" t="s">
        <v>7911</v>
      </c>
      <c r="N770" s="15"/>
      <c r="O770" s="15" t="s">
        <v>817</v>
      </c>
      <c r="P770" s="15" t="s">
        <v>1239</v>
      </c>
      <c r="Q770" s="15"/>
      <c r="R770" s="15" t="s">
        <v>7912</v>
      </c>
      <c r="S770" s="24" t="s">
        <v>39</v>
      </c>
      <c r="T770" s="24" t="s">
        <v>39</v>
      </c>
      <c r="U770" s="24" t="s">
        <v>39</v>
      </c>
      <c r="V770" s="24" t="s">
        <v>39</v>
      </c>
      <c r="W770" s="24" t="s">
        <v>7913</v>
      </c>
      <c r="X770" s="24" t="s">
        <v>7914</v>
      </c>
      <c r="Y770" s="15" t="s">
        <v>7915</v>
      </c>
      <c r="Z770" s="15" t="s">
        <v>7916</v>
      </c>
      <c r="AA770" s="24" t="s">
        <v>7917</v>
      </c>
      <c r="AB770" s="24" t="s">
        <v>7918</v>
      </c>
      <c r="AC770" s="24" t="s">
        <v>7915</v>
      </c>
      <c r="AD770" s="24" t="s">
        <v>7919</v>
      </c>
      <c r="AE770" s="24"/>
      <c r="AF770" s="24"/>
      <c r="AG770" s="24"/>
      <c r="AH770" s="24"/>
    </row>
    <row r="771" spans="1:34" ht="60" x14ac:dyDescent="0.25">
      <c r="A771" s="24" t="str">
        <f>HYPERLINK("https://www.cpso.on.ca/DoctorDetails/Gina-Akosua-Oseiwa-Addae/0042100-56078","Addae, Gina Akosua Oseiwa")</f>
        <v>Addae, Gina Akosua Oseiwa</v>
      </c>
      <c r="B771" s="25" t="s">
        <v>7920</v>
      </c>
      <c r="C771" s="24" t="s">
        <v>7921</v>
      </c>
      <c r="D771" s="24" t="s">
        <v>7922</v>
      </c>
      <c r="E771" s="24" t="s">
        <v>29</v>
      </c>
      <c r="F771" s="24" t="s">
        <v>47</v>
      </c>
      <c r="G771" s="24" t="s">
        <v>6396</v>
      </c>
      <c r="H771" s="24" t="s">
        <v>6397</v>
      </c>
      <c r="I771" s="24" t="s">
        <v>7923</v>
      </c>
      <c r="J771" s="24" t="s">
        <v>7924</v>
      </c>
      <c r="K771" s="24"/>
      <c r="L771" s="24" t="s">
        <v>52</v>
      </c>
      <c r="M771" s="15"/>
      <c r="N771" s="15"/>
      <c r="O771" s="15"/>
      <c r="P771" s="15" t="s">
        <v>2416</v>
      </c>
      <c r="Q771" s="15"/>
      <c r="R771" s="15" t="s">
        <v>7925</v>
      </c>
      <c r="S771" s="24" t="s">
        <v>39</v>
      </c>
      <c r="T771" s="24" t="s">
        <v>39</v>
      </c>
      <c r="U771" s="24" t="s">
        <v>39</v>
      </c>
      <c r="V771" s="24" t="s">
        <v>39</v>
      </c>
      <c r="W771" s="24"/>
      <c r="X771" s="24"/>
      <c r="Y771" s="15"/>
      <c r="Z771" s="15"/>
      <c r="AA771" s="24"/>
      <c r="AB771" s="24"/>
      <c r="AC771" s="24"/>
      <c r="AD771" s="24"/>
      <c r="AE771" s="24"/>
      <c r="AF771" s="24"/>
      <c r="AG771" s="24"/>
      <c r="AH771" s="24"/>
    </row>
    <row r="772" spans="1:34" ht="60" x14ac:dyDescent="0.25">
      <c r="A772" s="24" t="str">
        <f>HYPERLINK("https://www.cpso.on.ca/DoctorDetails/Ginette-Goulard/0051532-65511","Goulard, Ginette")</f>
        <v>Goulard, Ginette</v>
      </c>
      <c r="B772" s="25" t="s">
        <v>7926</v>
      </c>
      <c r="C772" s="24" t="s">
        <v>1908</v>
      </c>
      <c r="D772" s="24" t="s">
        <v>7927</v>
      </c>
      <c r="E772" s="24" t="s">
        <v>29</v>
      </c>
      <c r="F772" s="24" t="s">
        <v>47</v>
      </c>
      <c r="G772" s="24" t="s">
        <v>813</v>
      </c>
      <c r="H772" s="24" t="s">
        <v>7928</v>
      </c>
      <c r="I772" s="24" t="s">
        <v>708</v>
      </c>
      <c r="J772" s="24" t="s">
        <v>7929</v>
      </c>
      <c r="K772" s="24"/>
      <c r="L772" s="24" t="s">
        <v>84</v>
      </c>
      <c r="M772" s="15"/>
      <c r="N772" s="15" t="s">
        <v>710</v>
      </c>
      <c r="O772" s="15" t="s">
        <v>2156</v>
      </c>
      <c r="P772" s="15" t="s">
        <v>7930</v>
      </c>
      <c r="Q772" s="15" t="s">
        <v>7931</v>
      </c>
      <c r="R772" s="15" t="s">
        <v>7932</v>
      </c>
      <c r="S772" s="24" t="s">
        <v>39</v>
      </c>
      <c r="T772" s="24" t="s">
        <v>39</v>
      </c>
      <c r="U772" s="24" t="s">
        <v>39</v>
      </c>
      <c r="V772" s="24" t="s">
        <v>39</v>
      </c>
      <c r="W772" s="24"/>
      <c r="X772" s="24"/>
      <c r="Y772" s="15"/>
      <c r="Z772" s="15"/>
      <c r="AA772" s="24"/>
      <c r="AB772" s="24"/>
      <c r="AC772" s="24"/>
      <c r="AD772" s="24"/>
      <c r="AE772" s="24"/>
      <c r="AF772" s="24"/>
      <c r="AG772" s="24"/>
      <c r="AH772" s="24"/>
    </row>
    <row r="773" spans="1:34" ht="30" x14ac:dyDescent="0.25">
      <c r="A773" s="24" t="str">
        <f>HYPERLINK("https://www.cpso.on.ca/DoctorDetails/Giovana-Valadares-de-Amorim-Levin/0303608-108158","de Amorim Levin, Giovana Valadares")</f>
        <v>de Amorim Levin, Giovana Valadares</v>
      </c>
      <c r="B773" s="25" t="s">
        <v>7933</v>
      </c>
      <c r="C773" s="24" t="s">
        <v>7934</v>
      </c>
      <c r="D773" s="24" t="s">
        <v>7935</v>
      </c>
      <c r="E773" s="24" t="s">
        <v>29</v>
      </c>
      <c r="F773" s="24" t="s">
        <v>47</v>
      </c>
      <c r="G773" s="24" t="s">
        <v>468</v>
      </c>
      <c r="H773" s="24" t="s">
        <v>7936</v>
      </c>
      <c r="I773" s="24" t="s">
        <v>7937</v>
      </c>
      <c r="J773" s="24" t="s">
        <v>7938</v>
      </c>
      <c r="K773" s="24" t="s">
        <v>628</v>
      </c>
      <c r="L773" s="24" t="s">
        <v>135</v>
      </c>
      <c r="M773" s="15"/>
      <c r="N773" s="15" t="s">
        <v>258</v>
      </c>
      <c r="O773" s="15" t="s">
        <v>7939</v>
      </c>
      <c r="P773" s="15" t="s">
        <v>7940</v>
      </c>
      <c r="Q773" s="15"/>
      <c r="R773" s="15" t="s">
        <v>7941</v>
      </c>
      <c r="S773" s="24" t="s">
        <v>39</v>
      </c>
      <c r="T773" s="24" t="s">
        <v>39</v>
      </c>
      <c r="U773" s="24" t="s">
        <v>39</v>
      </c>
      <c r="V773" s="24" t="s">
        <v>39</v>
      </c>
      <c r="W773" s="24" t="s">
        <v>7942</v>
      </c>
      <c r="X773" s="24" t="s">
        <v>7943</v>
      </c>
      <c r="Y773" s="15" t="s">
        <v>7944</v>
      </c>
      <c r="Z773" s="15" t="s">
        <v>7945</v>
      </c>
      <c r="AA773" s="24"/>
      <c r="AB773" s="24"/>
      <c r="AC773" s="24"/>
      <c r="AD773" s="24"/>
      <c r="AE773" s="24"/>
      <c r="AF773" s="24"/>
      <c r="AG773" s="24"/>
      <c r="AH773" s="24"/>
    </row>
    <row r="774" spans="1:34" ht="75" x14ac:dyDescent="0.25">
      <c r="A774" s="24" t="str">
        <f>HYPERLINK("https://www.cpso.on.ca/DoctorDetails/Giovanni-Villella/0185748-76464","Villella, Giovanni")</f>
        <v>Villella, Giovanni</v>
      </c>
      <c r="B774" s="25" t="s">
        <v>7946</v>
      </c>
      <c r="C774" s="24" t="s">
        <v>7947</v>
      </c>
      <c r="D774" s="24" t="s">
        <v>7948</v>
      </c>
      <c r="E774" s="24" t="s">
        <v>29</v>
      </c>
      <c r="F774" s="24" t="s">
        <v>30</v>
      </c>
      <c r="G774" s="24" t="s">
        <v>2188</v>
      </c>
      <c r="H774" s="24" t="s">
        <v>4402</v>
      </c>
      <c r="I774" s="24" t="s">
        <v>7949</v>
      </c>
      <c r="J774" s="24" t="s">
        <v>7950</v>
      </c>
      <c r="K774" s="24" t="s">
        <v>7951</v>
      </c>
      <c r="L774" s="24" t="s">
        <v>65</v>
      </c>
      <c r="M774" s="15" t="s">
        <v>7952</v>
      </c>
      <c r="N774" s="15"/>
      <c r="O774" s="15" t="s">
        <v>4747</v>
      </c>
      <c r="P774" s="15" t="s">
        <v>1149</v>
      </c>
      <c r="Q774" s="15" t="s">
        <v>3063</v>
      </c>
      <c r="R774" s="15" t="s">
        <v>7953</v>
      </c>
      <c r="S774" s="24" t="s">
        <v>39</v>
      </c>
      <c r="T774" s="24" t="s">
        <v>39</v>
      </c>
      <c r="U774" s="24" t="s">
        <v>39</v>
      </c>
      <c r="V774" s="24" t="s">
        <v>39</v>
      </c>
      <c r="W774" s="24" t="s">
        <v>7954</v>
      </c>
      <c r="X774" s="24" t="s">
        <v>5157</v>
      </c>
      <c r="Y774" s="15" t="s">
        <v>7955</v>
      </c>
      <c r="Z774" s="15" t="s">
        <v>7956</v>
      </c>
      <c r="AA774" s="24"/>
      <c r="AB774" s="24"/>
      <c r="AC774" s="24"/>
      <c r="AD774" s="24"/>
      <c r="AE774" s="24"/>
      <c r="AF774" s="24"/>
      <c r="AG774" s="24"/>
      <c r="AH774" s="24"/>
    </row>
    <row r="775" spans="1:34" ht="30" x14ac:dyDescent="0.25">
      <c r="A775" s="24" t="str">
        <f>HYPERLINK("https://www.cpso.on.ca/DoctorDetails/Girija-Ravindran/0037497-51473","Ravindran, Girija")</f>
        <v>Ravindran, Girija</v>
      </c>
      <c r="B775" s="25" t="s">
        <v>7957</v>
      </c>
      <c r="C775" s="24" t="s">
        <v>7958</v>
      </c>
      <c r="D775" s="24" t="s">
        <v>7959</v>
      </c>
      <c r="E775" s="24" t="s">
        <v>29</v>
      </c>
      <c r="F775" s="24" t="s">
        <v>47</v>
      </c>
      <c r="G775" s="24" t="s">
        <v>2255</v>
      </c>
      <c r="H775" s="24" t="s">
        <v>7960</v>
      </c>
      <c r="I775" s="24" t="s">
        <v>7961</v>
      </c>
      <c r="J775" s="24" t="s">
        <v>7962</v>
      </c>
      <c r="K775" s="24"/>
      <c r="L775" s="24" t="s">
        <v>340</v>
      </c>
      <c r="M775" s="15"/>
      <c r="N775" s="15" t="s">
        <v>66</v>
      </c>
      <c r="O775" s="15" t="s">
        <v>7963</v>
      </c>
      <c r="P775" s="15" t="s">
        <v>5889</v>
      </c>
      <c r="Q775" s="15"/>
      <c r="R775" s="15" t="s">
        <v>7964</v>
      </c>
      <c r="S775" s="24" t="s">
        <v>39</v>
      </c>
      <c r="T775" s="24" t="s">
        <v>39</v>
      </c>
      <c r="U775" s="24" t="s">
        <v>39</v>
      </c>
      <c r="V775" s="24" t="s">
        <v>39</v>
      </c>
      <c r="W775" s="24" t="s">
        <v>7965</v>
      </c>
      <c r="X775" s="24" t="s">
        <v>7966</v>
      </c>
      <c r="Y775" s="15" t="s">
        <v>7967</v>
      </c>
      <c r="Z775" s="15" t="s">
        <v>7968</v>
      </c>
      <c r="AA775" s="24"/>
      <c r="AB775" s="24"/>
      <c r="AC775" s="24"/>
      <c r="AD775" s="24"/>
      <c r="AE775" s="24"/>
      <c r="AF775" s="24"/>
      <c r="AG775" s="24"/>
      <c r="AH775" s="24"/>
    </row>
    <row r="776" spans="1:34" x14ac:dyDescent="0.25">
      <c r="A776" s="24" t="str">
        <f>HYPERLINK("https://www.cpso.on.ca/DoctorDetails/Girish-Kumar-Birdi/0133386-70836","Birdi, Girish Kumar")</f>
        <v>Birdi, Girish Kumar</v>
      </c>
      <c r="B776" s="25" t="s">
        <v>7969</v>
      </c>
      <c r="C776" s="24" t="s">
        <v>7970</v>
      </c>
      <c r="D776" s="24" t="s">
        <v>7971</v>
      </c>
      <c r="E776" s="24" t="s">
        <v>29</v>
      </c>
      <c r="F776" s="24" t="s">
        <v>30</v>
      </c>
      <c r="G776" s="24" t="s">
        <v>61</v>
      </c>
      <c r="H776" s="24" t="s">
        <v>7972</v>
      </c>
      <c r="I776" s="24" t="s">
        <v>7973</v>
      </c>
      <c r="J776" s="24" t="s">
        <v>7974</v>
      </c>
      <c r="K776" s="24"/>
      <c r="L776" s="24" t="s">
        <v>36</v>
      </c>
      <c r="M776" s="15"/>
      <c r="N776" s="15" t="s">
        <v>1449</v>
      </c>
      <c r="O776" s="15"/>
      <c r="P776" s="15" t="s">
        <v>169</v>
      </c>
      <c r="Q776" s="15"/>
      <c r="R776" s="15" t="s">
        <v>7975</v>
      </c>
      <c r="S776" s="24" t="s">
        <v>39</v>
      </c>
      <c r="T776" s="24" t="s">
        <v>39</v>
      </c>
      <c r="U776" s="24" t="s">
        <v>39</v>
      </c>
      <c r="V776" s="24" t="s">
        <v>39</v>
      </c>
      <c r="W776" s="24" t="s">
        <v>7976</v>
      </c>
      <c r="X776" s="24" t="s">
        <v>7977</v>
      </c>
      <c r="Y776" s="15" t="s">
        <v>7978</v>
      </c>
      <c r="Z776" s="15" t="s">
        <v>7979</v>
      </c>
      <c r="AA776" s="24"/>
      <c r="AB776" s="24"/>
      <c r="AC776" s="24"/>
      <c r="AD776" s="24"/>
      <c r="AE776" s="24"/>
      <c r="AF776" s="24"/>
      <c r="AG776" s="24"/>
      <c r="AH776" s="24"/>
    </row>
    <row r="777" spans="1:34" ht="105" x14ac:dyDescent="0.25">
      <c r="A777" s="24" t="str">
        <f>HYPERLINK("https://www.cpso.on.ca/DoctorDetails/Giuseppe-Guaiana/0255002-91426","Guaiana, Giuseppe")</f>
        <v>Guaiana, Giuseppe</v>
      </c>
      <c r="B777" s="25" t="s">
        <v>7980</v>
      </c>
      <c r="C777" s="24" t="s">
        <v>7981</v>
      </c>
      <c r="D777" s="24" t="s">
        <v>7982</v>
      </c>
      <c r="E777" s="24" t="s">
        <v>29</v>
      </c>
      <c r="F777" s="24" t="s">
        <v>30</v>
      </c>
      <c r="G777" s="24" t="s">
        <v>2188</v>
      </c>
      <c r="H777" s="24" t="s">
        <v>7983</v>
      </c>
      <c r="I777" s="24" t="s">
        <v>7984</v>
      </c>
      <c r="J777" s="24" t="s">
        <v>7985</v>
      </c>
      <c r="K777" s="24" t="s">
        <v>7986</v>
      </c>
      <c r="L777" s="24" t="s">
        <v>135</v>
      </c>
      <c r="M777" s="15"/>
      <c r="N777" s="15" t="s">
        <v>4047</v>
      </c>
      <c r="O777" s="15"/>
      <c r="P777" s="15" t="s">
        <v>936</v>
      </c>
      <c r="Q777" s="15"/>
      <c r="R777" s="15" t="s">
        <v>7987</v>
      </c>
      <c r="S777" s="24" t="s">
        <v>39</v>
      </c>
      <c r="T777" s="24" t="s">
        <v>39</v>
      </c>
      <c r="U777" s="24" t="s">
        <v>39</v>
      </c>
      <c r="V777" s="24" t="s">
        <v>39</v>
      </c>
      <c r="W777" s="24" t="s">
        <v>7988</v>
      </c>
      <c r="X777" s="24" t="s">
        <v>7989</v>
      </c>
      <c r="Y777" s="15" t="s">
        <v>7990</v>
      </c>
      <c r="Z777" s="15" t="s">
        <v>7991</v>
      </c>
      <c r="AA777" s="24"/>
      <c r="AB777" s="24"/>
      <c r="AC777" s="24"/>
      <c r="AD777" s="24"/>
      <c r="AE777" s="24"/>
      <c r="AF777" s="24"/>
      <c r="AG777" s="24"/>
      <c r="AH777" s="24"/>
    </row>
    <row r="778" spans="1:34" ht="75" x14ac:dyDescent="0.25">
      <c r="A778" s="24" t="str">
        <f>HYPERLINK("https://www.cpso.on.ca/DoctorDetails/Glenda-Alison-Horowitz/0210975-81583","Horowitz, Glenda Alison")</f>
        <v>Horowitz, Glenda Alison</v>
      </c>
      <c r="B778" s="25" t="s">
        <v>7992</v>
      </c>
      <c r="C778" s="24" t="s">
        <v>7993</v>
      </c>
      <c r="D778" s="24" t="s">
        <v>7994</v>
      </c>
      <c r="E778" s="24" t="s">
        <v>29</v>
      </c>
      <c r="F778" s="24" t="s">
        <v>47</v>
      </c>
      <c r="G778" s="24" t="s">
        <v>31</v>
      </c>
      <c r="H778" s="24" t="s">
        <v>908</v>
      </c>
      <c r="I778" s="24" t="s">
        <v>7995</v>
      </c>
      <c r="J778" s="24" t="s">
        <v>7996</v>
      </c>
      <c r="K778" s="24" t="s">
        <v>7997</v>
      </c>
      <c r="L778" s="24" t="s">
        <v>52</v>
      </c>
      <c r="M778" s="15" t="s">
        <v>7998</v>
      </c>
      <c r="N778" s="15"/>
      <c r="O778" s="15" t="s">
        <v>981</v>
      </c>
      <c r="P778" s="15" t="s">
        <v>7999</v>
      </c>
      <c r="Q778" s="15" t="s">
        <v>56</v>
      </c>
      <c r="R778" s="15" t="s">
        <v>8000</v>
      </c>
      <c r="S778" s="24" t="s">
        <v>39</v>
      </c>
      <c r="T778" s="24" t="s">
        <v>39</v>
      </c>
      <c r="U778" s="24" t="s">
        <v>39</v>
      </c>
      <c r="V778" s="24" t="s">
        <v>39</v>
      </c>
      <c r="W778" s="24" t="s">
        <v>8001</v>
      </c>
      <c r="X778" s="24" t="s">
        <v>8002</v>
      </c>
      <c r="Y778" s="15"/>
      <c r="Z778" s="15"/>
      <c r="AA778" s="24"/>
      <c r="AB778" s="24"/>
      <c r="AC778" s="24"/>
      <c r="AD778" s="24"/>
      <c r="AE778" s="24"/>
      <c r="AF778" s="24"/>
      <c r="AG778" s="24"/>
      <c r="AH778" s="24"/>
    </row>
    <row r="779" spans="1:34" ht="30" x14ac:dyDescent="0.25">
      <c r="A779" s="24" t="str">
        <f>HYPERLINK("https://www.cpso.on.ca/DoctorDetails/Glenda-Marlene-MacQueen/0051196-65175","MacQueen, Glenda Marlene")</f>
        <v>MacQueen, Glenda Marlene</v>
      </c>
      <c r="B779" s="25" t="s">
        <v>8003</v>
      </c>
      <c r="C779" s="24" t="s">
        <v>1908</v>
      </c>
      <c r="D779" s="24" t="s">
        <v>8004</v>
      </c>
      <c r="E779" s="24" t="s">
        <v>29</v>
      </c>
      <c r="F779" s="24" t="s">
        <v>47</v>
      </c>
      <c r="G779" s="24" t="s">
        <v>31</v>
      </c>
      <c r="H779" s="24" t="s">
        <v>8005</v>
      </c>
      <c r="I779" s="24" t="s">
        <v>8006</v>
      </c>
      <c r="J779" s="24" t="s">
        <v>8007</v>
      </c>
      <c r="K779" s="24"/>
      <c r="L779" s="24" t="s">
        <v>135</v>
      </c>
      <c r="M779" s="15"/>
      <c r="N779" s="15" t="s">
        <v>258</v>
      </c>
      <c r="O779" s="15"/>
      <c r="P779" s="15" t="s">
        <v>2042</v>
      </c>
      <c r="Q779" s="15" t="s">
        <v>8008</v>
      </c>
      <c r="R779" s="15" t="s">
        <v>8009</v>
      </c>
      <c r="S779" s="24" t="s">
        <v>39</v>
      </c>
      <c r="T779" s="24" t="s">
        <v>39</v>
      </c>
      <c r="U779" s="24" t="s">
        <v>39</v>
      </c>
      <c r="V779" s="24" t="s">
        <v>39</v>
      </c>
      <c r="W779" s="24" t="s">
        <v>8010</v>
      </c>
      <c r="X779" s="24" t="s">
        <v>8011</v>
      </c>
      <c r="Y779" s="15" t="s">
        <v>8012</v>
      </c>
      <c r="Z779" s="15" t="s">
        <v>8013</v>
      </c>
      <c r="AA779" s="24"/>
      <c r="AB779" s="24"/>
      <c r="AC779" s="24"/>
      <c r="AD779" s="24"/>
      <c r="AE779" s="24"/>
      <c r="AF779" s="24"/>
      <c r="AG779" s="24"/>
      <c r="AH779" s="24"/>
    </row>
    <row r="780" spans="1:34" ht="75" x14ac:dyDescent="0.25">
      <c r="A780" s="24" t="str">
        <f>HYPERLINK("https://www.cpso.on.ca/DoctorDetails/Glendon-Ralph-Tait/0214427-80991","Tait, Glendon Ralph")</f>
        <v>Tait, Glendon Ralph</v>
      </c>
      <c r="B780" s="25" t="s">
        <v>8014</v>
      </c>
      <c r="C780" s="24" t="s">
        <v>45</v>
      </c>
      <c r="D780" s="24" t="s">
        <v>46</v>
      </c>
      <c r="E780" s="24" t="s">
        <v>29</v>
      </c>
      <c r="F780" s="24" t="s">
        <v>30</v>
      </c>
      <c r="G780" s="24" t="s">
        <v>31</v>
      </c>
      <c r="H780" s="24" t="s">
        <v>8015</v>
      </c>
      <c r="I780" s="24" t="s">
        <v>8016</v>
      </c>
      <c r="J780" s="24" t="s">
        <v>8017</v>
      </c>
      <c r="K780" s="24"/>
      <c r="L780" s="24" t="s">
        <v>52</v>
      </c>
      <c r="M780" s="15" t="s">
        <v>8018</v>
      </c>
      <c r="N780" s="15"/>
      <c r="O780" s="15" t="s">
        <v>8019</v>
      </c>
      <c r="P780" s="15" t="s">
        <v>55</v>
      </c>
      <c r="Q780" s="15" t="s">
        <v>56</v>
      </c>
      <c r="R780" s="15" t="s">
        <v>57</v>
      </c>
      <c r="S780" s="24" t="s">
        <v>39</v>
      </c>
      <c r="T780" s="24" t="s">
        <v>39</v>
      </c>
      <c r="U780" s="24" t="s">
        <v>39</v>
      </c>
      <c r="V780" s="24" t="s">
        <v>39</v>
      </c>
      <c r="W780" s="24" t="s">
        <v>8020</v>
      </c>
      <c r="X780" s="24" t="s">
        <v>5304</v>
      </c>
      <c r="Y780" s="15" t="s">
        <v>8021</v>
      </c>
      <c r="Z780" s="15" t="s">
        <v>8022</v>
      </c>
      <c r="AA780" s="24"/>
      <c r="AB780" s="24"/>
      <c r="AC780" s="24"/>
      <c r="AD780" s="24"/>
      <c r="AE780" s="24"/>
      <c r="AF780" s="24"/>
      <c r="AG780" s="24"/>
      <c r="AH780" s="24"/>
    </row>
    <row r="781" spans="1:34" x14ac:dyDescent="0.25">
      <c r="A781" s="24" t="str">
        <f>HYPERLINK("https://www.cpso.on.ca/DoctorDetails/Glenn-Thomas-Renecker/0013599-18380","Renecker, Glenn Thomas")</f>
        <v>Renecker, Glenn Thomas</v>
      </c>
      <c r="B781" s="25" t="s">
        <v>8023</v>
      </c>
      <c r="C781" s="24" t="s">
        <v>8024</v>
      </c>
      <c r="D781" s="24" t="s">
        <v>8025</v>
      </c>
      <c r="E781" s="24" t="s">
        <v>29</v>
      </c>
      <c r="F781" s="24" t="s">
        <v>30</v>
      </c>
      <c r="G781" s="24" t="s">
        <v>31</v>
      </c>
      <c r="H781" s="24" t="s">
        <v>8026</v>
      </c>
      <c r="I781" s="24" t="s">
        <v>8027</v>
      </c>
      <c r="J781" s="24" t="s">
        <v>8028</v>
      </c>
      <c r="K781" s="24" t="s">
        <v>8029</v>
      </c>
      <c r="L781" s="24" t="s">
        <v>52</v>
      </c>
      <c r="M781" s="15"/>
      <c r="N781" s="15"/>
      <c r="O781" s="15"/>
      <c r="P781" s="15" t="s">
        <v>7812</v>
      </c>
      <c r="Q781" s="15"/>
      <c r="R781" s="15" t="s">
        <v>8030</v>
      </c>
      <c r="S781" s="24" t="s">
        <v>39</v>
      </c>
      <c r="T781" s="24" t="s">
        <v>39</v>
      </c>
      <c r="U781" s="24" t="s">
        <v>39</v>
      </c>
      <c r="V781" s="24" t="s">
        <v>39</v>
      </c>
      <c r="W781" s="24"/>
      <c r="X781" s="24"/>
      <c r="Y781" s="15"/>
      <c r="Z781" s="15"/>
      <c r="AA781" s="24"/>
      <c r="AB781" s="24"/>
      <c r="AC781" s="24"/>
      <c r="AD781" s="24"/>
      <c r="AE781" s="24"/>
      <c r="AF781" s="24"/>
      <c r="AG781" s="24"/>
      <c r="AH781" s="24"/>
    </row>
    <row r="782" spans="1:34" ht="75" x14ac:dyDescent="0.25">
      <c r="A782" s="24" t="str">
        <f>HYPERLINK("https://www.cpso.on.ca/DoctorDetails/Goran-Mathew-Eryavec/0044181-58159","Eryavec, Goran Mathew")</f>
        <v>Eryavec, Goran Mathew</v>
      </c>
      <c r="B782" s="25" t="s">
        <v>8031</v>
      </c>
      <c r="C782" s="24" t="s">
        <v>1609</v>
      </c>
      <c r="D782" s="24" t="s">
        <v>2187</v>
      </c>
      <c r="E782" s="24" t="s">
        <v>29</v>
      </c>
      <c r="F782" s="24" t="s">
        <v>30</v>
      </c>
      <c r="G782" s="24" t="s">
        <v>31</v>
      </c>
      <c r="H782" s="24" t="s">
        <v>1839</v>
      </c>
      <c r="I782" s="24" t="s">
        <v>8032</v>
      </c>
      <c r="J782" s="24" t="s">
        <v>8033</v>
      </c>
      <c r="K782" s="24" t="s">
        <v>7477</v>
      </c>
      <c r="L782" s="24" t="s">
        <v>52</v>
      </c>
      <c r="M782" s="15"/>
      <c r="N782" s="15"/>
      <c r="O782" s="15" t="s">
        <v>232</v>
      </c>
      <c r="P782" s="15" t="s">
        <v>8034</v>
      </c>
      <c r="Q782" s="15" t="s">
        <v>8035</v>
      </c>
      <c r="R782" s="15" t="s">
        <v>2194</v>
      </c>
      <c r="S782" s="24" t="s">
        <v>39</v>
      </c>
      <c r="T782" s="24" t="s">
        <v>39</v>
      </c>
      <c r="U782" s="24" t="s">
        <v>39</v>
      </c>
      <c r="V782" s="24" t="s">
        <v>39</v>
      </c>
      <c r="W782" s="24" t="s">
        <v>8036</v>
      </c>
      <c r="X782" s="24" t="s">
        <v>8037</v>
      </c>
      <c r="Y782" s="15" t="s">
        <v>8038</v>
      </c>
      <c r="Z782" s="15" t="s">
        <v>8039</v>
      </c>
      <c r="AA782" s="24"/>
      <c r="AB782" s="24"/>
      <c r="AC782" s="24"/>
      <c r="AD782" s="24"/>
      <c r="AE782" s="24"/>
      <c r="AF782" s="24"/>
      <c r="AG782" s="24"/>
      <c r="AH782" s="24"/>
    </row>
    <row r="783" spans="1:34" ht="180" x14ac:dyDescent="0.25">
      <c r="A783" s="24" t="str">
        <f>HYPERLINK("https://www.cpso.on.ca/DoctorDetails/Gordon-Robert-Thomas/0205176-79122","Thomas, Gordon Robert")</f>
        <v>Thomas, Gordon Robert</v>
      </c>
      <c r="B783" s="25" t="s">
        <v>8040</v>
      </c>
      <c r="C783" s="24" t="s">
        <v>871</v>
      </c>
      <c r="D783" s="24" t="s">
        <v>872</v>
      </c>
      <c r="E783" s="24" t="s">
        <v>29</v>
      </c>
      <c r="F783" s="24" t="s">
        <v>30</v>
      </c>
      <c r="G783" s="24" t="s">
        <v>31</v>
      </c>
      <c r="H783" s="24" t="s">
        <v>8041</v>
      </c>
      <c r="I783" s="24" t="s">
        <v>8042</v>
      </c>
      <c r="J783" s="24" t="s">
        <v>8043</v>
      </c>
      <c r="K783" s="24" t="s">
        <v>1613</v>
      </c>
      <c r="L783" s="24" t="s">
        <v>84</v>
      </c>
      <c r="M783" s="15"/>
      <c r="N783" s="15"/>
      <c r="O783" s="15" t="s">
        <v>8044</v>
      </c>
      <c r="P783" s="15" t="s">
        <v>8045</v>
      </c>
      <c r="Q783" s="15" t="s">
        <v>8046</v>
      </c>
      <c r="R783" s="15" t="s">
        <v>882</v>
      </c>
      <c r="S783" s="24" t="s">
        <v>39</v>
      </c>
      <c r="T783" s="24" t="s">
        <v>39</v>
      </c>
      <c r="U783" s="24" t="s">
        <v>39</v>
      </c>
      <c r="V783" s="24" t="s">
        <v>39</v>
      </c>
      <c r="W783" s="24" t="s">
        <v>8047</v>
      </c>
      <c r="X783" s="24" t="s">
        <v>2352</v>
      </c>
      <c r="Y783" s="15" t="s">
        <v>8048</v>
      </c>
      <c r="Z783" s="15" t="s">
        <v>8049</v>
      </c>
      <c r="AA783" s="24"/>
      <c r="AB783" s="24"/>
      <c r="AC783" s="24"/>
      <c r="AD783" s="24"/>
      <c r="AE783" s="24"/>
      <c r="AF783" s="24"/>
      <c r="AG783" s="24"/>
      <c r="AH783" s="24"/>
    </row>
    <row r="784" spans="1:34" x14ac:dyDescent="0.25">
      <c r="A784" s="24" t="str">
        <f>HYPERLINK("https://www.cpso.on.ca/DoctorDetails/Gordon-Walter-Yanchyshyn/0027446-32269","Yanchyshyn, Gordon Walter")</f>
        <v>Yanchyshyn, Gordon Walter</v>
      </c>
      <c r="B784" s="25" t="s">
        <v>8050</v>
      </c>
      <c r="C784" s="24" t="s">
        <v>8051</v>
      </c>
      <c r="D784" s="24" t="s">
        <v>8052</v>
      </c>
      <c r="E784" s="24" t="s">
        <v>29</v>
      </c>
      <c r="F784" s="24" t="s">
        <v>30</v>
      </c>
      <c r="G784" s="24" t="s">
        <v>31</v>
      </c>
      <c r="H784" s="24" t="s">
        <v>8053</v>
      </c>
      <c r="I784" s="24" t="s">
        <v>8054</v>
      </c>
      <c r="J784" s="24" t="s">
        <v>8055</v>
      </c>
      <c r="K784" s="24"/>
      <c r="L784" s="24" t="s">
        <v>52</v>
      </c>
      <c r="M784" s="15"/>
      <c r="N784" s="15"/>
      <c r="O784" s="15"/>
      <c r="P784" s="15" t="s">
        <v>8056</v>
      </c>
      <c r="Q784" s="15"/>
      <c r="R784" s="15" t="s">
        <v>8057</v>
      </c>
      <c r="S784" s="24" t="s">
        <v>39</v>
      </c>
      <c r="T784" s="24" t="s">
        <v>39</v>
      </c>
      <c r="U784" s="24" t="s">
        <v>39</v>
      </c>
      <c r="V784" s="24" t="s">
        <v>39</v>
      </c>
      <c r="W784" s="24" t="s">
        <v>8058</v>
      </c>
      <c r="X784" s="24" t="s">
        <v>8059</v>
      </c>
      <c r="Y784" s="15" t="s">
        <v>8060</v>
      </c>
      <c r="Z784" s="15" t="s">
        <v>8061</v>
      </c>
      <c r="AA784" s="24"/>
      <c r="AB784" s="24"/>
      <c r="AC784" s="24"/>
      <c r="AD784" s="24"/>
      <c r="AE784" s="24"/>
      <c r="AF784" s="24"/>
      <c r="AG784" s="24"/>
      <c r="AH784" s="24"/>
    </row>
    <row r="785" spans="1:34" ht="45" x14ac:dyDescent="0.25">
      <c r="A785" s="24" t="str">
        <f>HYPERLINK("https://www.cpso.on.ca/DoctorDetails/Gordon-Warme/0012589-17369","Warme, Gordon")</f>
        <v>Warme, Gordon</v>
      </c>
      <c r="B785" s="25" t="s">
        <v>8062</v>
      </c>
      <c r="C785" s="24" t="s">
        <v>8063</v>
      </c>
      <c r="D785" s="24" t="s">
        <v>8064</v>
      </c>
      <c r="E785" s="24" t="s">
        <v>29</v>
      </c>
      <c r="F785" s="24" t="s">
        <v>30</v>
      </c>
      <c r="G785" s="24" t="s">
        <v>6608</v>
      </c>
      <c r="H785" s="24" t="s">
        <v>8065</v>
      </c>
      <c r="I785" s="24" t="s">
        <v>8066</v>
      </c>
      <c r="J785" s="24" t="s">
        <v>8067</v>
      </c>
      <c r="K785" s="24" t="s">
        <v>8068</v>
      </c>
      <c r="L785" s="24" t="s">
        <v>52</v>
      </c>
      <c r="M785" s="15"/>
      <c r="N785" s="15"/>
      <c r="O785" s="15"/>
      <c r="P785" s="15" t="s">
        <v>8069</v>
      </c>
      <c r="Q785" s="15"/>
      <c r="R785" s="15" t="s">
        <v>8070</v>
      </c>
      <c r="S785" s="24" t="s">
        <v>39</v>
      </c>
      <c r="T785" s="24" t="s">
        <v>39</v>
      </c>
      <c r="U785" s="24" t="s">
        <v>39</v>
      </c>
      <c r="V785" s="24" t="s">
        <v>39</v>
      </c>
      <c r="W785" s="24"/>
      <c r="X785" s="24"/>
      <c r="Y785" s="15"/>
      <c r="Z785" s="15"/>
      <c r="AA785" s="24"/>
      <c r="AB785" s="24"/>
      <c r="AC785" s="24"/>
      <c r="AD785" s="24"/>
      <c r="AE785" s="24"/>
      <c r="AF785" s="24"/>
      <c r="AG785" s="24"/>
      <c r="AH785" s="24"/>
    </row>
    <row r="786" spans="1:34" x14ac:dyDescent="0.25">
      <c r="A786" s="24" t="str">
        <f>HYPERLINK("https://www.cpso.on.ca/DoctorDetails/Gordon-William-Tisdall/0014753-19537","Tisdall, Gordon William")</f>
        <v>Tisdall, Gordon William</v>
      </c>
      <c r="B786" s="25" t="s">
        <v>8071</v>
      </c>
      <c r="C786" s="24" t="s">
        <v>8072</v>
      </c>
      <c r="D786" s="24" t="s">
        <v>8073</v>
      </c>
      <c r="E786" s="24" t="s">
        <v>29</v>
      </c>
      <c r="F786" s="24" t="s">
        <v>30</v>
      </c>
      <c r="G786" s="24" t="s">
        <v>31</v>
      </c>
      <c r="H786" s="24" t="s">
        <v>3108</v>
      </c>
      <c r="I786" s="24" t="s">
        <v>8074</v>
      </c>
      <c r="J786" s="24" t="s">
        <v>8075</v>
      </c>
      <c r="K786" s="24" t="s">
        <v>8076</v>
      </c>
      <c r="L786" s="24" t="s">
        <v>52</v>
      </c>
      <c r="M786" s="15"/>
      <c r="N786" s="15"/>
      <c r="O786" s="15"/>
      <c r="P786" s="15" t="s">
        <v>5022</v>
      </c>
      <c r="Q786" s="15"/>
      <c r="R786" s="15" t="s">
        <v>8077</v>
      </c>
      <c r="S786" s="24" t="s">
        <v>39</v>
      </c>
      <c r="T786" s="24" t="s">
        <v>39</v>
      </c>
      <c r="U786" s="24" t="s">
        <v>39</v>
      </c>
      <c r="V786" s="24" t="s">
        <v>39</v>
      </c>
      <c r="W786" s="24"/>
      <c r="X786" s="24"/>
      <c r="Y786" s="15"/>
      <c r="Z786" s="15"/>
      <c r="AA786" s="24"/>
      <c r="AB786" s="24"/>
      <c r="AC786" s="24"/>
      <c r="AD786" s="24"/>
      <c r="AE786" s="24"/>
      <c r="AF786" s="24"/>
      <c r="AG786" s="24"/>
      <c r="AH786" s="24"/>
    </row>
    <row r="787" spans="1:34" ht="120" x14ac:dyDescent="0.25">
      <c r="A787" s="24" t="str">
        <f>HYPERLINK("https://www.cpso.on.ca/DoctorDetails/Graciela-Ruth-Kriegel-Perez/0241550-86154","Kriegel Perez, Graciela Ruth")</f>
        <v>Kriegel Perez, Graciela Ruth</v>
      </c>
      <c r="B787" s="25" t="s">
        <v>8078</v>
      </c>
      <c r="C787" s="24" t="s">
        <v>8079</v>
      </c>
      <c r="D787" s="24" t="s">
        <v>8080</v>
      </c>
      <c r="E787" s="24" t="s">
        <v>29</v>
      </c>
      <c r="F787" s="24" t="s">
        <v>47</v>
      </c>
      <c r="G787" s="24" t="s">
        <v>115</v>
      </c>
      <c r="H787" s="24" t="s">
        <v>8081</v>
      </c>
      <c r="I787" s="24" t="s">
        <v>2871</v>
      </c>
      <c r="J787" s="24" t="s">
        <v>8082</v>
      </c>
      <c r="K787" s="24" t="s">
        <v>8083</v>
      </c>
      <c r="L787" s="24" t="s">
        <v>36</v>
      </c>
      <c r="M787" s="15" t="s">
        <v>8084</v>
      </c>
      <c r="N787" s="15" t="s">
        <v>8085</v>
      </c>
      <c r="O787" s="15" t="s">
        <v>3590</v>
      </c>
      <c r="P787" s="15" t="s">
        <v>654</v>
      </c>
      <c r="Q787" s="15" t="s">
        <v>8086</v>
      </c>
      <c r="R787" s="15" t="s">
        <v>8087</v>
      </c>
      <c r="S787" s="24" t="s">
        <v>39</v>
      </c>
      <c r="T787" s="24" t="s">
        <v>39</v>
      </c>
      <c r="U787" s="24" t="s">
        <v>39</v>
      </c>
      <c r="V787" s="24" t="s">
        <v>39</v>
      </c>
      <c r="W787" s="24" t="s">
        <v>8088</v>
      </c>
      <c r="X787" s="24" t="s">
        <v>8089</v>
      </c>
      <c r="Y787" s="15" t="s">
        <v>8090</v>
      </c>
      <c r="Z787" s="15" t="s">
        <v>8091</v>
      </c>
      <c r="AA787" s="24"/>
      <c r="AB787" s="24"/>
      <c r="AC787" s="24"/>
      <c r="AD787" s="24"/>
      <c r="AE787" s="24"/>
      <c r="AF787" s="24"/>
      <c r="AG787" s="24"/>
      <c r="AH787" s="24"/>
    </row>
    <row r="788" spans="1:34" ht="45" x14ac:dyDescent="0.25">
      <c r="A788" s="24" t="str">
        <f>HYPERLINK("https://www.cpso.on.ca/DoctorDetails/Graham-David-Glancy/0036043-50019","Glancy, Graham David")</f>
        <v>Glancy, Graham David</v>
      </c>
      <c r="B788" s="25" t="s">
        <v>8092</v>
      </c>
      <c r="C788" s="24" t="s">
        <v>5667</v>
      </c>
      <c r="D788" s="24" t="s">
        <v>8093</v>
      </c>
      <c r="E788" s="24" t="s">
        <v>29</v>
      </c>
      <c r="F788" s="24" t="s">
        <v>30</v>
      </c>
      <c r="G788" s="24" t="s">
        <v>31</v>
      </c>
      <c r="H788" s="24" t="s">
        <v>8094</v>
      </c>
      <c r="I788" s="24" t="s">
        <v>8095</v>
      </c>
      <c r="J788" s="24" t="s">
        <v>8096</v>
      </c>
      <c r="K788" s="24"/>
      <c r="L788" s="24" t="s">
        <v>52</v>
      </c>
      <c r="M788" s="15"/>
      <c r="N788" s="15" t="s">
        <v>398</v>
      </c>
      <c r="O788" s="15"/>
      <c r="P788" s="15" t="s">
        <v>527</v>
      </c>
      <c r="Q788" s="15"/>
      <c r="R788" s="15" t="s">
        <v>8097</v>
      </c>
      <c r="S788" s="24" t="s">
        <v>39</v>
      </c>
      <c r="T788" s="24" t="s">
        <v>39</v>
      </c>
      <c r="U788" s="24" t="s">
        <v>39</v>
      </c>
      <c r="V788" s="24" t="s">
        <v>39</v>
      </c>
      <c r="W788" s="24" t="s">
        <v>8098</v>
      </c>
      <c r="X788" s="24" t="s">
        <v>6983</v>
      </c>
      <c r="Y788" s="15" t="s">
        <v>8099</v>
      </c>
      <c r="Z788" s="15" t="s">
        <v>8100</v>
      </c>
      <c r="AA788" s="24"/>
      <c r="AB788" s="24"/>
      <c r="AC788" s="24"/>
      <c r="AD788" s="24"/>
      <c r="AE788" s="24"/>
      <c r="AF788" s="24"/>
      <c r="AG788" s="24"/>
      <c r="AH788" s="24"/>
    </row>
    <row r="789" spans="1:34" ht="45" x14ac:dyDescent="0.25">
      <c r="A789" s="24" t="str">
        <f>HYPERLINK("https://www.cpso.on.ca/DoctorDetails/Grainne-Marian-Goodwin/0046480-60458","Goodwin, Grainne Marian")</f>
        <v>Goodwin, Grainne Marian</v>
      </c>
      <c r="B789" s="25" t="s">
        <v>8101</v>
      </c>
      <c r="C789" s="24" t="s">
        <v>8102</v>
      </c>
      <c r="D789" s="24" t="s">
        <v>8103</v>
      </c>
      <c r="E789" s="24" t="s">
        <v>29</v>
      </c>
      <c r="F789" s="24" t="s">
        <v>47</v>
      </c>
      <c r="G789" s="24" t="s">
        <v>31</v>
      </c>
      <c r="H789" s="24" t="s">
        <v>8104</v>
      </c>
      <c r="I789" s="24" t="s">
        <v>8105</v>
      </c>
      <c r="J789" s="24" t="s">
        <v>8106</v>
      </c>
      <c r="K789" s="24"/>
      <c r="L789" s="24" t="s">
        <v>52</v>
      </c>
      <c r="M789" s="15"/>
      <c r="N789" s="15"/>
      <c r="O789" s="15"/>
      <c r="P789" s="15" t="s">
        <v>122</v>
      </c>
      <c r="Q789" s="15"/>
      <c r="R789" s="15" t="s">
        <v>8107</v>
      </c>
      <c r="S789" s="24" t="s">
        <v>39</v>
      </c>
      <c r="T789" s="24" t="s">
        <v>39</v>
      </c>
      <c r="U789" s="24" t="s">
        <v>39</v>
      </c>
      <c r="V789" s="24" t="s">
        <v>39</v>
      </c>
      <c r="W789" s="24" t="s">
        <v>8108</v>
      </c>
      <c r="X789" s="24" t="s">
        <v>8109</v>
      </c>
      <c r="Y789" s="15" t="s">
        <v>8110</v>
      </c>
      <c r="Z789" s="15" t="s">
        <v>8111</v>
      </c>
      <c r="AA789" s="24"/>
      <c r="AB789" s="24"/>
      <c r="AC789" s="24"/>
      <c r="AD789" s="24"/>
      <c r="AE789" s="24"/>
      <c r="AF789" s="24"/>
      <c r="AG789" s="24"/>
      <c r="AH789" s="24"/>
    </row>
    <row r="790" spans="1:34" ht="45" x14ac:dyDescent="0.25">
      <c r="A790" s="24" t="str">
        <f>HYPERLINK("https://www.cpso.on.ca/DoctorDetails/Granville-Arman-Dacosta/0015662-20447","Dacosta, Granville Arman")</f>
        <v>Dacosta, Granville Arman</v>
      </c>
      <c r="B790" s="25" t="s">
        <v>8112</v>
      </c>
      <c r="C790" s="24" t="s">
        <v>8113</v>
      </c>
      <c r="D790" s="24" t="s">
        <v>8114</v>
      </c>
      <c r="E790" s="24" t="s">
        <v>29</v>
      </c>
      <c r="F790" s="24" t="s">
        <v>30</v>
      </c>
      <c r="G790" s="24" t="s">
        <v>31</v>
      </c>
      <c r="H790" s="24" t="s">
        <v>8115</v>
      </c>
      <c r="I790" s="24" t="s">
        <v>8116</v>
      </c>
      <c r="J790" s="24" t="s">
        <v>8117</v>
      </c>
      <c r="K790" s="24" t="s">
        <v>8118</v>
      </c>
      <c r="L790" s="24" t="s">
        <v>52</v>
      </c>
      <c r="M790" s="15"/>
      <c r="N790" s="15" t="s">
        <v>3708</v>
      </c>
      <c r="O790" s="15"/>
      <c r="P790" s="15" t="s">
        <v>6424</v>
      </c>
      <c r="Q790" s="15"/>
      <c r="R790" s="15" t="s">
        <v>8119</v>
      </c>
      <c r="S790" s="24" t="s">
        <v>39</v>
      </c>
      <c r="T790" s="24" t="s">
        <v>39</v>
      </c>
      <c r="U790" s="24" t="s">
        <v>39</v>
      </c>
      <c r="V790" s="24" t="s">
        <v>39</v>
      </c>
      <c r="W790" s="24"/>
      <c r="X790" s="24"/>
      <c r="Y790" s="15"/>
      <c r="Z790" s="15"/>
      <c r="AA790" s="24"/>
      <c r="AB790" s="24"/>
      <c r="AC790" s="24"/>
      <c r="AD790" s="24"/>
      <c r="AE790" s="24"/>
      <c r="AF790" s="24"/>
      <c r="AG790" s="24"/>
      <c r="AH790" s="24"/>
    </row>
    <row r="791" spans="1:34" ht="45" x14ac:dyDescent="0.25">
      <c r="A791" s="24" t="str">
        <f>HYPERLINK("https://www.cpso.on.ca/DoctorDetails/Grazyna-Margaret-Kozerawski/0037022-50998","Kozerawski, Grazyna Margaret")</f>
        <v>Kozerawski, Grazyna Margaret</v>
      </c>
      <c r="B791" s="25" t="s">
        <v>8120</v>
      </c>
      <c r="C791" s="24" t="s">
        <v>520</v>
      </c>
      <c r="D791" s="24" t="s">
        <v>8121</v>
      </c>
      <c r="E791" s="24" t="s">
        <v>29</v>
      </c>
      <c r="F791" s="24" t="s">
        <v>47</v>
      </c>
      <c r="G791" s="24" t="s">
        <v>1657</v>
      </c>
      <c r="H791" s="24" t="s">
        <v>8122</v>
      </c>
      <c r="I791" s="24" t="s">
        <v>8123</v>
      </c>
      <c r="J791" s="24" t="s">
        <v>8124</v>
      </c>
      <c r="K791" s="24" t="s">
        <v>8125</v>
      </c>
      <c r="L791" s="24" t="s">
        <v>52</v>
      </c>
      <c r="M791" s="15" t="s">
        <v>8126</v>
      </c>
      <c r="N791" s="15"/>
      <c r="O791" s="15" t="s">
        <v>1784</v>
      </c>
      <c r="P791" s="15" t="s">
        <v>5827</v>
      </c>
      <c r="Q791" s="15"/>
      <c r="R791" s="15" t="s">
        <v>8127</v>
      </c>
      <c r="S791" s="24" t="s">
        <v>39</v>
      </c>
      <c r="T791" s="24" t="s">
        <v>39</v>
      </c>
      <c r="U791" s="24" t="s">
        <v>39</v>
      </c>
      <c r="V791" s="24" t="s">
        <v>39</v>
      </c>
      <c r="W791" s="24"/>
      <c r="X791" s="24"/>
      <c r="Y791" s="15"/>
      <c r="Z791" s="15"/>
      <c r="AA791" s="24"/>
      <c r="AB791" s="24"/>
      <c r="AC791" s="24"/>
      <c r="AD791" s="24"/>
      <c r="AE791" s="24"/>
      <c r="AF791" s="24"/>
      <c r="AG791" s="24"/>
      <c r="AH791" s="24"/>
    </row>
    <row r="792" spans="1:34" ht="60" x14ac:dyDescent="0.25">
      <c r="A792" s="24" t="str">
        <f>HYPERLINK("https://www.cpso.on.ca/DoctorDetails/Grazyna-Morton/0041996-55974","Morton, Grazyna")</f>
        <v>Morton, Grazyna</v>
      </c>
      <c r="B792" s="25" t="s">
        <v>8128</v>
      </c>
      <c r="C792" s="24" t="s">
        <v>8129</v>
      </c>
      <c r="D792" s="24" t="s">
        <v>8130</v>
      </c>
      <c r="E792" s="24" t="s">
        <v>8131</v>
      </c>
      <c r="F792" s="24" t="s">
        <v>47</v>
      </c>
      <c r="G792" s="24" t="s">
        <v>1657</v>
      </c>
      <c r="H792" s="24" t="s">
        <v>8132</v>
      </c>
      <c r="I792" s="24" t="s">
        <v>8133</v>
      </c>
      <c r="J792" s="24" t="s">
        <v>8134</v>
      </c>
      <c r="K792" s="24" t="s">
        <v>6496</v>
      </c>
      <c r="L792" s="24" t="s">
        <v>84</v>
      </c>
      <c r="M792" s="15"/>
      <c r="N792" s="15"/>
      <c r="O792" s="15" t="s">
        <v>498</v>
      </c>
      <c r="P792" s="15" t="s">
        <v>2137</v>
      </c>
      <c r="Q792" s="15" t="s">
        <v>8135</v>
      </c>
      <c r="R792" s="15" t="s">
        <v>8136</v>
      </c>
      <c r="S792" s="24" t="s">
        <v>39</v>
      </c>
      <c r="T792" s="24" t="s">
        <v>39</v>
      </c>
      <c r="U792" s="24" t="s">
        <v>39</v>
      </c>
      <c r="V792" s="24" t="s">
        <v>39</v>
      </c>
      <c r="W792" s="24"/>
      <c r="X792" s="24"/>
      <c r="Y792" s="15"/>
      <c r="Z792" s="15"/>
      <c r="AA792" s="24"/>
      <c r="AB792" s="24"/>
      <c r="AC792" s="24"/>
      <c r="AD792" s="24"/>
      <c r="AE792" s="24"/>
      <c r="AF792" s="24"/>
      <c r="AG792" s="24"/>
      <c r="AH792" s="24"/>
    </row>
    <row r="793" spans="1:34" ht="75" x14ac:dyDescent="0.25">
      <c r="A793" s="24" t="str">
        <f>HYPERLINK("https://www.cpso.on.ca/DoctorDetails/Gregory-Alexander-Jaychuk/0040405-54381","Jaychuk, Gregory Alexander")</f>
        <v>Jaychuk, Gregory Alexander</v>
      </c>
      <c r="B793" s="25" t="s">
        <v>8137</v>
      </c>
      <c r="C793" s="24" t="s">
        <v>8138</v>
      </c>
      <c r="D793" s="24" t="s">
        <v>8139</v>
      </c>
      <c r="E793" s="24" t="s">
        <v>29</v>
      </c>
      <c r="F793" s="24" t="s">
        <v>30</v>
      </c>
      <c r="G793" s="24" t="s">
        <v>31</v>
      </c>
      <c r="H793" s="24" t="s">
        <v>8140</v>
      </c>
      <c r="I793" s="24" t="s">
        <v>8141</v>
      </c>
      <c r="J793" s="24" t="s">
        <v>8142</v>
      </c>
      <c r="K793" s="24"/>
      <c r="L793" s="24" t="s">
        <v>135</v>
      </c>
      <c r="M793" s="15"/>
      <c r="N793" s="15"/>
      <c r="O793" s="15" t="s">
        <v>8143</v>
      </c>
      <c r="P793" s="15" t="s">
        <v>2137</v>
      </c>
      <c r="Q793" s="15" t="s">
        <v>8144</v>
      </c>
      <c r="R793" s="15" t="s">
        <v>8145</v>
      </c>
      <c r="S793" s="24" t="s">
        <v>39</v>
      </c>
      <c r="T793" s="24" t="s">
        <v>39</v>
      </c>
      <c r="U793" s="24" t="s">
        <v>39</v>
      </c>
      <c r="V793" s="24" t="s">
        <v>39</v>
      </c>
      <c r="W793" s="24" t="s">
        <v>8146</v>
      </c>
      <c r="X793" s="24" t="s">
        <v>8147</v>
      </c>
      <c r="Y793" s="15" t="s">
        <v>8148</v>
      </c>
      <c r="Z793" s="15" t="s">
        <v>8149</v>
      </c>
      <c r="AA793" s="24"/>
      <c r="AB793" s="24"/>
      <c r="AC793" s="24"/>
      <c r="AD793" s="24"/>
      <c r="AE793" s="24"/>
      <c r="AF793" s="24"/>
      <c r="AG793" s="24"/>
      <c r="AH793" s="24"/>
    </row>
    <row r="794" spans="1:34" ht="30" x14ac:dyDescent="0.25">
      <c r="A794" s="24" t="str">
        <f>HYPERLINK("https://www.cpso.on.ca/DoctorDetails/Gregory-Craig-Gosse/0038848-52824","Gosse, Gregory Craig")</f>
        <v>Gosse, Gregory Craig</v>
      </c>
      <c r="B794" s="25" t="s">
        <v>8150</v>
      </c>
      <c r="C794" s="24" t="s">
        <v>2000</v>
      </c>
      <c r="D794" s="24" t="s">
        <v>8151</v>
      </c>
      <c r="E794" s="24" t="s">
        <v>29</v>
      </c>
      <c r="F794" s="24" t="s">
        <v>30</v>
      </c>
      <c r="G794" s="24" t="s">
        <v>31</v>
      </c>
      <c r="H794" s="24" t="s">
        <v>3875</v>
      </c>
      <c r="I794" s="24" t="s">
        <v>8152</v>
      </c>
      <c r="J794" s="24" t="s">
        <v>8153</v>
      </c>
      <c r="K794" s="24" t="s">
        <v>8154</v>
      </c>
      <c r="L794" s="24"/>
      <c r="M794" s="15"/>
      <c r="N794" s="15" t="s">
        <v>194</v>
      </c>
      <c r="O794" s="15"/>
      <c r="P794" s="15" t="s">
        <v>3423</v>
      </c>
      <c r="Q794" s="15" t="s">
        <v>8155</v>
      </c>
      <c r="R794" s="15" t="s">
        <v>8156</v>
      </c>
      <c r="S794" s="24" t="s">
        <v>39</v>
      </c>
      <c r="T794" s="24" t="s">
        <v>39</v>
      </c>
      <c r="U794" s="24" t="s">
        <v>39</v>
      </c>
      <c r="V794" s="24" t="s">
        <v>39</v>
      </c>
      <c r="W794" s="24"/>
      <c r="X794" s="24"/>
      <c r="Y794" s="15"/>
      <c r="Z794" s="15"/>
      <c r="AA794" s="24"/>
      <c r="AB794" s="24"/>
      <c r="AC794" s="24"/>
      <c r="AD794" s="24"/>
      <c r="AE794" s="24"/>
      <c r="AF794" s="24"/>
      <c r="AG794" s="24"/>
      <c r="AH794" s="24"/>
    </row>
    <row r="795" spans="1:34" ht="75" x14ac:dyDescent="0.25">
      <c r="A795" s="24" t="str">
        <f>HYPERLINK("https://www.cpso.on.ca/DoctorDetails/Gregory-George-Motayne/0037282-51258","Motayne, Gregory George")</f>
        <v>Motayne, Gregory George</v>
      </c>
      <c r="B795" s="25" t="s">
        <v>8157</v>
      </c>
      <c r="C795" s="24" t="s">
        <v>8158</v>
      </c>
      <c r="D795" s="24" t="s">
        <v>7764</v>
      </c>
      <c r="E795" s="24" t="s">
        <v>29</v>
      </c>
      <c r="F795" s="24" t="s">
        <v>30</v>
      </c>
      <c r="G795" s="24" t="s">
        <v>31</v>
      </c>
      <c r="H795" s="24" t="s">
        <v>2014</v>
      </c>
      <c r="I795" s="24" t="s">
        <v>8159</v>
      </c>
      <c r="J795" s="24" t="s">
        <v>8160</v>
      </c>
      <c r="K795" s="24" t="s">
        <v>8161</v>
      </c>
      <c r="L795" s="24" t="s">
        <v>84</v>
      </c>
      <c r="M795" s="15"/>
      <c r="N795" s="15"/>
      <c r="O795" s="15" t="s">
        <v>6139</v>
      </c>
      <c r="P795" s="15" t="s">
        <v>6038</v>
      </c>
      <c r="Q795" s="15" t="s">
        <v>8162</v>
      </c>
      <c r="R795" s="15" t="s">
        <v>8163</v>
      </c>
      <c r="S795" s="24" t="s">
        <v>39</v>
      </c>
      <c r="T795" s="24" t="s">
        <v>39</v>
      </c>
      <c r="U795" s="24" t="s">
        <v>39</v>
      </c>
      <c r="V795" s="24" t="s">
        <v>39</v>
      </c>
      <c r="W795" s="24"/>
      <c r="X795" s="24"/>
      <c r="Y795" s="15"/>
      <c r="Z795" s="15"/>
      <c r="AA795" s="24"/>
      <c r="AB795" s="24"/>
      <c r="AC795" s="24"/>
      <c r="AD795" s="24"/>
      <c r="AE795" s="24"/>
      <c r="AF795" s="24"/>
      <c r="AG795" s="24"/>
      <c r="AH795" s="24"/>
    </row>
    <row r="796" spans="1:34" ht="105" x14ac:dyDescent="0.25">
      <c r="A796" s="24" t="str">
        <f>HYPERLINK("https://www.cpso.on.ca/DoctorDetails/Gregory-Michael-Lodenquai/0150076-72404","Lodenquai, Gregory Michael")</f>
        <v>Lodenquai, Gregory Michael</v>
      </c>
      <c r="B796" s="25" t="s">
        <v>8164</v>
      </c>
      <c r="C796" s="24" t="s">
        <v>954</v>
      </c>
      <c r="D796" s="24" t="s">
        <v>1323</v>
      </c>
      <c r="E796" s="24" t="s">
        <v>29</v>
      </c>
      <c r="F796" s="24" t="s">
        <v>30</v>
      </c>
      <c r="G796" s="24" t="s">
        <v>31</v>
      </c>
      <c r="H796" s="24" t="s">
        <v>8165</v>
      </c>
      <c r="I796" s="24" t="s">
        <v>8166</v>
      </c>
      <c r="J796" s="24" t="s">
        <v>8167</v>
      </c>
      <c r="K796" s="24" t="s">
        <v>8168</v>
      </c>
      <c r="L796" s="24" t="s">
        <v>52</v>
      </c>
      <c r="M796" s="15"/>
      <c r="N796" s="15"/>
      <c r="O796" s="15"/>
      <c r="P796" s="15" t="s">
        <v>1330</v>
      </c>
      <c r="Q796" s="15" t="s">
        <v>8169</v>
      </c>
      <c r="R796" s="15" t="s">
        <v>2171</v>
      </c>
      <c r="S796" s="24" t="s">
        <v>39</v>
      </c>
      <c r="T796" s="24" t="s">
        <v>39</v>
      </c>
      <c r="U796" s="24" t="s">
        <v>39</v>
      </c>
      <c r="V796" s="24" t="s">
        <v>39</v>
      </c>
      <c r="W796" s="24" t="s">
        <v>8170</v>
      </c>
      <c r="X796" s="24" t="s">
        <v>8171</v>
      </c>
      <c r="Y796" s="15" t="s">
        <v>8172</v>
      </c>
      <c r="Z796" s="15" t="s">
        <v>8173</v>
      </c>
      <c r="AA796" s="24"/>
      <c r="AB796" s="24"/>
      <c r="AC796" s="24"/>
      <c r="AD796" s="24"/>
      <c r="AE796" s="24"/>
      <c r="AF796" s="24"/>
      <c r="AG796" s="24"/>
      <c r="AH796" s="24"/>
    </row>
    <row r="797" spans="1:34" ht="75" x14ac:dyDescent="0.25">
      <c r="A797" s="24" t="str">
        <f>HYPERLINK("https://www.cpso.on.ca/DoctorDetails/Gregory-Mitchell-Chandler/0203370-79331","Chandler, Gregory Mitchell")</f>
        <v>Chandler, Gregory Mitchell</v>
      </c>
      <c r="B797" s="25" t="s">
        <v>8174</v>
      </c>
      <c r="C797" s="24" t="s">
        <v>8175</v>
      </c>
      <c r="D797" s="24" t="s">
        <v>46</v>
      </c>
      <c r="E797" s="24" t="s">
        <v>29</v>
      </c>
      <c r="F797" s="24" t="s">
        <v>30</v>
      </c>
      <c r="G797" s="24" t="s">
        <v>31</v>
      </c>
      <c r="H797" s="24" t="s">
        <v>8176</v>
      </c>
      <c r="I797" s="24" t="s">
        <v>8177</v>
      </c>
      <c r="J797" s="24" t="s">
        <v>1527</v>
      </c>
      <c r="K797" s="24"/>
      <c r="L797" s="24" t="s">
        <v>52</v>
      </c>
      <c r="M797" s="15"/>
      <c r="N797" s="15"/>
      <c r="O797" s="15" t="s">
        <v>1201</v>
      </c>
      <c r="P797" s="15" t="s">
        <v>880</v>
      </c>
      <c r="Q797" s="15" t="s">
        <v>1607</v>
      </c>
      <c r="R797" s="15" t="s">
        <v>8178</v>
      </c>
      <c r="S797" s="24" t="s">
        <v>39</v>
      </c>
      <c r="T797" s="24" t="s">
        <v>39</v>
      </c>
      <c r="U797" s="24" t="s">
        <v>39</v>
      </c>
      <c r="V797" s="24" t="s">
        <v>39</v>
      </c>
      <c r="W797" s="24" t="s">
        <v>8179</v>
      </c>
      <c r="X797" s="24" t="s">
        <v>8180</v>
      </c>
      <c r="Y797" s="15" t="s">
        <v>8181</v>
      </c>
      <c r="Z797" s="15" t="s">
        <v>8182</v>
      </c>
      <c r="AA797" s="24"/>
      <c r="AB797" s="24"/>
      <c r="AC797" s="24"/>
      <c r="AD797" s="24"/>
      <c r="AE797" s="24"/>
      <c r="AF797" s="24"/>
      <c r="AG797" s="24"/>
      <c r="AH797" s="24"/>
    </row>
    <row r="798" spans="1:34" x14ac:dyDescent="0.25">
      <c r="A798" s="24" t="str">
        <f>HYPERLINK("https://www.cpso.on.ca/DoctorDetails/Gregory-Scott-Truant/0028035-32858","Truant, Gregory Scott")</f>
        <v>Truant, Gregory Scott</v>
      </c>
      <c r="B798" s="25" t="s">
        <v>8183</v>
      </c>
      <c r="C798" s="24" t="s">
        <v>8184</v>
      </c>
      <c r="D798" s="24" t="s">
        <v>8185</v>
      </c>
      <c r="E798" s="24" t="s">
        <v>29</v>
      </c>
      <c r="F798" s="24" t="s">
        <v>30</v>
      </c>
      <c r="G798" s="24" t="s">
        <v>31</v>
      </c>
      <c r="H798" s="24" t="s">
        <v>5269</v>
      </c>
      <c r="I798" s="24" t="s">
        <v>8186</v>
      </c>
      <c r="J798" s="24" t="s">
        <v>8187</v>
      </c>
      <c r="K798" s="24" t="s">
        <v>8188</v>
      </c>
      <c r="L798" s="24" t="s">
        <v>135</v>
      </c>
      <c r="M798" s="15"/>
      <c r="N798" s="15"/>
      <c r="O798" s="15"/>
      <c r="P798" s="15" t="s">
        <v>3636</v>
      </c>
      <c r="Q798" s="15"/>
      <c r="R798" s="15" t="s">
        <v>8189</v>
      </c>
      <c r="S798" s="24" t="s">
        <v>39</v>
      </c>
      <c r="T798" s="24" t="s">
        <v>39</v>
      </c>
      <c r="U798" s="24" t="s">
        <v>39</v>
      </c>
      <c r="V798" s="24" t="s">
        <v>39</v>
      </c>
      <c r="W798" s="24" t="s">
        <v>8190</v>
      </c>
      <c r="X798" s="24" t="s">
        <v>8191</v>
      </c>
      <c r="Y798" s="15" t="s">
        <v>8192</v>
      </c>
      <c r="Z798" s="15" t="s">
        <v>8193</v>
      </c>
      <c r="AA798" s="24"/>
      <c r="AB798" s="24"/>
      <c r="AC798" s="24"/>
      <c r="AD798" s="24"/>
      <c r="AE798" s="24"/>
      <c r="AF798" s="24"/>
      <c r="AG798" s="24"/>
      <c r="AH798" s="24"/>
    </row>
    <row r="799" spans="1:34" ht="75" x14ac:dyDescent="0.25">
      <c r="A799" s="24" t="str">
        <f>HYPERLINK("https://www.cpso.on.ca/DoctorDetails/Gulshan-Dilip-Panjwani/0174813-75347","Panjwani, Gulshan Dilip")</f>
        <v>Panjwani, Gulshan Dilip</v>
      </c>
      <c r="B799" s="25" t="s">
        <v>8194</v>
      </c>
      <c r="C799" s="24" t="s">
        <v>2693</v>
      </c>
      <c r="D799" s="24" t="s">
        <v>2694</v>
      </c>
      <c r="E799" s="24" t="s">
        <v>29</v>
      </c>
      <c r="F799" s="24" t="s">
        <v>47</v>
      </c>
      <c r="G799" s="24" t="s">
        <v>2275</v>
      </c>
      <c r="H799" s="24" t="s">
        <v>8195</v>
      </c>
      <c r="I799" s="24" t="s">
        <v>8196</v>
      </c>
      <c r="J799" s="24" t="s">
        <v>8197</v>
      </c>
      <c r="K799" s="24"/>
      <c r="L799" s="24" t="s">
        <v>52</v>
      </c>
      <c r="M799" s="15" t="s">
        <v>8198</v>
      </c>
      <c r="N799" s="15"/>
      <c r="O799" s="15"/>
      <c r="P799" s="15" t="s">
        <v>8199</v>
      </c>
      <c r="Q799" s="15" t="s">
        <v>8200</v>
      </c>
      <c r="R799" s="15" t="s">
        <v>8201</v>
      </c>
      <c r="S799" s="24" t="s">
        <v>39</v>
      </c>
      <c r="T799" s="24" t="s">
        <v>39</v>
      </c>
      <c r="U799" s="24" t="s">
        <v>39</v>
      </c>
      <c r="V799" s="24" t="s">
        <v>39</v>
      </c>
      <c r="W799" s="24" t="s">
        <v>8202</v>
      </c>
      <c r="X799" s="24" t="s">
        <v>8203</v>
      </c>
      <c r="Y799" s="15" t="s">
        <v>8204</v>
      </c>
      <c r="Z799" s="15" t="s">
        <v>8205</v>
      </c>
      <c r="AA799" s="24"/>
      <c r="AB799" s="24"/>
      <c r="AC799" s="24"/>
      <c r="AD799" s="24"/>
      <c r="AE799" s="24"/>
      <c r="AF799" s="24"/>
      <c r="AG799" s="24"/>
      <c r="AH799" s="24"/>
    </row>
    <row r="800" spans="1:34" ht="75" x14ac:dyDescent="0.25">
      <c r="A800" s="24" t="str">
        <f>HYPERLINK("https://www.cpso.on.ca/DoctorDetails/Gunter-Wolfgang-Lorberg/0149096-72223","Lorberg, Gunter Wolfgang")</f>
        <v>Lorberg, Gunter Wolfgang</v>
      </c>
      <c r="B800" s="25" t="s">
        <v>8206</v>
      </c>
      <c r="C800" s="24" t="s">
        <v>8207</v>
      </c>
      <c r="D800" s="24" t="s">
        <v>8208</v>
      </c>
      <c r="E800" s="24" t="s">
        <v>29</v>
      </c>
      <c r="F800" s="24" t="s">
        <v>30</v>
      </c>
      <c r="G800" s="24" t="s">
        <v>31</v>
      </c>
      <c r="H800" s="24" t="s">
        <v>8209</v>
      </c>
      <c r="I800" s="24" t="s">
        <v>8210</v>
      </c>
      <c r="J800" s="24" t="s">
        <v>8211</v>
      </c>
      <c r="K800" s="24" t="s">
        <v>8212</v>
      </c>
      <c r="L800" s="24" t="s">
        <v>36</v>
      </c>
      <c r="M800" s="15" t="s">
        <v>8213</v>
      </c>
      <c r="N800" s="15"/>
      <c r="O800" s="15"/>
      <c r="P800" s="15" t="s">
        <v>8214</v>
      </c>
      <c r="Q800" s="15" t="s">
        <v>8215</v>
      </c>
      <c r="R800" s="15" t="s">
        <v>8216</v>
      </c>
      <c r="S800" s="24" t="s">
        <v>39</v>
      </c>
      <c r="T800" s="24" t="s">
        <v>39</v>
      </c>
      <c r="U800" s="24" t="s">
        <v>39</v>
      </c>
      <c r="V800" s="24" t="s">
        <v>39</v>
      </c>
      <c r="W800" s="24" t="s">
        <v>8217</v>
      </c>
      <c r="X800" s="24" t="s">
        <v>8218</v>
      </c>
      <c r="Y800" s="15" t="s">
        <v>8219</v>
      </c>
      <c r="Z800" s="15" t="s">
        <v>8220</v>
      </c>
      <c r="AA800" s="24"/>
      <c r="AB800" s="24"/>
      <c r="AC800" s="24"/>
      <c r="AD800" s="24"/>
      <c r="AE800" s="24"/>
      <c r="AF800" s="24"/>
      <c r="AG800" s="24"/>
      <c r="AH800" s="24"/>
    </row>
    <row r="801" spans="1:34" ht="60" x14ac:dyDescent="0.25">
      <c r="A801" s="24" t="str">
        <f>HYPERLINK("https://www.cpso.on.ca/DoctorDetails/Gurpreet-Singh-Sidhu/0043709-57687","Sidhu, Gurpreet Singh")</f>
        <v>Sidhu, Gurpreet Singh</v>
      </c>
      <c r="B801" s="25" t="s">
        <v>8221</v>
      </c>
      <c r="C801" s="24" t="s">
        <v>8222</v>
      </c>
      <c r="D801" s="24" t="s">
        <v>8223</v>
      </c>
      <c r="E801" s="24" t="s">
        <v>29</v>
      </c>
      <c r="F801" s="24" t="s">
        <v>30</v>
      </c>
      <c r="G801" s="24" t="s">
        <v>691</v>
      </c>
      <c r="H801" s="24" t="s">
        <v>8224</v>
      </c>
      <c r="I801" s="24" t="s">
        <v>8225</v>
      </c>
      <c r="J801" s="24" t="s">
        <v>8226</v>
      </c>
      <c r="K801" s="24" t="s">
        <v>8227</v>
      </c>
      <c r="L801" s="24" t="s">
        <v>135</v>
      </c>
      <c r="M801" s="15" t="s">
        <v>8228</v>
      </c>
      <c r="N801" s="15"/>
      <c r="O801" s="15" t="s">
        <v>3307</v>
      </c>
      <c r="P801" s="15" t="s">
        <v>6038</v>
      </c>
      <c r="Q801" s="15"/>
      <c r="R801" s="15" t="s">
        <v>8229</v>
      </c>
      <c r="S801" s="24" t="s">
        <v>39</v>
      </c>
      <c r="T801" s="24" t="s">
        <v>39</v>
      </c>
      <c r="U801" s="24" t="s">
        <v>39</v>
      </c>
      <c r="V801" s="24" t="s">
        <v>39</v>
      </c>
      <c r="W801" s="24" t="s">
        <v>8230</v>
      </c>
      <c r="X801" s="24" t="s">
        <v>307</v>
      </c>
      <c r="Y801" s="15" t="s">
        <v>8231</v>
      </c>
      <c r="Z801" s="15" t="s">
        <v>8232</v>
      </c>
      <c r="AA801" s="24"/>
      <c r="AB801" s="24"/>
      <c r="AC801" s="24"/>
      <c r="AD801" s="24"/>
      <c r="AE801" s="24"/>
      <c r="AF801" s="24"/>
      <c r="AG801" s="24"/>
      <c r="AH801" s="24"/>
    </row>
    <row r="802" spans="1:34" ht="45" x14ac:dyDescent="0.25">
      <c r="A802" s="24" t="str">
        <f>HYPERLINK("https://www.cpso.on.ca/DoctorDetails/Guruswamy-Nagasundara-Swamy/0041062-55038","Swamy, Guruswamy Nagasundara")</f>
        <v>Swamy, Guruswamy Nagasundara</v>
      </c>
      <c r="B802" s="25" t="s">
        <v>8233</v>
      </c>
      <c r="C802" s="24" t="s">
        <v>8234</v>
      </c>
      <c r="D802" s="24" t="s">
        <v>8235</v>
      </c>
      <c r="E802" s="24" t="s">
        <v>29</v>
      </c>
      <c r="F802" s="24" t="s">
        <v>30</v>
      </c>
      <c r="G802" s="24" t="s">
        <v>8236</v>
      </c>
      <c r="H802" s="24" t="s">
        <v>8237</v>
      </c>
      <c r="I802" s="24" t="s">
        <v>8238</v>
      </c>
      <c r="J802" s="24" t="s">
        <v>8239</v>
      </c>
      <c r="K802" s="24" t="s">
        <v>8240</v>
      </c>
      <c r="L802" s="24" t="s">
        <v>135</v>
      </c>
      <c r="M802" s="15"/>
      <c r="N802" s="15"/>
      <c r="O802" s="15"/>
      <c r="P802" s="15" t="s">
        <v>785</v>
      </c>
      <c r="Q802" s="15"/>
      <c r="R802" s="15" t="s">
        <v>8241</v>
      </c>
      <c r="S802" s="24" t="s">
        <v>71</v>
      </c>
      <c r="T802" s="24" t="s">
        <v>39</v>
      </c>
      <c r="U802" s="24" t="s">
        <v>39</v>
      </c>
      <c r="V802" s="24" t="s">
        <v>39</v>
      </c>
      <c r="W802" s="24" t="s">
        <v>8242</v>
      </c>
      <c r="X802" s="24" t="s">
        <v>8243</v>
      </c>
      <c r="Y802" s="15" t="s">
        <v>8244</v>
      </c>
      <c r="Z802" s="15" t="s">
        <v>8245</v>
      </c>
      <c r="AA802" s="24"/>
      <c r="AB802" s="24"/>
      <c r="AC802" s="24"/>
      <c r="AD802" s="24"/>
      <c r="AE802" s="24"/>
      <c r="AF802" s="24"/>
      <c r="AG802" s="24"/>
      <c r="AH802" s="24"/>
    </row>
    <row r="803" spans="1:34" ht="45" x14ac:dyDescent="0.25">
      <c r="A803" s="24" t="str">
        <f>HYPERLINK("https://www.cpso.on.ca/DoctorDetails/Gustavo-Hector-Vazquez/0309000-110614","Vazquez, Gustavo Hector")</f>
        <v>Vazquez, Gustavo Hector</v>
      </c>
      <c r="B803" s="25" t="s">
        <v>8246</v>
      </c>
      <c r="C803" s="24" t="s">
        <v>8247</v>
      </c>
      <c r="D803" s="24" t="s">
        <v>8248</v>
      </c>
      <c r="E803" s="24" t="s">
        <v>29</v>
      </c>
      <c r="F803" s="24" t="s">
        <v>30</v>
      </c>
      <c r="G803" s="24" t="s">
        <v>115</v>
      </c>
      <c r="H803" s="24" t="s">
        <v>8249</v>
      </c>
      <c r="I803" s="24" t="s">
        <v>8250</v>
      </c>
      <c r="J803" s="24" t="s">
        <v>8251</v>
      </c>
      <c r="K803" s="24"/>
      <c r="L803" s="24" t="s">
        <v>340</v>
      </c>
      <c r="M803" s="15"/>
      <c r="N803" s="15"/>
      <c r="O803" s="15" t="s">
        <v>1914</v>
      </c>
      <c r="P803" s="15" t="s">
        <v>8252</v>
      </c>
      <c r="Q803" s="15"/>
      <c r="R803" s="15" t="s">
        <v>8253</v>
      </c>
      <c r="S803" s="24" t="s">
        <v>71</v>
      </c>
      <c r="T803" s="24" t="s">
        <v>39</v>
      </c>
      <c r="U803" s="24" t="s">
        <v>39</v>
      </c>
      <c r="V803" s="24" t="s">
        <v>39</v>
      </c>
      <c r="W803" s="24" t="s">
        <v>3910</v>
      </c>
      <c r="X803" s="24" t="s">
        <v>3911</v>
      </c>
      <c r="Y803" s="15" t="s">
        <v>3912</v>
      </c>
      <c r="Z803" s="15" t="s">
        <v>3913</v>
      </c>
      <c r="AA803" s="24"/>
      <c r="AB803" s="24"/>
      <c r="AC803" s="24"/>
      <c r="AD803" s="24"/>
      <c r="AE803" s="24"/>
      <c r="AF803" s="24"/>
      <c r="AG803" s="24"/>
      <c r="AH803" s="24"/>
    </row>
    <row r="804" spans="1:34" ht="120" x14ac:dyDescent="0.25">
      <c r="A804" s="24" t="str">
        <f>HYPERLINK("https://www.cpso.on.ca/DoctorDetails/Gwyneth-Ching-Mung-Zai/0250294-88883","Zai, Gwyneth Ching Mung")</f>
        <v>Zai, Gwyneth Ching Mung</v>
      </c>
      <c r="B804" s="25" t="s">
        <v>8254</v>
      </c>
      <c r="C804" s="24" t="s">
        <v>846</v>
      </c>
      <c r="D804" s="24" t="s">
        <v>600</v>
      </c>
      <c r="E804" s="24" t="s">
        <v>29</v>
      </c>
      <c r="F804" s="24" t="s">
        <v>47</v>
      </c>
      <c r="G804" s="24" t="s">
        <v>1392</v>
      </c>
      <c r="H804" s="24" t="s">
        <v>3864</v>
      </c>
      <c r="I804" s="24" t="s">
        <v>8255</v>
      </c>
      <c r="J804" s="24" t="s">
        <v>1262</v>
      </c>
      <c r="K804" s="24" t="s">
        <v>4990</v>
      </c>
      <c r="L804" s="24" t="s">
        <v>52</v>
      </c>
      <c r="M804" s="15"/>
      <c r="N804" s="15"/>
      <c r="O804" s="15" t="s">
        <v>842</v>
      </c>
      <c r="P804" s="15" t="s">
        <v>272</v>
      </c>
      <c r="Q804" s="15" t="s">
        <v>8256</v>
      </c>
      <c r="R804" s="15" t="s">
        <v>853</v>
      </c>
      <c r="S804" s="24" t="s">
        <v>39</v>
      </c>
      <c r="T804" s="24" t="s">
        <v>39</v>
      </c>
      <c r="U804" s="24" t="s">
        <v>39</v>
      </c>
      <c r="V804" s="24" t="s">
        <v>39</v>
      </c>
      <c r="W804" s="24" t="s">
        <v>8257</v>
      </c>
      <c r="X804" s="24" t="s">
        <v>8258</v>
      </c>
      <c r="Y804" s="15" t="s">
        <v>8259</v>
      </c>
      <c r="Z804" s="15" t="s">
        <v>8260</v>
      </c>
      <c r="AA804" s="24"/>
      <c r="AB804" s="24"/>
      <c r="AC804" s="24"/>
      <c r="AD804" s="24"/>
      <c r="AE804" s="24"/>
      <c r="AF804" s="24"/>
      <c r="AG804" s="24"/>
      <c r="AH804" s="24"/>
    </row>
    <row r="805" spans="1:34" ht="135" x14ac:dyDescent="0.25">
      <c r="A805" s="24" t="str">
        <f>HYPERLINK("https://www.cpso.on.ca/DoctorDetails/Habiba-Mariam-Nayyer/0274493-96241","Nayyer, Habiba Mariam")</f>
        <v>Nayyer, Habiba Mariam</v>
      </c>
      <c r="B805" s="25" t="s">
        <v>8261</v>
      </c>
      <c r="C805" s="24" t="s">
        <v>1266</v>
      </c>
      <c r="D805" s="24" t="s">
        <v>967</v>
      </c>
      <c r="E805" s="24" t="s">
        <v>29</v>
      </c>
      <c r="F805" s="24" t="s">
        <v>47</v>
      </c>
      <c r="G805" s="24" t="s">
        <v>31</v>
      </c>
      <c r="H805" s="24" t="s">
        <v>8262</v>
      </c>
      <c r="I805" s="24" t="s">
        <v>8263</v>
      </c>
      <c r="J805" s="24" t="s">
        <v>8264</v>
      </c>
      <c r="K805" s="24"/>
      <c r="L805" s="24" t="s">
        <v>52</v>
      </c>
      <c r="M805" s="15"/>
      <c r="N805" s="15"/>
      <c r="O805" s="15" t="s">
        <v>1110</v>
      </c>
      <c r="P805" s="15" t="s">
        <v>973</v>
      </c>
      <c r="Q805" s="15" t="s">
        <v>8265</v>
      </c>
      <c r="R805" s="15" t="s">
        <v>8266</v>
      </c>
      <c r="S805" s="24" t="s">
        <v>39</v>
      </c>
      <c r="T805" s="24" t="s">
        <v>39</v>
      </c>
      <c r="U805" s="24" t="s">
        <v>39</v>
      </c>
      <c r="V805" s="24" t="s">
        <v>39</v>
      </c>
      <c r="W805" s="24"/>
      <c r="X805" s="24"/>
      <c r="Y805" s="15"/>
      <c r="Z805" s="15"/>
      <c r="AA805" s="24"/>
      <c r="AB805" s="24"/>
      <c r="AC805" s="24"/>
      <c r="AD805" s="24"/>
      <c r="AE805" s="24"/>
      <c r="AF805" s="24"/>
      <c r="AG805" s="24"/>
      <c r="AH805" s="24"/>
    </row>
    <row r="806" spans="1:34" ht="30" x14ac:dyDescent="0.25">
      <c r="A806" s="24" t="str">
        <f>HYPERLINK("https://www.cpso.on.ca/DoctorDetails/Hae-Ryong-Kim/0041288-55264","Kim, Hae Ryong")</f>
        <v>Kim, Hae Ryong</v>
      </c>
      <c r="B806" s="25" t="s">
        <v>8267</v>
      </c>
      <c r="C806" s="24" t="s">
        <v>2132</v>
      </c>
      <c r="D806" s="24" t="s">
        <v>8268</v>
      </c>
      <c r="E806" s="24" t="s">
        <v>29</v>
      </c>
      <c r="F806" s="24" t="s">
        <v>30</v>
      </c>
      <c r="G806" s="24" t="s">
        <v>8269</v>
      </c>
      <c r="H806" s="24" t="s">
        <v>8270</v>
      </c>
      <c r="I806" s="24" t="s">
        <v>8271</v>
      </c>
      <c r="J806" s="24" t="s">
        <v>8272</v>
      </c>
      <c r="K806" s="24" t="s">
        <v>8273</v>
      </c>
      <c r="L806" s="24" t="s">
        <v>52</v>
      </c>
      <c r="M806" s="15"/>
      <c r="N806" s="15"/>
      <c r="O806" s="15"/>
      <c r="P806" s="15" t="s">
        <v>2137</v>
      </c>
      <c r="Q806" s="15"/>
      <c r="R806" s="15" t="s">
        <v>8274</v>
      </c>
      <c r="S806" s="24" t="s">
        <v>39</v>
      </c>
      <c r="T806" s="24" t="s">
        <v>39</v>
      </c>
      <c r="U806" s="24" t="s">
        <v>39</v>
      </c>
      <c r="V806" s="24" t="s">
        <v>39</v>
      </c>
      <c r="W806" s="24" t="s">
        <v>8275</v>
      </c>
      <c r="X806" s="24" t="s">
        <v>8276</v>
      </c>
      <c r="Y806" s="15"/>
      <c r="Z806" s="15"/>
      <c r="AA806" s="24"/>
      <c r="AB806" s="24"/>
      <c r="AC806" s="24"/>
      <c r="AD806" s="24"/>
      <c r="AE806" s="24"/>
      <c r="AF806" s="24"/>
      <c r="AG806" s="24"/>
      <c r="AH806" s="24"/>
    </row>
    <row r="807" spans="1:34" ht="75" x14ac:dyDescent="0.25">
      <c r="A807" s="24" t="str">
        <f>HYPERLINK("https://www.cpso.on.ca/DoctorDetails/HaeRyun-Park/0200490-79844","Park, Hae-Ryun")</f>
        <v>Park, Hae-Ryun</v>
      </c>
      <c r="B807" s="25" t="s">
        <v>8277</v>
      </c>
      <c r="C807" s="24" t="s">
        <v>871</v>
      </c>
      <c r="D807" s="24" t="s">
        <v>872</v>
      </c>
      <c r="E807" s="24" t="s">
        <v>29</v>
      </c>
      <c r="F807" s="24" t="s">
        <v>47</v>
      </c>
      <c r="G807" s="24" t="s">
        <v>8269</v>
      </c>
      <c r="H807" s="24" t="s">
        <v>8278</v>
      </c>
      <c r="I807" s="24" t="s">
        <v>8279</v>
      </c>
      <c r="J807" s="24" t="s">
        <v>6636</v>
      </c>
      <c r="K807" s="24" t="s">
        <v>1327</v>
      </c>
      <c r="L807" s="24" t="s">
        <v>135</v>
      </c>
      <c r="M807" s="15"/>
      <c r="N807" s="15"/>
      <c r="O807" s="15" t="s">
        <v>3709</v>
      </c>
      <c r="P807" s="15" t="s">
        <v>8045</v>
      </c>
      <c r="Q807" s="15" t="s">
        <v>8280</v>
      </c>
      <c r="R807" s="15" t="s">
        <v>882</v>
      </c>
      <c r="S807" s="24" t="s">
        <v>39</v>
      </c>
      <c r="T807" s="24" t="s">
        <v>39</v>
      </c>
      <c r="U807" s="24" t="s">
        <v>39</v>
      </c>
      <c r="V807" s="24" t="s">
        <v>39</v>
      </c>
      <c r="W807" s="24" t="s">
        <v>8281</v>
      </c>
      <c r="X807" s="24" t="s">
        <v>8282</v>
      </c>
      <c r="Y807" s="15" t="s">
        <v>8283</v>
      </c>
      <c r="Z807" s="15" t="s">
        <v>8284</v>
      </c>
      <c r="AA807" s="24"/>
      <c r="AB807" s="24"/>
      <c r="AC807" s="24"/>
      <c r="AD807" s="24"/>
      <c r="AE807" s="24"/>
      <c r="AF807" s="24"/>
      <c r="AG807" s="24"/>
      <c r="AH807" s="24"/>
    </row>
    <row r="808" spans="1:34" ht="30" x14ac:dyDescent="0.25">
      <c r="A808" s="24" t="str">
        <f>HYPERLINK("https://www.cpso.on.ca/DoctorDetails/Halszka-Teresa-Arciszewska/0037606-51582","Arciszewska, Halszka Teresa")</f>
        <v>Arciszewska, Halszka Teresa</v>
      </c>
      <c r="B808" s="25" t="s">
        <v>8285</v>
      </c>
      <c r="C808" s="24" t="s">
        <v>8286</v>
      </c>
      <c r="D808" s="24" t="s">
        <v>8287</v>
      </c>
      <c r="E808" s="24" t="s">
        <v>29</v>
      </c>
      <c r="F808" s="24" t="s">
        <v>47</v>
      </c>
      <c r="G808" s="24" t="s">
        <v>1657</v>
      </c>
      <c r="H808" s="24" t="s">
        <v>8288</v>
      </c>
      <c r="I808" s="24" t="s">
        <v>8289</v>
      </c>
      <c r="J808" s="24" t="s">
        <v>8290</v>
      </c>
      <c r="K808" s="24"/>
      <c r="L808" s="24" t="s">
        <v>184</v>
      </c>
      <c r="M808" s="15"/>
      <c r="N808" s="15"/>
      <c r="O808" s="15" t="s">
        <v>1135</v>
      </c>
      <c r="P808" s="15" t="s">
        <v>8291</v>
      </c>
      <c r="Q808" s="15"/>
      <c r="R808" s="15" t="s">
        <v>8292</v>
      </c>
      <c r="S808" s="24" t="s">
        <v>39</v>
      </c>
      <c r="T808" s="24" t="s">
        <v>39</v>
      </c>
      <c r="U808" s="24" t="s">
        <v>39</v>
      </c>
      <c r="V808" s="24" t="s">
        <v>39</v>
      </c>
      <c r="W808" s="24"/>
      <c r="X808" s="24"/>
      <c r="Y808" s="15"/>
      <c r="Z808" s="15"/>
      <c r="AA808" s="24"/>
      <c r="AB808" s="24"/>
      <c r="AC808" s="24"/>
      <c r="AD808" s="24"/>
      <c r="AE808" s="24"/>
      <c r="AF808" s="24"/>
      <c r="AG808" s="24"/>
      <c r="AH808" s="24"/>
    </row>
    <row r="809" spans="1:34" ht="45" x14ac:dyDescent="0.25">
      <c r="A809" s="24" t="str">
        <f>HYPERLINK("https://www.cpso.on.ca/DoctorDetails/Hani-Neguib-Ibrahim-Sahyoun/0037679-51655","Sahyoun, Hani Neguib Ibrahim")</f>
        <v>Sahyoun, Hani Neguib Ibrahim</v>
      </c>
      <c r="B809" s="25" t="s">
        <v>8293</v>
      </c>
      <c r="C809" s="24" t="s">
        <v>8294</v>
      </c>
      <c r="D809" s="24" t="s">
        <v>8295</v>
      </c>
      <c r="E809" s="24" t="s">
        <v>29</v>
      </c>
      <c r="F809" s="24" t="s">
        <v>30</v>
      </c>
      <c r="G809" s="24" t="s">
        <v>8296</v>
      </c>
      <c r="H809" s="24" t="s">
        <v>6443</v>
      </c>
      <c r="I809" s="24" t="s">
        <v>8297</v>
      </c>
      <c r="J809" s="24" t="s">
        <v>8298</v>
      </c>
      <c r="K809" s="24" t="s">
        <v>8299</v>
      </c>
      <c r="L809" s="24" t="s">
        <v>52</v>
      </c>
      <c r="M809" s="15"/>
      <c r="N809" s="15"/>
      <c r="O809" s="15" t="s">
        <v>5586</v>
      </c>
      <c r="P809" s="15" t="s">
        <v>2250</v>
      </c>
      <c r="Q809" s="15"/>
      <c r="R809" s="15" t="s">
        <v>8300</v>
      </c>
      <c r="S809" s="24" t="s">
        <v>39</v>
      </c>
      <c r="T809" s="24" t="s">
        <v>39</v>
      </c>
      <c r="U809" s="24" t="s">
        <v>39</v>
      </c>
      <c r="V809" s="24" t="s">
        <v>39</v>
      </c>
      <c r="W809" s="24"/>
      <c r="X809" s="24"/>
      <c r="Y809" s="15"/>
      <c r="Z809" s="15"/>
      <c r="AA809" s="24"/>
      <c r="AB809" s="24"/>
      <c r="AC809" s="24"/>
      <c r="AD809" s="24"/>
      <c r="AE809" s="24"/>
      <c r="AF809" s="24"/>
      <c r="AG809" s="24"/>
      <c r="AH809" s="24"/>
    </row>
    <row r="810" spans="1:34" ht="45" x14ac:dyDescent="0.25">
      <c r="A810" s="24" t="str">
        <f>HYPERLINK("https://www.cpso.on.ca/DoctorDetails/Hanna-Gabriela-BrzezinskaPytlak/0041300-55276","Brzezinska-Pytlak, Hanna Gabriela")</f>
        <v>Brzezinska-Pytlak, Hanna Gabriela</v>
      </c>
      <c r="B810" s="25" t="s">
        <v>8301</v>
      </c>
      <c r="C810" s="24" t="s">
        <v>8302</v>
      </c>
      <c r="D810" s="24" t="s">
        <v>8303</v>
      </c>
      <c r="E810" s="24" t="s">
        <v>29</v>
      </c>
      <c r="F810" s="24" t="s">
        <v>47</v>
      </c>
      <c r="G810" s="24" t="s">
        <v>1657</v>
      </c>
      <c r="H810" s="24" t="s">
        <v>8304</v>
      </c>
      <c r="I810" s="24" t="s">
        <v>8305</v>
      </c>
      <c r="J810" s="24" t="s">
        <v>8306</v>
      </c>
      <c r="K810" s="24" t="s">
        <v>8307</v>
      </c>
      <c r="L810" s="24" t="s">
        <v>84</v>
      </c>
      <c r="M810" s="15"/>
      <c r="N810" s="15"/>
      <c r="O810" s="15"/>
      <c r="P810" s="15" t="s">
        <v>1033</v>
      </c>
      <c r="Q810" s="15"/>
      <c r="R810" s="15" t="s">
        <v>8308</v>
      </c>
      <c r="S810" s="24" t="s">
        <v>39</v>
      </c>
      <c r="T810" s="24" t="s">
        <v>39</v>
      </c>
      <c r="U810" s="24" t="s">
        <v>39</v>
      </c>
      <c r="V810" s="24" t="s">
        <v>39</v>
      </c>
      <c r="W810" s="24" t="s">
        <v>8309</v>
      </c>
      <c r="X810" s="24" t="s">
        <v>8310</v>
      </c>
      <c r="Y810" s="15" t="s">
        <v>8311</v>
      </c>
      <c r="Z810" s="15" t="s">
        <v>8312</v>
      </c>
      <c r="AA810" s="24"/>
      <c r="AB810" s="24"/>
      <c r="AC810" s="24"/>
      <c r="AD810" s="24"/>
      <c r="AE810" s="24"/>
      <c r="AF810" s="24"/>
      <c r="AG810" s="24"/>
      <c r="AH810" s="24"/>
    </row>
    <row r="811" spans="1:34" ht="90" x14ac:dyDescent="0.25">
      <c r="A811" s="24" t="str">
        <f>HYPERLINK("https://www.cpso.on.ca/DoctorDetails/Hanna-Han-Meng/0289036-101276","Meng, Hanna Han")</f>
        <v>Meng, Hanna Han</v>
      </c>
      <c r="B811" s="25" t="s">
        <v>8313</v>
      </c>
      <c r="C811" s="24" t="s">
        <v>199</v>
      </c>
      <c r="D811" s="24" t="s">
        <v>7100</v>
      </c>
      <c r="E811" s="24" t="s">
        <v>29</v>
      </c>
      <c r="F811" s="24" t="s">
        <v>47</v>
      </c>
      <c r="G811" s="24" t="s">
        <v>31</v>
      </c>
      <c r="H811" s="24" t="s">
        <v>2992</v>
      </c>
      <c r="I811" s="24" t="s">
        <v>8314</v>
      </c>
      <c r="J811" s="24" t="s">
        <v>1262</v>
      </c>
      <c r="K811" s="24"/>
      <c r="L811" s="24" t="s">
        <v>52</v>
      </c>
      <c r="M811" s="15"/>
      <c r="N811" s="15"/>
      <c r="O811" s="15"/>
      <c r="P811" s="15" t="s">
        <v>205</v>
      </c>
      <c r="Q811" s="15" t="s">
        <v>8315</v>
      </c>
      <c r="R811" s="15" t="s">
        <v>7104</v>
      </c>
      <c r="S811" s="24" t="s">
        <v>39</v>
      </c>
      <c r="T811" s="24" t="s">
        <v>39</v>
      </c>
      <c r="U811" s="24" t="s">
        <v>39</v>
      </c>
      <c r="V811" s="24" t="s">
        <v>39</v>
      </c>
      <c r="W811" s="24"/>
      <c r="X811" s="24"/>
      <c r="Y811" s="15"/>
      <c r="Z811" s="15"/>
      <c r="AA811" s="24"/>
      <c r="AB811" s="24"/>
      <c r="AC811" s="24"/>
      <c r="AD811" s="24"/>
      <c r="AE811" s="24"/>
      <c r="AF811" s="24"/>
      <c r="AG811" s="24"/>
      <c r="AH811" s="24"/>
    </row>
    <row r="812" spans="1:34" ht="90" x14ac:dyDescent="0.25">
      <c r="A812" s="24" t="str">
        <f>HYPERLINK("https://www.cpso.on.ca/DoctorDetails/Hannah-Sarah-Klein/0273236-95977","Klein, Hannah Sarah")</f>
        <v>Klein, Hannah Sarah</v>
      </c>
      <c r="B812" s="25" t="s">
        <v>8316</v>
      </c>
      <c r="C812" s="24" t="s">
        <v>1266</v>
      </c>
      <c r="D812" s="24" t="s">
        <v>8317</v>
      </c>
      <c r="E812" s="24" t="s">
        <v>29</v>
      </c>
      <c r="F812" s="24" t="s">
        <v>47</v>
      </c>
      <c r="G812" s="24" t="s">
        <v>813</v>
      </c>
      <c r="H812" s="24" t="s">
        <v>2048</v>
      </c>
      <c r="I812" s="24" t="s">
        <v>107</v>
      </c>
      <c r="J812" s="24"/>
      <c r="K812" s="24"/>
      <c r="L812" s="24"/>
      <c r="M812" s="15"/>
      <c r="N812" s="15"/>
      <c r="O812" s="15"/>
      <c r="P812" s="15" t="s">
        <v>1270</v>
      </c>
      <c r="Q812" s="15" t="s">
        <v>8318</v>
      </c>
      <c r="R812" s="15" t="s">
        <v>8319</v>
      </c>
      <c r="S812" s="24" t="s">
        <v>39</v>
      </c>
      <c r="T812" s="24" t="s">
        <v>39</v>
      </c>
      <c r="U812" s="24" t="s">
        <v>39</v>
      </c>
      <c r="V812" s="24" t="s">
        <v>39</v>
      </c>
      <c r="W812" s="24"/>
      <c r="X812" s="24"/>
      <c r="Y812" s="15"/>
      <c r="Z812" s="15"/>
      <c r="AA812" s="24"/>
      <c r="AB812" s="24"/>
      <c r="AC812" s="24"/>
      <c r="AD812" s="24"/>
      <c r="AE812" s="24"/>
      <c r="AF812" s="24"/>
      <c r="AG812" s="24"/>
      <c r="AH812" s="24"/>
    </row>
    <row r="813" spans="1:34" ht="30" x14ac:dyDescent="0.25">
      <c r="A813" s="24" t="str">
        <f>HYPERLINK("https://www.cpso.on.ca/DoctorDetails/Hannah-Wilansky/0044684-58662","Wilansky, Hannah")</f>
        <v>Wilansky, Hannah</v>
      </c>
      <c r="B813" s="25" t="s">
        <v>8320</v>
      </c>
      <c r="C813" s="24" t="s">
        <v>3161</v>
      </c>
      <c r="D813" s="24" t="s">
        <v>8321</v>
      </c>
      <c r="E813" s="24" t="s">
        <v>29</v>
      </c>
      <c r="F813" s="24" t="s">
        <v>47</v>
      </c>
      <c r="G813" s="24" t="s">
        <v>31</v>
      </c>
      <c r="H813" s="24" t="s">
        <v>8322</v>
      </c>
      <c r="I813" s="24" t="s">
        <v>8323</v>
      </c>
      <c r="J813" s="24" t="s">
        <v>8324</v>
      </c>
      <c r="K813" s="24"/>
      <c r="L813" s="24" t="s">
        <v>52</v>
      </c>
      <c r="M813" s="15"/>
      <c r="N813" s="15"/>
      <c r="O813" s="15"/>
      <c r="P813" s="15" t="s">
        <v>3433</v>
      </c>
      <c r="Q813" s="15" t="s">
        <v>5470</v>
      </c>
      <c r="R813" s="15" t="s">
        <v>8325</v>
      </c>
      <c r="S813" s="24" t="s">
        <v>39</v>
      </c>
      <c r="T813" s="24" t="s">
        <v>39</v>
      </c>
      <c r="U813" s="24" t="s">
        <v>39</v>
      </c>
      <c r="V813" s="24" t="s">
        <v>39</v>
      </c>
      <c r="W813" s="24" t="s">
        <v>8326</v>
      </c>
      <c r="X813" s="24" t="s">
        <v>8327</v>
      </c>
      <c r="Y813" s="15"/>
      <c r="Z813" s="15"/>
      <c r="AA813" s="24"/>
      <c r="AB813" s="24"/>
      <c r="AC813" s="24"/>
      <c r="AD813" s="24"/>
      <c r="AE813" s="24"/>
      <c r="AF813" s="24"/>
      <c r="AG813" s="24"/>
      <c r="AH813" s="24"/>
    </row>
    <row r="814" spans="1:34" ht="45" x14ac:dyDescent="0.25">
      <c r="A814" s="24" t="str">
        <f>HYPERLINK("https://www.cpso.on.ca/DoctorDetails/Hanumantha-Rayudu-Koka/0043737-57715","Koka, Hanumantha Rayudu")</f>
        <v>Koka, Hanumantha Rayudu</v>
      </c>
      <c r="B814" s="25" t="s">
        <v>8328</v>
      </c>
      <c r="C814" s="24" t="s">
        <v>8329</v>
      </c>
      <c r="D814" s="24" t="s">
        <v>4555</v>
      </c>
      <c r="E814" s="24" t="s">
        <v>8330</v>
      </c>
      <c r="F814" s="24" t="s">
        <v>30</v>
      </c>
      <c r="G814" s="24" t="s">
        <v>8331</v>
      </c>
      <c r="H814" s="24" t="s">
        <v>8332</v>
      </c>
      <c r="I814" s="24" t="s">
        <v>5738</v>
      </c>
      <c r="J814" s="24" t="s">
        <v>1769</v>
      </c>
      <c r="K814" s="24" t="s">
        <v>1744</v>
      </c>
      <c r="L814" s="24" t="s">
        <v>328</v>
      </c>
      <c r="M814" s="15"/>
      <c r="N814" s="15"/>
      <c r="O814" s="15" t="s">
        <v>8333</v>
      </c>
      <c r="P814" s="15" t="s">
        <v>2908</v>
      </c>
      <c r="Q814" s="15"/>
      <c r="R814" s="15" t="s">
        <v>8334</v>
      </c>
      <c r="S814" s="24" t="s">
        <v>39</v>
      </c>
      <c r="T814" s="24" t="s">
        <v>39</v>
      </c>
      <c r="U814" s="24" t="s">
        <v>39</v>
      </c>
      <c r="V814" s="24" t="s">
        <v>39</v>
      </c>
      <c r="W814" s="24" t="s">
        <v>8335</v>
      </c>
      <c r="X814" s="24" t="s">
        <v>8336</v>
      </c>
      <c r="Y814" s="15" t="s">
        <v>8337</v>
      </c>
      <c r="Z814" s="15" t="s">
        <v>8338</v>
      </c>
      <c r="AA814" s="24"/>
      <c r="AB814" s="24"/>
      <c r="AC814" s="24"/>
      <c r="AD814" s="24"/>
      <c r="AE814" s="24"/>
      <c r="AF814" s="24"/>
      <c r="AG814" s="24"/>
      <c r="AH814" s="24"/>
    </row>
    <row r="815" spans="1:34" ht="45" x14ac:dyDescent="0.25">
      <c r="A815" s="24" t="str">
        <f>HYPERLINK("https://www.cpso.on.ca/DoctorDetails/Hany-Edgard-Bissada/0036185-50161","Bissada, Hany Edgard")</f>
        <v>Bissada, Hany Edgard</v>
      </c>
      <c r="B815" s="25" t="s">
        <v>8339</v>
      </c>
      <c r="C815" s="24" t="s">
        <v>8340</v>
      </c>
      <c r="D815" s="24" t="s">
        <v>8341</v>
      </c>
      <c r="E815" s="24" t="s">
        <v>29</v>
      </c>
      <c r="F815" s="24" t="s">
        <v>30</v>
      </c>
      <c r="G815" s="24" t="s">
        <v>813</v>
      </c>
      <c r="H815" s="24" t="s">
        <v>8342</v>
      </c>
      <c r="I815" s="24" t="s">
        <v>8343</v>
      </c>
      <c r="J815" s="24" t="s">
        <v>8344</v>
      </c>
      <c r="K815" s="24" t="s">
        <v>8345</v>
      </c>
      <c r="L815" s="24" t="s">
        <v>84</v>
      </c>
      <c r="M815" s="15" t="s">
        <v>8346</v>
      </c>
      <c r="N815" s="15" t="s">
        <v>710</v>
      </c>
      <c r="O815" s="15" t="s">
        <v>8347</v>
      </c>
      <c r="P815" s="15" t="s">
        <v>316</v>
      </c>
      <c r="Q815" s="15" t="s">
        <v>8348</v>
      </c>
      <c r="R815" s="15" t="s">
        <v>8349</v>
      </c>
      <c r="S815" s="24" t="s">
        <v>39</v>
      </c>
      <c r="T815" s="24" t="s">
        <v>39</v>
      </c>
      <c r="U815" s="24" t="s">
        <v>39</v>
      </c>
      <c r="V815" s="24" t="s">
        <v>39</v>
      </c>
      <c r="W815" s="24" t="s">
        <v>8350</v>
      </c>
      <c r="X815" s="24" t="s">
        <v>8351</v>
      </c>
      <c r="Y815" s="15" t="s">
        <v>8352</v>
      </c>
      <c r="Z815" s="15" t="s">
        <v>8353</v>
      </c>
      <c r="AA815" s="24"/>
      <c r="AB815" s="24"/>
      <c r="AC815" s="24"/>
      <c r="AD815" s="24"/>
      <c r="AE815" s="24"/>
      <c r="AF815" s="24"/>
      <c r="AG815" s="24"/>
      <c r="AH815" s="24"/>
    </row>
    <row r="816" spans="1:34" ht="30" x14ac:dyDescent="0.25">
      <c r="A816" s="24" t="str">
        <f>HYPERLINK("https://www.cpso.on.ca/DoctorDetails/Hany-Ibrahim-Shafey/0037644-51620","Shafey, Hany Ibrahim")</f>
        <v>Shafey, Hany Ibrahim</v>
      </c>
      <c r="B816" s="25" t="s">
        <v>8354</v>
      </c>
      <c r="C816" s="24" t="s">
        <v>8355</v>
      </c>
      <c r="D816" s="24" t="s">
        <v>8356</v>
      </c>
      <c r="E816" s="24" t="s">
        <v>29</v>
      </c>
      <c r="F816" s="24" t="s">
        <v>30</v>
      </c>
      <c r="G816" s="24" t="s">
        <v>105</v>
      </c>
      <c r="H816" s="24" t="s">
        <v>8357</v>
      </c>
      <c r="I816" s="24" t="s">
        <v>8358</v>
      </c>
      <c r="J816" s="24" t="s">
        <v>8359</v>
      </c>
      <c r="K816" s="24"/>
      <c r="L816" s="24" t="s">
        <v>36</v>
      </c>
      <c r="M816" s="15" t="s">
        <v>8360</v>
      </c>
      <c r="N816" s="15" t="s">
        <v>8361</v>
      </c>
      <c r="O816" s="15"/>
      <c r="P816" s="15" t="s">
        <v>527</v>
      </c>
      <c r="Q816" s="15"/>
      <c r="R816" s="15" t="s">
        <v>8362</v>
      </c>
      <c r="S816" s="24" t="s">
        <v>39</v>
      </c>
      <c r="T816" s="24" t="s">
        <v>39</v>
      </c>
      <c r="U816" s="24" t="s">
        <v>39</v>
      </c>
      <c r="V816" s="24" t="s">
        <v>39</v>
      </c>
      <c r="W816" s="24"/>
      <c r="X816" s="24"/>
      <c r="Y816" s="15"/>
      <c r="Z816" s="15"/>
      <c r="AA816" s="24"/>
      <c r="AB816" s="24"/>
      <c r="AC816" s="24"/>
      <c r="AD816" s="24"/>
      <c r="AE816" s="24"/>
      <c r="AF816" s="24"/>
      <c r="AG816" s="24"/>
      <c r="AH816" s="24"/>
    </row>
    <row r="817" spans="1:34" ht="90" x14ac:dyDescent="0.25">
      <c r="A817" s="24" t="str">
        <f>HYPERLINK("https://www.cpso.on.ca/DoctorDetails/Harleen-Kaur-Ghuman/0264742-93525","Ghuman, Harleen Kaur")</f>
        <v>Ghuman, Harleen Kaur</v>
      </c>
      <c r="B817" s="25" t="s">
        <v>8363</v>
      </c>
      <c r="C817" s="24" t="s">
        <v>4079</v>
      </c>
      <c r="D817" s="24" t="s">
        <v>1594</v>
      </c>
      <c r="E817" s="24" t="s">
        <v>29</v>
      </c>
      <c r="F817" s="24" t="s">
        <v>47</v>
      </c>
      <c r="G817" s="24" t="s">
        <v>691</v>
      </c>
      <c r="H817" s="24" t="s">
        <v>8364</v>
      </c>
      <c r="I817" s="24" t="s">
        <v>8365</v>
      </c>
      <c r="J817" s="24" t="s">
        <v>8366</v>
      </c>
      <c r="K817" s="24" t="s">
        <v>8367</v>
      </c>
      <c r="L817" s="24" t="s">
        <v>152</v>
      </c>
      <c r="M817" s="15" t="s">
        <v>8368</v>
      </c>
      <c r="N817" s="15" t="s">
        <v>695</v>
      </c>
      <c r="O817" s="15" t="s">
        <v>95</v>
      </c>
      <c r="P817" s="15" t="s">
        <v>1074</v>
      </c>
      <c r="Q817" s="15" t="s">
        <v>8369</v>
      </c>
      <c r="R817" s="15" t="s">
        <v>8370</v>
      </c>
      <c r="S817" s="24" t="s">
        <v>39</v>
      </c>
      <c r="T817" s="24" t="s">
        <v>39</v>
      </c>
      <c r="U817" s="24" t="s">
        <v>39</v>
      </c>
      <c r="V817" s="24" t="s">
        <v>39</v>
      </c>
      <c r="W817" s="24" t="s">
        <v>8371</v>
      </c>
      <c r="X817" s="24" t="s">
        <v>8372</v>
      </c>
      <c r="Y817" s="15" t="s">
        <v>8373</v>
      </c>
      <c r="Z817" s="15" t="s">
        <v>8374</v>
      </c>
      <c r="AA817" s="24"/>
      <c r="AB817" s="24"/>
      <c r="AC817" s="24"/>
      <c r="AD817" s="24"/>
      <c r="AE817" s="24"/>
      <c r="AF817" s="24"/>
      <c r="AG817" s="24"/>
      <c r="AH817" s="24"/>
    </row>
    <row r="818" spans="1:34" ht="75" x14ac:dyDescent="0.25">
      <c r="A818" s="24" t="str">
        <f>HYPERLINK("https://www.cpso.on.ca/DoctorDetails/Harmeet-Kaur-Bami/0053438-67404","Bami, Harmeet Kaur")</f>
        <v>Bami, Harmeet Kaur</v>
      </c>
      <c r="B818" s="25" t="s">
        <v>8375</v>
      </c>
      <c r="C818" s="24" t="s">
        <v>2036</v>
      </c>
      <c r="D818" s="24" t="s">
        <v>8376</v>
      </c>
      <c r="E818" s="24" t="s">
        <v>29</v>
      </c>
      <c r="F818" s="24" t="s">
        <v>47</v>
      </c>
      <c r="G818" s="24" t="s">
        <v>61</v>
      </c>
      <c r="H818" s="24" t="s">
        <v>8377</v>
      </c>
      <c r="I818" s="24" t="s">
        <v>8378</v>
      </c>
      <c r="J818" s="24" t="s">
        <v>8379</v>
      </c>
      <c r="K818" s="24" t="s">
        <v>589</v>
      </c>
      <c r="L818" s="24" t="s">
        <v>36</v>
      </c>
      <c r="M818" s="15" t="s">
        <v>8380</v>
      </c>
      <c r="N818" s="15"/>
      <c r="O818" s="15" t="s">
        <v>833</v>
      </c>
      <c r="P818" s="15" t="s">
        <v>8381</v>
      </c>
      <c r="Q818" s="15" t="s">
        <v>8382</v>
      </c>
      <c r="R818" s="15" t="s">
        <v>8383</v>
      </c>
      <c r="S818" s="24" t="s">
        <v>39</v>
      </c>
      <c r="T818" s="24" t="s">
        <v>39</v>
      </c>
      <c r="U818" s="24" t="s">
        <v>39</v>
      </c>
      <c r="V818" s="24" t="s">
        <v>39</v>
      </c>
      <c r="W818" s="24" t="s">
        <v>8384</v>
      </c>
      <c r="X818" s="24" t="s">
        <v>8385</v>
      </c>
      <c r="Y818" s="15" t="s">
        <v>8386</v>
      </c>
      <c r="Z818" s="15" t="s">
        <v>8387</v>
      </c>
      <c r="AA818" s="24"/>
      <c r="AB818" s="24"/>
      <c r="AC818" s="24"/>
      <c r="AD818" s="24"/>
      <c r="AE818" s="24"/>
      <c r="AF818" s="24"/>
      <c r="AG818" s="24"/>
      <c r="AH818" s="24"/>
    </row>
    <row r="819" spans="1:34" x14ac:dyDescent="0.25">
      <c r="A819" s="24" t="str">
        <f>HYPERLINK("https://www.cpso.on.ca/DoctorDetails/Harold-Allan-Grossman/0019972-24760","Grossman, Harold Allan")</f>
        <v>Grossman, Harold Allan</v>
      </c>
      <c r="B819" s="25" t="s">
        <v>8388</v>
      </c>
      <c r="C819" s="24" t="s">
        <v>8389</v>
      </c>
      <c r="D819" s="24" t="s">
        <v>8390</v>
      </c>
      <c r="E819" s="24" t="s">
        <v>29</v>
      </c>
      <c r="F819" s="24" t="s">
        <v>30</v>
      </c>
      <c r="G819" s="24" t="s">
        <v>31</v>
      </c>
      <c r="H819" s="24" t="s">
        <v>3884</v>
      </c>
      <c r="I819" s="24" t="s">
        <v>107</v>
      </c>
      <c r="J819" s="24"/>
      <c r="K819" s="24"/>
      <c r="L819" s="24"/>
      <c r="M819" s="15"/>
      <c r="N819" s="15"/>
      <c r="O819" s="15"/>
      <c r="P819" s="15" t="s">
        <v>1947</v>
      </c>
      <c r="Q819" s="15"/>
      <c r="R819" s="15" t="s">
        <v>8391</v>
      </c>
      <c r="S819" s="24" t="s">
        <v>39</v>
      </c>
      <c r="T819" s="24" t="s">
        <v>39</v>
      </c>
      <c r="U819" s="24" t="s">
        <v>39</v>
      </c>
      <c r="V819" s="24" t="s">
        <v>39</v>
      </c>
      <c r="W819" s="24"/>
      <c r="X819" s="24"/>
      <c r="Y819" s="15"/>
      <c r="Z819" s="15"/>
      <c r="AA819" s="24"/>
      <c r="AB819" s="24"/>
      <c r="AC819" s="24"/>
      <c r="AD819" s="24"/>
      <c r="AE819" s="24"/>
      <c r="AF819" s="24"/>
      <c r="AG819" s="24"/>
      <c r="AH819" s="24"/>
    </row>
    <row r="820" spans="1:34" ht="30" x14ac:dyDescent="0.25">
      <c r="A820" s="24" t="str">
        <f>HYPERLINK("https://www.cpso.on.ca/DoctorDetails/Harold-Isaac-Spivak/0046045-60023","Spivak, Harold Isaac")</f>
        <v>Spivak, Harold Isaac</v>
      </c>
      <c r="B820" s="25" t="s">
        <v>8392</v>
      </c>
      <c r="C820" s="24" t="s">
        <v>3463</v>
      </c>
      <c r="D820" s="24" t="s">
        <v>8393</v>
      </c>
      <c r="E820" s="24" t="s">
        <v>29</v>
      </c>
      <c r="F820" s="24" t="s">
        <v>30</v>
      </c>
      <c r="G820" s="24" t="s">
        <v>31</v>
      </c>
      <c r="H820" s="24" t="s">
        <v>8394</v>
      </c>
      <c r="I820" s="24" t="s">
        <v>8395</v>
      </c>
      <c r="J820" s="24" t="s">
        <v>8396</v>
      </c>
      <c r="K820" s="24" t="s">
        <v>218</v>
      </c>
      <c r="L820" s="24" t="s">
        <v>52</v>
      </c>
      <c r="M820" s="15"/>
      <c r="N820" s="15"/>
      <c r="O820" s="15" t="s">
        <v>219</v>
      </c>
      <c r="P820" s="15" t="s">
        <v>1842</v>
      </c>
      <c r="Q820" s="15" t="s">
        <v>8397</v>
      </c>
      <c r="R820" s="15" t="s">
        <v>8398</v>
      </c>
      <c r="S820" s="24" t="s">
        <v>39</v>
      </c>
      <c r="T820" s="24" t="s">
        <v>39</v>
      </c>
      <c r="U820" s="24" t="s">
        <v>39</v>
      </c>
      <c r="V820" s="24" t="s">
        <v>39</v>
      </c>
      <c r="W820" s="24" t="s">
        <v>8399</v>
      </c>
      <c r="X820" s="24" t="s">
        <v>8400</v>
      </c>
      <c r="Y820" s="15" t="s">
        <v>8401</v>
      </c>
      <c r="Z820" s="15" t="s">
        <v>8402</v>
      </c>
      <c r="AA820" s="24"/>
      <c r="AB820" s="24"/>
      <c r="AC820" s="24"/>
      <c r="AD820" s="24"/>
      <c r="AE820" s="24"/>
      <c r="AF820" s="24"/>
      <c r="AG820" s="24"/>
      <c r="AH820" s="24"/>
    </row>
    <row r="821" spans="1:34" ht="30" x14ac:dyDescent="0.25">
      <c r="A821" s="24" t="str">
        <f>HYPERLINK("https://www.cpso.on.ca/DoctorDetails/Harriet-Louise-Macmillan/0037101-51077","Macmillan, Harriet Louise")</f>
        <v>Macmillan, Harriet Louise</v>
      </c>
      <c r="B821" s="25" t="s">
        <v>8403</v>
      </c>
      <c r="C821" s="24" t="s">
        <v>3676</v>
      </c>
      <c r="D821" s="24" t="s">
        <v>2536</v>
      </c>
      <c r="E821" s="24" t="s">
        <v>29</v>
      </c>
      <c r="F821" s="24" t="s">
        <v>47</v>
      </c>
      <c r="G821" s="24" t="s">
        <v>31</v>
      </c>
      <c r="H821" s="24" t="s">
        <v>3419</v>
      </c>
      <c r="I821" s="24" t="s">
        <v>8404</v>
      </c>
      <c r="J821" s="24" t="s">
        <v>8405</v>
      </c>
      <c r="K821" s="24" t="s">
        <v>8406</v>
      </c>
      <c r="L821" s="24" t="s">
        <v>184</v>
      </c>
      <c r="M821" s="15"/>
      <c r="N821" s="15"/>
      <c r="O821" s="15" t="s">
        <v>4002</v>
      </c>
      <c r="P821" s="15" t="s">
        <v>8407</v>
      </c>
      <c r="Q821" s="15"/>
      <c r="R821" s="15" t="s">
        <v>8408</v>
      </c>
      <c r="S821" s="24" t="s">
        <v>39</v>
      </c>
      <c r="T821" s="24" t="s">
        <v>39</v>
      </c>
      <c r="U821" s="24" t="s">
        <v>39</v>
      </c>
      <c r="V821" s="24" t="s">
        <v>39</v>
      </c>
      <c r="W821" s="24"/>
      <c r="X821" s="24"/>
      <c r="Y821" s="15"/>
      <c r="Z821" s="15"/>
      <c r="AA821" s="24"/>
      <c r="AB821" s="24"/>
      <c r="AC821" s="24"/>
      <c r="AD821" s="24"/>
      <c r="AE821" s="24"/>
      <c r="AF821" s="24"/>
      <c r="AG821" s="24"/>
      <c r="AH821" s="24"/>
    </row>
    <row r="822" spans="1:34" ht="135" x14ac:dyDescent="0.25">
      <c r="A822" s="24" t="str">
        <f>HYPERLINK("https://www.cpso.on.ca/DoctorDetails/Harry-Leon-Felcenbuch-Dachis/0039221-53197","Felcenbuch Dachis, Harry Leon")</f>
        <v>Felcenbuch Dachis, Harry Leon</v>
      </c>
      <c r="B822" s="25" t="s">
        <v>8409</v>
      </c>
      <c r="C822" s="24" t="s">
        <v>8410</v>
      </c>
      <c r="D822" s="24" t="s">
        <v>8411</v>
      </c>
      <c r="E822" s="24" t="s">
        <v>29</v>
      </c>
      <c r="F822" s="24" t="s">
        <v>30</v>
      </c>
      <c r="G822" s="24" t="s">
        <v>115</v>
      </c>
      <c r="H822" s="24" t="s">
        <v>8412</v>
      </c>
      <c r="I822" s="24" t="s">
        <v>8413</v>
      </c>
      <c r="J822" s="24" t="s">
        <v>8414</v>
      </c>
      <c r="K822" s="24" t="s">
        <v>8415</v>
      </c>
      <c r="L822" s="24" t="s">
        <v>36</v>
      </c>
      <c r="M822" s="15"/>
      <c r="N822" s="15"/>
      <c r="O822" s="15" t="s">
        <v>4094</v>
      </c>
      <c r="P822" s="15" t="s">
        <v>169</v>
      </c>
      <c r="Q822" s="15" t="s">
        <v>8416</v>
      </c>
      <c r="R822" s="15" t="s">
        <v>8417</v>
      </c>
      <c r="S822" s="24" t="s">
        <v>39</v>
      </c>
      <c r="T822" s="24" t="s">
        <v>39</v>
      </c>
      <c r="U822" s="24" t="s">
        <v>39</v>
      </c>
      <c r="V822" s="24" t="s">
        <v>39</v>
      </c>
      <c r="W822" s="24"/>
      <c r="X822" s="24"/>
      <c r="Y822" s="15"/>
      <c r="Z822" s="15"/>
      <c r="AA822" s="24"/>
      <c r="AB822" s="24"/>
      <c r="AC822" s="24"/>
      <c r="AD822" s="24"/>
      <c r="AE822" s="24"/>
      <c r="AF822" s="24"/>
      <c r="AG822" s="24"/>
      <c r="AH822" s="24"/>
    </row>
    <row r="823" spans="1:34" ht="30" x14ac:dyDescent="0.25">
      <c r="A823" s="24" t="str">
        <f>HYPERLINK("https://www.cpso.on.ca/DoctorDetails/Harvey-Golombek/0013181-17961","Golombek, Harvey")</f>
        <v>Golombek, Harvey</v>
      </c>
      <c r="B823" s="25" t="s">
        <v>8418</v>
      </c>
      <c r="C823" s="24" t="s">
        <v>8419</v>
      </c>
      <c r="D823" s="24" t="s">
        <v>8420</v>
      </c>
      <c r="E823" s="24" t="s">
        <v>29</v>
      </c>
      <c r="F823" s="24" t="s">
        <v>30</v>
      </c>
      <c r="G823" s="24" t="s">
        <v>31</v>
      </c>
      <c r="H823" s="24" t="s">
        <v>6485</v>
      </c>
      <c r="I823" s="24" t="s">
        <v>8421</v>
      </c>
      <c r="J823" s="24" t="s">
        <v>8422</v>
      </c>
      <c r="K823" s="24"/>
      <c r="L823" s="24" t="s">
        <v>328</v>
      </c>
      <c r="M823" s="15"/>
      <c r="N823" s="15"/>
      <c r="O823" s="15" t="s">
        <v>8423</v>
      </c>
      <c r="P823" s="15" t="s">
        <v>8424</v>
      </c>
      <c r="Q823" s="15"/>
      <c r="R823" s="15" t="s">
        <v>8425</v>
      </c>
      <c r="S823" s="24" t="s">
        <v>39</v>
      </c>
      <c r="T823" s="24" t="s">
        <v>39</v>
      </c>
      <c r="U823" s="24" t="s">
        <v>39</v>
      </c>
      <c r="V823" s="24" t="s">
        <v>39</v>
      </c>
      <c r="W823" s="24"/>
      <c r="X823" s="24"/>
      <c r="Y823" s="15"/>
      <c r="Z823" s="15"/>
      <c r="AA823" s="24"/>
      <c r="AB823" s="24"/>
      <c r="AC823" s="24"/>
      <c r="AD823" s="24"/>
      <c r="AE823" s="24"/>
      <c r="AF823" s="24"/>
      <c r="AG823" s="24"/>
      <c r="AH823" s="24"/>
    </row>
    <row r="824" spans="1:34" x14ac:dyDescent="0.25">
      <c r="A824" s="24" t="str">
        <f>HYPERLINK("https://www.cpso.on.ca/DoctorDetails/Harvey-Moldofsky/0013254-18034","Moldofsky, Harvey")</f>
        <v>Moldofsky, Harvey</v>
      </c>
      <c r="B824" s="25" t="s">
        <v>8426</v>
      </c>
      <c r="C824" s="24" t="s">
        <v>8427</v>
      </c>
      <c r="D824" s="24" t="s">
        <v>8428</v>
      </c>
      <c r="E824" s="24" t="s">
        <v>29</v>
      </c>
      <c r="F824" s="24" t="s">
        <v>30</v>
      </c>
      <c r="G824" s="24" t="s">
        <v>31</v>
      </c>
      <c r="H824" s="24" t="s">
        <v>1048</v>
      </c>
      <c r="I824" s="24" t="s">
        <v>8429</v>
      </c>
      <c r="J824" s="24" t="s">
        <v>8430</v>
      </c>
      <c r="K824" s="24" t="s">
        <v>8431</v>
      </c>
      <c r="L824" s="24" t="s">
        <v>52</v>
      </c>
      <c r="M824" s="15"/>
      <c r="N824" s="15"/>
      <c r="O824" s="15"/>
      <c r="P824" s="15" t="s">
        <v>6864</v>
      </c>
      <c r="Q824" s="15"/>
      <c r="R824" s="15" t="s">
        <v>8432</v>
      </c>
      <c r="S824" s="24" t="s">
        <v>39</v>
      </c>
      <c r="T824" s="24" t="s">
        <v>39</v>
      </c>
      <c r="U824" s="24" t="s">
        <v>39</v>
      </c>
      <c r="V824" s="24" t="s">
        <v>39</v>
      </c>
      <c r="W824" s="24" t="s">
        <v>8433</v>
      </c>
      <c r="X824" s="24" t="s">
        <v>8434</v>
      </c>
      <c r="Y824" s="15"/>
      <c r="Z824" s="15"/>
      <c r="AA824" s="24"/>
      <c r="AB824" s="24"/>
      <c r="AC824" s="24"/>
      <c r="AD824" s="24"/>
      <c r="AE824" s="24"/>
      <c r="AF824" s="24"/>
      <c r="AG824" s="24"/>
      <c r="AH824" s="24"/>
    </row>
    <row r="825" spans="1:34" x14ac:dyDescent="0.25">
      <c r="A825" s="24" t="str">
        <f>HYPERLINK("https://www.cpso.on.ca/DoctorDetails/Hassan-Rafiqul-Hakim/0056985-68573","Hakim, Hassan Rafiqul")</f>
        <v>Hakim, Hassan Rafiqul</v>
      </c>
      <c r="B825" s="25" t="s">
        <v>8435</v>
      </c>
      <c r="C825" s="24" t="s">
        <v>8436</v>
      </c>
      <c r="D825" s="24" t="s">
        <v>8437</v>
      </c>
      <c r="E825" s="24" t="s">
        <v>29</v>
      </c>
      <c r="F825" s="24" t="s">
        <v>30</v>
      </c>
      <c r="G825" s="24" t="s">
        <v>8438</v>
      </c>
      <c r="H825" s="24" t="s">
        <v>8439</v>
      </c>
      <c r="I825" s="24" t="s">
        <v>8440</v>
      </c>
      <c r="J825" s="24" t="s">
        <v>4786</v>
      </c>
      <c r="K825" s="24" t="s">
        <v>4787</v>
      </c>
      <c r="L825" s="24" t="s">
        <v>36</v>
      </c>
      <c r="M825" s="15"/>
      <c r="N825" s="15"/>
      <c r="O825" s="15" t="s">
        <v>4788</v>
      </c>
      <c r="P825" s="15" t="s">
        <v>6158</v>
      </c>
      <c r="Q825" s="15"/>
      <c r="R825" s="15" t="s">
        <v>8441</v>
      </c>
      <c r="S825" s="24" t="s">
        <v>39</v>
      </c>
      <c r="T825" s="24" t="s">
        <v>39</v>
      </c>
      <c r="U825" s="24" t="s">
        <v>39</v>
      </c>
      <c r="V825" s="24" t="s">
        <v>39</v>
      </c>
      <c r="W825" s="24" t="s">
        <v>8442</v>
      </c>
      <c r="X825" s="24" t="s">
        <v>8443</v>
      </c>
      <c r="Y825" s="15" t="s">
        <v>8444</v>
      </c>
      <c r="Z825" s="15" t="s">
        <v>8445</v>
      </c>
      <c r="AA825" s="24"/>
      <c r="AB825" s="24"/>
      <c r="AC825" s="24"/>
      <c r="AD825" s="24"/>
      <c r="AE825" s="24"/>
      <c r="AF825" s="24"/>
      <c r="AG825" s="24"/>
      <c r="AH825" s="24"/>
    </row>
    <row r="826" spans="1:34" ht="75" x14ac:dyDescent="0.25">
      <c r="A826" s="24" t="str">
        <f>HYPERLINK("https://www.cpso.on.ca/DoctorDetails/Hau-Van-Truong/0181612-77895","Truong, Hau Van")</f>
        <v>Truong, Hau Van</v>
      </c>
      <c r="B826" s="25" t="s">
        <v>8446</v>
      </c>
      <c r="C826" s="24" t="s">
        <v>921</v>
      </c>
      <c r="D826" s="24" t="s">
        <v>922</v>
      </c>
      <c r="E826" s="24" t="s">
        <v>29</v>
      </c>
      <c r="F826" s="24" t="s">
        <v>30</v>
      </c>
      <c r="G826" s="24" t="s">
        <v>31</v>
      </c>
      <c r="H826" s="24" t="s">
        <v>1509</v>
      </c>
      <c r="I826" s="24" t="s">
        <v>8447</v>
      </c>
      <c r="J826" s="24" t="s">
        <v>8448</v>
      </c>
      <c r="K826" s="24" t="s">
        <v>8449</v>
      </c>
      <c r="L826" s="24" t="s">
        <v>52</v>
      </c>
      <c r="M826" s="15"/>
      <c r="N826" s="15"/>
      <c r="O826" s="15" t="s">
        <v>219</v>
      </c>
      <c r="P826" s="15" t="s">
        <v>488</v>
      </c>
      <c r="Q826" s="15" t="s">
        <v>489</v>
      </c>
      <c r="R826" s="15" t="s">
        <v>929</v>
      </c>
      <c r="S826" s="24" t="s">
        <v>39</v>
      </c>
      <c r="T826" s="24" t="s">
        <v>39</v>
      </c>
      <c r="U826" s="24" t="s">
        <v>39</v>
      </c>
      <c r="V826" s="24" t="s">
        <v>39</v>
      </c>
      <c r="W826" s="24" t="s">
        <v>8450</v>
      </c>
      <c r="X826" s="24" t="s">
        <v>8451</v>
      </c>
      <c r="Y826" s="15" t="s">
        <v>8452</v>
      </c>
      <c r="Z826" s="15" t="s">
        <v>8453</v>
      </c>
      <c r="AA826" s="24"/>
      <c r="AB826" s="24"/>
      <c r="AC826" s="24"/>
      <c r="AD826" s="24"/>
      <c r="AE826" s="24"/>
      <c r="AF826" s="24"/>
      <c r="AG826" s="24"/>
      <c r="AH826" s="24"/>
    </row>
    <row r="827" spans="1:34" ht="105" x14ac:dyDescent="0.25">
      <c r="A827" s="24" t="str">
        <f>HYPERLINK("https://www.cpso.on.ca/DoctorDetails/Haya-MaalBared/0201048-79019","Maal-Bared, Haya")</f>
        <v>Maal-Bared, Haya</v>
      </c>
      <c r="B827" s="25" t="s">
        <v>8454</v>
      </c>
      <c r="C827" s="24" t="s">
        <v>8455</v>
      </c>
      <c r="D827" s="24" t="s">
        <v>8456</v>
      </c>
      <c r="E827" s="24" t="s">
        <v>29</v>
      </c>
      <c r="F827" s="24" t="s">
        <v>47</v>
      </c>
      <c r="G827" s="24" t="s">
        <v>8457</v>
      </c>
      <c r="H827" s="24" t="s">
        <v>5617</v>
      </c>
      <c r="I827" s="24" t="s">
        <v>8458</v>
      </c>
      <c r="J827" s="24" t="s">
        <v>8459</v>
      </c>
      <c r="K827" s="24" t="s">
        <v>8460</v>
      </c>
      <c r="L827" s="24" t="s">
        <v>52</v>
      </c>
      <c r="M827" s="15"/>
      <c r="N827" s="15"/>
      <c r="O827" s="15"/>
      <c r="P827" s="15" t="s">
        <v>880</v>
      </c>
      <c r="Q827" s="15" t="s">
        <v>1607</v>
      </c>
      <c r="R827" s="15" t="s">
        <v>8461</v>
      </c>
      <c r="S827" s="24" t="s">
        <v>71</v>
      </c>
      <c r="T827" s="24" t="s">
        <v>71</v>
      </c>
      <c r="U827" s="24" t="s">
        <v>39</v>
      </c>
      <c r="V827" s="24" t="s">
        <v>71</v>
      </c>
      <c r="W827" s="24" t="s">
        <v>8462</v>
      </c>
      <c r="X827" s="24" t="s">
        <v>8463</v>
      </c>
      <c r="Y827" s="15" t="s">
        <v>8464</v>
      </c>
      <c r="Z827" s="15" t="s">
        <v>8465</v>
      </c>
      <c r="AA827" s="24"/>
      <c r="AB827" s="24"/>
      <c r="AC827" s="24"/>
      <c r="AD827" s="24"/>
      <c r="AE827" s="24"/>
      <c r="AF827" s="24"/>
      <c r="AG827" s="24"/>
      <c r="AH827" s="24"/>
    </row>
    <row r="828" spans="1:34" ht="60" x14ac:dyDescent="0.25">
      <c r="A828" s="24" t="str">
        <f>HYPERLINK("https://www.cpso.on.ca/DoctorDetails/Haydn-Bush/0030416-42396","Bush, Haydn")</f>
        <v>Bush, Haydn</v>
      </c>
      <c r="B828" s="25" t="s">
        <v>8466</v>
      </c>
      <c r="C828" s="24" t="s">
        <v>8467</v>
      </c>
      <c r="D828" s="24" t="s">
        <v>8468</v>
      </c>
      <c r="E828" s="24" t="s">
        <v>29</v>
      </c>
      <c r="F828" s="24" t="s">
        <v>30</v>
      </c>
      <c r="G828" s="24" t="s">
        <v>31</v>
      </c>
      <c r="H828" s="24" t="s">
        <v>8469</v>
      </c>
      <c r="I828" s="24" t="s">
        <v>8470</v>
      </c>
      <c r="J828" s="24" t="s">
        <v>8471</v>
      </c>
      <c r="K828" s="24" t="s">
        <v>8472</v>
      </c>
      <c r="L828" s="24" t="s">
        <v>135</v>
      </c>
      <c r="M828" s="15"/>
      <c r="N828" s="15"/>
      <c r="O828" s="15"/>
      <c r="P828" s="15" t="s">
        <v>8473</v>
      </c>
      <c r="Q828" s="15"/>
      <c r="R828" s="15" t="s">
        <v>8474</v>
      </c>
      <c r="S828" s="24" t="s">
        <v>39</v>
      </c>
      <c r="T828" s="24" t="s">
        <v>39</v>
      </c>
      <c r="U828" s="24" t="s">
        <v>39</v>
      </c>
      <c r="V828" s="24" t="s">
        <v>39</v>
      </c>
      <c r="W828" s="24"/>
      <c r="X828" s="24"/>
      <c r="Y828" s="15"/>
      <c r="Z828" s="15"/>
      <c r="AA828" s="24"/>
      <c r="AB828" s="24"/>
      <c r="AC828" s="24"/>
      <c r="AD828" s="24"/>
      <c r="AE828" s="24"/>
      <c r="AF828" s="24"/>
      <c r="AG828" s="24"/>
      <c r="AH828" s="24"/>
    </row>
    <row r="829" spans="1:34" ht="30" x14ac:dyDescent="0.25">
      <c r="A829" s="24" t="str">
        <f>HYPERLINK("https://www.cpso.on.ca/DoctorDetails/Hazen-Morrison-Gandy/0044873-58851","Gandy, Hazen Morrison")</f>
        <v>Gandy, Hazen Morrison</v>
      </c>
      <c r="B829" s="25" t="s">
        <v>8475</v>
      </c>
      <c r="C829" s="24" t="s">
        <v>8476</v>
      </c>
      <c r="D829" s="24" t="s">
        <v>8477</v>
      </c>
      <c r="E829" s="24" t="s">
        <v>29</v>
      </c>
      <c r="F829" s="24" t="s">
        <v>30</v>
      </c>
      <c r="G829" s="24" t="s">
        <v>31</v>
      </c>
      <c r="H829" s="24" t="s">
        <v>8322</v>
      </c>
      <c r="I829" s="24" t="s">
        <v>4581</v>
      </c>
      <c r="J829" s="24" t="s">
        <v>8478</v>
      </c>
      <c r="K829" s="24" t="s">
        <v>5804</v>
      </c>
      <c r="L829" s="24" t="s">
        <v>84</v>
      </c>
      <c r="M829" s="15"/>
      <c r="N829" s="15"/>
      <c r="O829" s="15" t="s">
        <v>2156</v>
      </c>
      <c r="P829" s="15" t="s">
        <v>8479</v>
      </c>
      <c r="Q829" s="15" t="s">
        <v>1163</v>
      </c>
      <c r="R829" s="15" t="s">
        <v>8480</v>
      </c>
      <c r="S829" s="24" t="s">
        <v>39</v>
      </c>
      <c r="T829" s="24" t="s">
        <v>39</v>
      </c>
      <c r="U829" s="24" t="s">
        <v>39</v>
      </c>
      <c r="V829" s="24" t="s">
        <v>39</v>
      </c>
      <c r="W829" s="24" t="s">
        <v>8481</v>
      </c>
      <c r="X829" s="24" t="s">
        <v>4575</v>
      </c>
      <c r="Y829" s="15" t="s">
        <v>8482</v>
      </c>
      <c r="Z829" s="15" t="s">
        <v>4577</v>
      </c>
      <c r="AA829" s="24"/>
      <c r="AB829" s="24"/>
      <c r="AC829" s="24"/>
      <c r="AD829" s="24"/>
      <c r="AE829" s="24"/>
      <c r="AF829" s="24"/>
      <c r="AG829" s="24"/>
      <c r="AH829" s="24"/>
    </row>
    <row r="830" spans="1:34" ht="30" x14ac:dyDescent="0.25">
      <c r="A830" s="24" t="str">
        <f>HYPERLINK("https://www.cpso.on.ca/DoctorDetails/Heather-Jean-Pearson/0037392-51368","Pearson, Heather Jean")</f>
        <v>Pearson, Heather Jean</v>
      </c>
      <c r="B830" s="25" t="s">
        <v>8483</v>
      </c>
      <c r="C830" s="24" t="s">
        <v>826</v>
      </c>
      <c r="D830" s="24" t="s">
        <v>827</v>
      </c>
      <c r="E830" s="24" t="s">
        <v>29</v>
      </c>
      <c r="F830" s="24" t="s">
        <v>47</v>
      </c>
      <c r="G830" s="24" t="s">
        <v>31</v>
      </c>
      <c r="H830" s="24" t="s">
        <v>2861</v>
      </c>
      <c r="I830" s="24" t="s">
        <v>8484</v>
      </c>
      <c r="J830" s="24" t="s">
        <v>8485</v>
      </c>
      <c r="K830" s="24" t="s">
        <v>8485</v>
      </c>
      <c r="L830" s="24" t="s">
        <v>340</v>
      </c>
      <c r="M830" s="15"/>
      <c r="N830" s="15"/>
      <c r="O830" s="15" t="s">
        <v>1914</v>
      </c>
      <c r="P830" s="15" t="s">
        <v>1947</v>
      </c>
      <c r="Q830" s="15"/>
      <c r="R830" s="15" t="s">
        <v>834</v>
      </c>
      <c r="S830" s="24" t="s">
        <v>39</v>
      </c>
      <c r="T830" s="24" t="s">
        <v>39</v>
      </c>
      <c r="U830" s="24" t="s">
        <v>39</v>
      </c>
      <c r="V830" s="24" t="s">
        <v>39</v>
      </c>
      <c r="W830" s="24"/>
      <c r="X830" s="24"/>
      <c r="Y830" s="15"/>
      <c r="Z830" s="15"/>
      <c r="AA830" s="24"/>
      <c r="AB830" s="24"/>
      <c r="AC830" s="24"/>
      <c r="AD830" s="24"/>
      <c r="AE830" s="24"/>
      <c r="AF830" s="24"/>
      <c r="AG830" s="24"/>
      <c r="AH830" s="24"/>
    </row>
    <row r="831" spans="1:34" ht="90" x14ac:dyDescent="0.25">
      <c r="A831" s="24" t="str">
        <f>HYPERLINK("https://www.cpso.on.ca/DoctorDetails/Heather-Lynn-Flett/0200770-79248","Flett, Heather Lynn")</f>
        <v>Flett, Heather Lynn</v>
      </c>
      <c r="B831" s="25" t="s">
        <v>8486</v>
      </c>
      <c r="C831" s="24" t="s">
        <v>871</v>
      </c>
      <c r="D831" s="24" t="s">
        <v>46</v>
      </c>
      <c r="E831" s="24" t="s">
        <v>29</v>
      </c>
      <c r="F831" s="24" t="s">
        <v>47</v>
      </c>
      <c r="G831" s="24" t="s">
        <v>31</v>
      </c>
      <c r="H831" s="24" t="s">
        <v>1604</v>
      </c>
      <c r="I831" s="24" t="s">
        <v>8487</v>
      </c>
      <c r="J831" s="24" t="s">
        <v>8488</v>
      </c>
      <c r="K831" s="24" t="s">
        <v>8489</v>
      </c>
      <c r="L831" s="24" t="s">
        <v>52</v>
      </c>
      <c r="M831" s="15"/>
      <c r="N831" s="15"/>
      <c r="O831" s="15" t="s">
        <v>1397</v>
      </c>
      <c r="P831" s="15" t="s">
        <v>55</v>
      </c>
      <c r="Q831" s="15" t="s">
        <v>8490</v>
      </c>
      <c r="R831" s="15" t="s">
        <v>8491</v>
      </c>
      <c r="S831" s="24" t="s">
        <v>39</v>
      </c>
      <c r="T831" s="24" t="s">
        <v>39</v>
      </c>
      <c r="U831" s="24" t="s">
        <v>39</v>
      </c>
      <c r="V831" s="24" t="s">
        <v>39</v>
      </c>
      <c r="W831" s="24" t="s">
        <v>8492</v>
      </c>
      <c r="X831" s="24" t="s">
        <v>6361</v>
      </c>
      <c r="Y831" s="15" t="s">
        <v>8493</v>
      </c>
      <c r="Z831" s="15" t="s">
        <v>8494</v>
      </c>
      <c r="AA831" s="24"/>
      <c r="AB831" s="24"/>
      <c r="AC831" s="24"/>
      <c r="AD831" s="24"/>
      <c r="AE831" s="24"/>
      <c r="AF831" s="24"/>
      <c r="AG831" s="24"/>
      <c r="AH831" s="24"/>
    </row>
    <row r="832" spans="1:34" ht="30" x14ac:dyDescent="0.25">
      <c r="A832" s="24" t="str">
        <f>HYPERLINK("https://www.cpso.on.ca/DoctorDetails/Heather-Noelle-Weir/0028816-33639","Weir, Heather Noelle")</f>
        <v>Weir, Heather Noelle</v>
      </c>
      <c r="B832" s="25" t="s">
        <v>8495</v>
      </c>
      <c r="C832" s="24" t="s">
        <v>8496</v>
      </c>
      <c r="D832" s="24" t="s">
        <v>8497</v>
      </c>
      <c r="E832" s="24" t="s">
        <v>29</v>
      </c>
      <c r="F832" s="24" t="s">
        <v>47</v>
      </c>
      <c r="G832" s="24" t="s">
        <v>31</v>
      </c>
      <c r="H832" s="24" t="s">
        <v>3438</v>
      </c>
      <c r="I832" s="24" t="s">
        <v>8498</v>
      </c>
      <c r="J832" s="24" t="s">
        <v>8499</v>
      </c>
      <c r="K832" s="24" t="s">
        <v>8500</v>
      </c>
      <c r="L832" s="24" t="s">
        <v>52</v>
      </c>
      <c r="M832" s="15"/>
      <c r="N832" s="15"/>
      <c r="O832" s="15" t="s">
        <v>8501</v>
      </c>
      <c r="P832" s="15" t="s">
        <v>4336</v>
      </c>
      <c r="Q832" s="15"/>
      <c r="R832" s="15" t="s">
        <v>8502</v>
      </c>
      <c r="S832" s="24" t="s">
        <v>39</v>
      </c>
      <c r="T832" s="24" t="s">
        <v>39</v>
      </c>
      <c r="U832" s="24" t="s">
        <v>39</v>
      </c>
      <c r="V832" s="24" t="s">
        <v>39</v>
      </c>
      <c r="W832" s="24"/>
      <c r="X832" s="24"/>
      <c r="Y832" s="15"/>
      <c r="Z832" s="15"/>
      <c r="AA832" s="24"/>
      <c r="AB832" s="24"/>
      <c r="AC832" s="24"/>
      <c r="AD832" s="24"/>
      <c r="AE832" s="24"/>
      <c r="AF832" s="24"/>
      <c r="AG832" s="24"/>
      <c r="AH832" s="24"/>
    </row>
    <row r="833" spans="1:34" ht="75" x14ac:dyDescent="0.25">
      <c r="A833" s="24" t="str">
        <f>HYPERLINK("https://www.cpso.on.ca/DoctorDetails/Heidi-Elizabeth-King/0258446-91266","King, Heidi Elizabeth")</f>
        <v>King, Heidi Elizabeth</v>
      </c>
      <c r="B833" s="25" t="s">
        <v>8503</v>
      </c>
      <c r="C833" s="24" t="s">
        <v>442</v>
      </c>
      <c r="D833" s="24" t="s">
        <v>443</v>
      </c>
      <c r="E833" s="24" t="s">
        <v>29</v>
      </c>
      <c r="F833" s="24" t="s">
        <v>47</v>
      </c>
      <c r="G833" s="24" t="s">
        <v>813</v>
      </c>
      <c r="H833" s="24" t="s">
        <v>8504</v>
      </c>
      <c r="I833" s="24" t="s">
        <v>8505</v>
      </c>
      <c r="J833" s="24" t="s">
        <v>8506</v>
      </c>
      <c r="K833" s="24"/>
      <c r="L833" s="24" t="s">
        <v>84</v>
      </c>
      <c r="M833" s="15"/>
      <c r="N833" s="15"/>
      <c r="O833" s="15" t="s">
        <v>4377</v>
      </c>
      <c r="P833" s="15" t="s">
        <v>449</v>
      </c>
      <c r="Q833" s="15" t="s">
        <v>8507</v>
      </c>
      <c r="R833" s="15" t="s">
        <v>451</v>
      </c>
      <c r="S833" s="24" t="s">
        <v>39</v>
      </c>
      <c r="T833" s="24" t="s">
        <v>39</v>
      </c>
      <c r="U833" s="24" t="s">
        <v>39</v>
      </c>
      <c r="V833" s="24" t="s">
        <v>39</v>
      </c>
      <c r="W833" s="24" t="s">
        <v>8508</v>
      </c>
      <c r="X833" s="24" t="s">
        <v>8509</v>
      </c>
      <c r="Y833" s="15" t="s">
        <v>8510</v>
      </c>
      <c r="Z833" s="15" t="s">
        <v>8511</v>
      </c>
      <c r="AA833" s="24"/>
      <c r="AB833" s="24"/>
      <c r="AC833" s="24"/>
      <c r="AD833" s="24"/>
      <c r="AE833" s="24"/>
      <c r="AF833" s="24"/>
      <c r="AG833" s="24"/>
      <c r="AH833" s="24"/>
    </row>
    <row r="834" spans="1:34" ht="75" x14ac:dyDescent="0.25">
      <c r="A834" s="24" t="str">
        <f>HYPERLINK("https://www.cpso.on.ca/DoctorDetails/Heidi-HoyYin-Chau/0258325-90732","Chau, Heidi Hoy-Yin")</f>
        <v>Chau, Heidi Hoy-Yin</v>
      </c>
      <c r="B834" s="25" t="s">
        <v>8512</v>
      </c>
      <c r="C834" s="24" t="s">
        <v>442</v>
      </c>
      <c r="D834" s="24" t="s">
        <v>443</v>
      </c>
      <c r="E834" s="24" t="s">
        <v>29</v>
      </c>
      <c r="F834" s="24" t="s">
        <v>47</v>
      </c>
      <c r="G834" s="24" t="s">
        <v>31</v>
      </c>
      <c r="H834" s="24" t="s">
        <v>1900</v>
      </c>
      <c r="I834" s="24" t="s">
        <v>107</v>
      </c>
      <c r="J834" s="24"/>
      <c r="K834" s="24"/>
      <c r="L834" s="24"/>
      <c r="M834" s="15"/>
      <c r="N834" s="15" t="s">
        <v>258</v>
      </c>
      <c r="O834" s="15"/>
      <c r="P834" s="15" t="s">
        <v>449</v>
      </c>
      <c r="Q834" s="15" t="s">
        <v>450</v>
      </c>
      <c r="R834" s="15" t="s">
        <v>451</v>
      </c>
      <c r="S834" s="24" t="s">
        <v>39</v>
      </c>
      <c r="T834" s="24" t="s">
        <v>39</v>
      </c>
      <c r="U834" s="24" t="s">
        <v>39</v>
      </c>
      <c r="V834" s="24" t="s">
        <v>39</v>
      </c>
      <c r="W834" s="24" t="s">
        <v>8513</v>
      </c>
      <c r="X834" s="24" t="s">
        <v>8514</v>
      </c>
      <c r="Y834" s="15"/>
      <c r="Z834" s="15"/>
      <c r="AA834" s="24"/>
      <c r="AB834" s="24"/>
      <c r="AC834" s="24"/>
      <c r="AD834" s="24"/>
      <c r="AE834" s="24"/>
      <c r="AF834" s="24"/>
      <c r="AG834" s="24"/>
      <c r="AH834" s="24"/>
    </row>
    <row r="835" spans="1:34" ht="105" x14ac:dyDescent="0.25">
      <c r="A835" s="24" t="str">
        <f>HYPERLINK("https://www.cpso.on.ca/DoctorDetails/Heidi-Marie-Haensel/0203638-79312","Haensel, Heidi Marie")</f>
        <v>Haensel, Heidi Marie</v>
      </c>
      <c r="B835" s="25" t="s">
        <v>8515</v>
      </c>
      <c r="C835" s="24" t="s">
        <v>871</v>
      </c>
      <c r="D835" s="24" t="s">
        <v>46</v>
      </c>
      <c r="E835" s="24" t="s">
        <v>29</v>
      </c>
      <c r="F835" s="24" t="s">
        <v>47</v>
      </c>
      <c r="G835" s="24" t="s">
        <v>31</v>
      </c>
      <c r="H835" s="24" t="s">
        <v>8516</v>
      </c>
      <c r="I835" s="24" t="s">
        <v>8517</v>
      </c>
      <c r="J835" s="24" t="s">
        <v>8518</v>
      </c>
      <c r="K835" s="24" t="s">
        <v>8519</v>
      </c>
      <c r="L835" s="24" t="s">
        <v>135</v>
      </c>
      <c r="M835" s="15"/>
      <c r="N835" s="15"/>
      <c r="O835" s="15" t="s">
        <v>8520</v>
      </c>
      <c r="P835" s="15" t="s">
        <v>55</v>
      </c>
      <c r="Q835" s="15" t="s">
        <v>8521</v>
      </c>
      <c r="R835" s="15" t="s">
        <v>8491</v>
      </c>
      <c r="S835" s="24" t="s">
        <v>39</v>
      </c>
      <c r="T835" s="24" t="s">
        <v>39</v>
      </c>
      <c r="U835" s="24" t="s">
        <v>39</v>
      </c>
      <c r="V835" s="24" t="s">
        <v>39</v>
      </c>
      <c r="W835" s="24" t="s">
        <v>8522</v>
      </c>
      <c r="X835" s="24" t="s">
        <v>8523</v>
      </c>
      <c r="Y835" s="15" t="s">
        <v>8524</v>
      </c>
      <c r="Z835" s="15" t="s">
        <v>8525</v>
      </c>
      <c r="AA835" s="24"/>
      <c r="AB835" s="24"/>
      <c r="AC835" s="24"/>
      <c r="AD835" s="24"/>
      <c r="AE835" s="24"/>
      <c r="AF835" s="24"/>
      <c r="AG835" s="24"/>
      <c r="AH835" s="24"/>
    </row>
    <row r="836" spans="1:34" ht="30" x14ac:dyDescent="0.25">
      <c r="A836" s="24" t="str">
        <f>HYPERLINK("https://www.cpso.on.ca/DoctorDetails/Helen-Ann-Preston/0012056-16833","Preston, Helen Ann")</f>
        <v>Preston, Helen Ann</v>
      </c>
      <c r="B836" s="25" t="s">
        <v>8526</v>
      </c>
      <c r="C836" s="24" t="s">
        <v>8527</v>
      </c>
      <c r="D836" s="24" t="s">
        <v>8528</v>
      </c>
      <c r="E836" s="24" t="s">
        <v>29</v>
      </c>
      <c r="F836" s="24" t="s">
        <v>47</v>
      </c>
      <c r="G836" s="24" t="s">
        <v>31</v>
      </c>
      <c r="H836" s="24" t="s">
        <v>8529</v>
      </c>
      <c r="I836" s="24" t="s">
        <v>8530</v>
      </c>
      <c r="J836" s="24" t="s">
        <v>8531</v>
      </c>
      <c r="K836" s="24" t="s">
        <v>8532</v>
      </c>
      <c r="L836" s="24" t="s">
        <v>52</v>
      </c>
      <c r="M836" s="15"/>
      <c r="N836" s="15"/>
      <c r="O836" s="15"/>
      <c r="P836" s="15" t="s">
        <v>3138</v>
      </c>
      <c r="Q836" s="15"/>
      <c r="R836" s="15" t="s">
        <v>8533</v>
      </c>
      <c r="S836" s="24" t="s">
        <v>39</v>
      </c>
      <c r="T836" s="24" t="s">
        <v>39</v>
      </c>
      <c r="U836" s="24" t="s">
        <v>39</v>
      </c>
      <c r="V836" s="24" t="s">
        <v>39</v>
      </c>
      <c r="W836" s="24"/>
      <c r="X836" s="24"/>
      <c r="Y836" s="15"/>
      <c r="Z836" s="15"/>
      <c r="AA836" s="24"/>
      <c r="AB836" s="24"/>
      <c r="AC836" s="24"/>
      <c r="AD836" s="24"/>
      <c r="AE836" s="24"/>
      <c r="AF836" s="24"/>
      <c r="AG836" s="24"/>
      <c r="AH836" s="24"/>
    </row>
    <row r="837" spans="1:34" ht="90" x14ac:dyDescent="0.25">
      <c r="A837" s="24" t="str">
        <f>HYPERLINK("https://www.cpso.on.ca/DoctorDetails/Helen-Catherine-Ward/0130888-69933","Ward, Helen Catherine")</f>
        <v>Ward, Helen Catherine</v>
      </c>
      <c r="B837" s="25" t="s">
        <v>8534</v>
      </c>
      <c r="C837" s="24" t="s">
        <v>2673</v>
      </c>
      <c r="D837" s="24" t="s">
        <v>2674</v>
      </c>
      <c r="E837" s="24" t="s">
        <v>29</v>
      </c>
      <c r="F837" s="24" t="s">
        <v>47</v>
      </c>
      <c r="G837" s="24" t="s">
        <v>31</v>
      </c>
      <c r="H837" s="24" t="s">
        <v>8535</v>
      </c>
      <c r="I837" s="24" t="s">
        <v>8536</v>
      </c>
      <c r="J837" s="24" t="s">
        <v>8537</v>
      </c>
      <c r="K837" s="24" t="s">
        <v>8538</v>
      </c>
      <c r="L837" s="24" t="s">
        <v>84</v>
      </c>
      <c r="M837" s="15" t="s">
        <v>8539</v>
      </c>
      <c r="N837" s="15"/>
      <c r="O837" s="15" t="s">
        <v>498</v>
      </c>
      <c r="P837" s="15" t="s">
        <v>2678</v>
      </c>
      <c r="Q837" s="15" t="s">
        <v>8540</v>
      </c>
      <c r="R837" s="15" t="s">
        <v>2680</v>
      </c>
      <c r="S837" s="24" t="s">
        <v>39</v>
      </c>
      <c r="T837" s="24" t="s">
        <v>39</v>
      </c>
      <c r="U837" s="24" t="s">
        <v>39</v>
      </c>
      <c r="V837" s="24" t="s">
        <v>39</v>
      </c>
      <c r="W837" s="24" t="s">
        <v>8541</v>
      </c>
      <c r="X837" s="24" t="s">
        <v>1334</v>
      </c>
      <c r="Y837" s="15" t="s">
        <v>8542</v>
      </c>
      <c r="Z837" s="15" t="s">
        <v>8543</v>
      </c>
      <c r="AA837" s="24"/>
      <c r="AB837" s="24"/>
      <c r="AC837" s="24"/>
      <c r="AD837" s="24"/>
      <c r="AE837" s="24"/>
      <c r="AF837" s="24"/>
      <c r="AG837" s="24"/>
      <c r="AH837" s="24"/>
    </row>
    <row r="838" spans="1:34" ht="45" x14ac:dyDescent="0.25">
      <c r="A838" s="24" t="str">
        <f>HYPERLINK("https://www.cpso.on.ca/DoctorDetails/Helen-Margaret-Rosemary-Meier/0023130-27921","Meier, Helen Margaret Rosemary")</f>
        <v>Meier, Helen Margaret Rosemary</v>
      </c>
      <c r="B838" s="25" t="s">
        <v>8544</v>
      </c>
      <c r="C838" s="24" t="s">
        <v>8545</v>
      </c>
      <c r="D838" s="24" t="s">
        <v>8546</v>
      </c>
      <c r="E838" s="24" t="s">
        <v>29</v>
      </c>
      <c r="F838" s="24" t="s">
        <v>47</v>
      </c>
      <c r="G838" s="24" t="s">
        <v>31</v>
      </c>
      <c r="H838" s="24" t="s">
        <v>8547</v>
      </c>
      <c r="I838" s="24" t="s">
        <v>8548</v>
      </c>
      <c r="J838" s="24" t="s">
        <v>8549</v>
      </c>
      <c r="K838" s="24" t="s">
        <v>8550</v>
      </c>
      <c r="L838" s="24" t="s">
        <v>52</v>
      </c>
      <c r="M838" s="15"/>
      <c r="N838" s="15"/>
      <c r="O838" s="15"/>
      <c r="P838" s="15" t="s">
        <v>8551</v>
      </c>
      <c r="Q838" s="15"/>
      <c r="R838" s="15" t="s">
        <v>8552</v>
      </c>
      <c r="S838" s="24" t="s">
        <v>39</v>
      </c>
      <c r="T838" s="24" t="s">
        <v>39</v>
      </c>
      <c r="U838" s="24" t="s">
        <v>39</v>
      </c>
      <c r="V838" s="24" t="s">
        <v>39</v>
      </c>
      <c r="W838" s="24"/>
      <c r="X838" s="24"/>
      <c r="Y838" s="15"/>
      <c r="Z838" s="15"/>
      <c r="AA838" s="24"/>
      <c r="AB838" s="24"/>
      <c r="AC838" s="24"/>
      <c r="AD838" s="24"/>
      <c r="AE838" s="24"/>
      <c r="AF838" s="24"/>
      <c r="AG838" s="24"/>
      <c r="AH838" s="24"/>
    </row>
    <row r="839" spans="1:34" ht="60" x14ac:dyDescent="0.25">
      <c r="A839" s="24" t="str">
        <f>HYPERLINK("https://www.cpso.on.ca/DoctorDetails/Helen-Ruth-Spenser/0045908-59886","Spenser, Helen Ruth")</f>
        <v>Spenser, Helen Ruth</v>
      </c>
      <c r="B839" s="25" t="s">
        <v>8553</v>
      </c>
      <c r="C839" s="24" t="s">
        <v>2286</v>
      </c>
      <c r="D839" s="24" t="s">
        <v>4555</v>
      </c>
      <c r="E839" s="24" t="s">
        <v>29</v>
      </c>
      <c r="F839" s="24" t="s">
        <v>47</v>
      </c>
      <c r="G839" s="24" t="s">
        <v>813</v>
      </c>
      <c r="H839" s="24" t="s">
        <v>6839</v>
      </c>
      <c r="I839" s="24" t="s">
        <v>8554</v>
      </c>
      <c r="J839" s="24" t="s">
        <v>8555</v>
      </c>
      <c r="K839" s="24" t="s">
        <v>8555</v>
      </c>
      <c r="L839" s="24" t="s">
        <v>84</v>
      </c>
      <c r="M839" s="15" t="s">
        <v>8556</v>
      </c>
      <c r="N839" s="15"/>
      <c r="O839" s="15" t="s">
        <v>2156</v>
      </c>
      <c r="P839" s="15" t="s">
        <v>8557</v>
      </c>
      <c r="Q839" s="15" t="s">
        <v>8558</v>
      </c>
      <c r="R839" s="15" t="s">
        <v>8559</v>
      </c>
      <c r="S839" s="24" t="s">
        <v>39</v>
      </c>
      <c r="T839" s="24" t="s">
        <v>39</v>
      </c>
      <c r="U839" s="24" t="s">
        <v>39</v>
      </c>
      <c r="V839" s="24" t="s">
        <v>39</v>
      </c>
      <c r="W839" s="24" t="s">
        <v>8560</v>
      </c>
      <c r="X839" s="24" t="s">
        <v>8561</v>
      </c>
      <c r="Y839" s="15" t="s">
        <v>8562</v>
      </c>
      <c r="Z839" s="15" t="s">
        <v>4577</v>
      </c>
      <c r="AA839" s="24"/>
      <c r="AB839" s="24"/>
      <c r="AC839" s="24"/>
      <c r="AD839" s="24"/>
      <c r="AE839" s="24"/>
      <c r="AF839" s="24"/>
      <c r="AG839" s="24"/>
      <c r="AH839" s="24"/>
    </row>
    <row r="840" spans="1:34" ht="45" x14ac:dyDescent="0.25">
      <c r="A840" s="24" t="str">
        <f>HYPERLINK("https://www.cpso.on.ca/DoctorDetails/Helene-Cadotte/0203562-78932","Cadotte, Helene")</f>
        <v>Cadotte, Helene</v>
      </c>
      <c r="B840" s="25" t="s">
        <v>8563</v>
      </c>
      <c r="C840" s="24" t="s">
        <v>8564</v>
      </c>
      <c r="D840" s="24" t="s">
        <v>8565</v>
      </c>
      <c r="E840" s="24" t="s">
        <v>29</v>
      </c>
      <c r="F840" s="24" t="s">
        <v>47</v>
      </c>
      <c r="G840" s="24" t="s">
        <v>813</v>
      </c>
      <c r="H840" s="24" t="s">
        <v>3964</v>
      </c>
      <c r="I840" s="24" t="s">
        <v>8566</v>
      </c>
      <c r="J840" s="24" t="s">
        <v>8567</v>
      </c>
      <c r="K840" s="24"/>
      <c r="L840" s="24" t="s">
        <v>84</v>
      </c>
      <c r="M840" s="15"/>
      <c r="N840" s="15" t="s">
        <v>710</v>
      </c>
      <c r="O840" s="15" t="s">
        <v>4570</v>
      </c>
      <c r="P840" s="15" t="s">
        <v>8568</v>
      </c>
      <c r="Q840" s="15"/>
      <c r="R840" s="15" t="s">
        <v>8569</v>
      </c>
      <c r="S840" s="24" t="s">
        <v>39</v>
      </c>
      <c r="T840" s="24" t="s">
        <v>39</v>
      </c>
      <c r="U840" s="24" t="s">
        <v>39</v>
      </c>
      <c r="V840" s="24" t="s">
        <v>39</v>
      </c>
      <c r="W840" s="24" t="s">
        <v>8570</v>
      </c>
      <c r="X840" s="24" t="s">
        <v>4575</v>
      </c>
      <c r="Y840" s="15" t="s">
        <v>8571</v>
      </c>
      <c r="Z840" s="15" t="s">
        <v>8572</v>
      </c>
      <c r="AA840" s="24"/>
      <c r="AB840" s="24"/>
      <c r="AC840" s="24"/>
      <c r="AD840" s="24"/>
      <c r="AE840" s="24"/>
      <c r="AF840" s="24"/>
      <c r="AG840" s="24"/>
      <c r="AH840" s="24"/>
    </row>
    <row r="841" spans="1:34" x14ac:dyDescent="0.25">
      <c r="A841" s="24" t="str">
        <f>HYPERLINK("https://www.cpso.on.ca/DoctorDetails/Helene-Estelle-Brodziak/0024658-29480","Brodziak, Helene Estelle")</f>
        <v>Brodziak, Helene Estelle</v>
      </c>
      <c r="B841" s="25" t="s">
        <v>8573</v>
      </c>
      <c r="C841" s="24" t="s">
        <v>8574</v>
      </c>
      <c r="D841" s="24" t="s">
        <v>8575</v>
      </c>
      <c r="E841" s="24" t="s">
        <v>29</v>
      </c>
      <c r="F841" s="24" t="s">
        <v>47</v>
      </c>
      <c r="G841" s="24" t="s">
        <v>31</v>
      </c>
      <c r="H841" s="24" t="s">
        <v>8576</v>
      </c>
      <c r="I841" s="24" t="s">
        <v>8577</v>
      </c>
      <c r="J841" s="24" t="s">
        <v>8578</v>
      </c>
      <c r="K841" s="24" t="s">
        <v>8579</v>
      </c>
      <c r="L841" s="24" t="s">
        <v>52</v>
      </c>
      <c r="M841" s="15"/>
      <c r="N841" s="15"/>
      <c r="O841" s="15"/>
      <c r="P841" s="15" t="s">
        <v>727</v>
      </c>
      <c r="Q841" s="15"/>
      <c r="R841" s="15" t="s">
        <v>8580</v>
      </c>
      <c r="S841" s="24" t="s">
        <v>39</v>
      </c>
      <c r="T841" s="24" t="s">
        <v>39</v>
      </c>
      <c r="U841" s="24" t="s">
        <v>39</v>
      </c>
      <c r="V841" s="24" t="s">
        <v>39</v>
      </c>
      <c r="W841" s="24" t="s">
        <v>8581</v>
      </c>
      <c r="X841" s="24" t="s">
        <v>8582</v>
      </c>
      <c r="Y841" s="15"/>
      <c r="Z841" s="15"/>
      <c r="AA841" s="24"/>
      <c r="AB841" s="24"/>
      <c r="AC841" s="24"/>
      <c r="AD841" s="24"/>
      <c r="AE841" s="24"/>
      <c r="AF841" s="24"/>
      <c r="AG841" s="24"/>
      <c r="AH841" s="24"/>
    </row>
    <row r="842" spans="1:34" ht="75" x14ac:dyDescent="0.25">
      <c r="A842" s="24" t="str">
        <f>HYPERLINK("https://www.cpso.on.ca/DoctorDetails/Helene-Marienne-Danielle-Mik/0250638-88700","Mik, Helene Marienne Danielle")</f>
        <v>Mik, Helene Marienne Danielle</v>
      </c>
      <c r="B842" s="25" t="s">
        <v>8583</v>
      </c>
      <c r="C842" s="24" t="s">
        <v>8584</v>
      </c>
      <c r="D842" s="24" t="s">
        <v>8585</v>
      </c>
      <c r="E842" s="24" t="s">
        <v>29</v>
      </c>
      <c r="F842" s="24" t="s">
        <v>47</v>
      </c>
      <c r="G842" s="24" t="s">
        <v>31</v>
      </c>
      <c r="H842" s="24" t="s">
        <v>8586</v>
      </c>
      <c r="I842" s="24" t="s">
        <v>8587</v>
      </c>
      <c r="J842" s="24" t="s">
        <v>8588</v>
      </c>
      <c r="K842" s="24" t="s">
        <v>1783</v>
      </c>
      <c r="L842" s="24" t="s">
        <v>52</v>
      </c>
      <c r="M842" s="15" t="s">
        <v>8589</v>
      </c>
      <c r="N842" s="15"/>
      <c r="O842" s="15" t="s">
        <v>1784</v>
      </c>
      <c r="P842" s="15" t="s">
        <v>272</v>
      </c>
      <c r="Q842" s="15" t="s">
        <v>273</v>
      </c>
      <c r="R842" s="15" t="s">
        <v>8590</v>
      </c>
      <c r="S842" s="24" t="s">
        <v>39</v>
      </c>
      <c r="T842" s="24" t="s">
        <v>39</v>
      </c>
      <c r="U842" s="24" t="s">
        <v>39</v>
      </c>
      <c r="V842" s="24" t="s">
        <v>39</v>
      </c>
      <c r="W842" s="24"/>
      <c r="X842" s="24"/>
      <c r="Y842" s="15"/>
      <c r="Z842" s="15"/>
      <c r="AA842" s="24"/>
      <c r="AB842" s="24"/>
      <c r="AC842" s="24"/>
      <c r="AD842" s="24"/>
      <c r="AE842" s="24"/>
      <c r="AF842" s="24"/>
      <c r="AG842" s="24"/>
      <c r="AH842" s="24"/>
    </row>
    <row r="843" spans="1:34" x14ac:dyDescent="0.25">
      <c r="A843" s="24" t="str">
        <f>HYPERLINK("https://www.cpso.on.ca/DoctorDetails/Helga-Elisabeth-Kuch/0024741-29563","Kuch, Helga Elisabeth")</f>
        <v>Kuch, Helga Elisabeth</v>
      </c>
      <c r="B843" s="25" t="s">
        <v>8591</v>
      </c>
      <c r="C843" s="24" t="s">
        <v>8592</v>
      </c>
      <c r="D843" s="24" t="s">
        <v>8593</v>
      </c>
      <c r="E843" s="24" t="s">
        <v>29</v>
      </c>
      <c r="F843" s="24" t="s">
        <v>47</v>
      </c>
      <c r="G843" s="24" t="s">
        <v>6608</v>
      </c>
      <c r="H843" s="24" t="s">
        <v>8594</v>
      </c>
      <c r="I843" s="24" t="s">
        <v>8595</v>
      </c>
      <c r="J843" s="24" t="s">
        <v>8596</v>
      </c>
      <c r="K843" s="24" t="s">
        <v>8596</v>
      </c>
      <c r="L843" s="24" t="s">
        <v>52</v>
      </c>
      <c r="M843" s="15"/>
      <c r="N843" s="15"/>
      <c r="O843" s="15"/>
      <c r="P843" s="15" t="s">
        <v>5785</v>
      </c>
      <c r="Q843" s="15"/>
      <c r="R843" s="15" t="s">
        <v>8597</v>
      </c>
      <c r="S843" s="24" t="s">
        <v>39</v>
      </c>
      <c r="T843" s="24" t="s">
        <v>39</v>
      </c>
      <c r="U843" s="24" t="s">
        <v>39</v>
      </c>
      <c r="V843" s="24" t="s">
        <v>39</v>
      </c>
      <c r="W843" s="24"/>
      <c r="X843" s="24"/>
      <c r="Y843" s="15"/>
      <c r="Z843" s="15"/>
      <c r="AA843" s="24"/>
      <c r="AB843" s="24"/>
      <c r="AC843" s="24"/>
      <c r="AD843" s="24"/>
      <c r="AE843" s="24"/>
      <c r="AF843" s="24"/>
      <c r="AG843" s="24"/>
      <c r="AH843" s="24"/>
    </row>
    <row r="844" spans="1:34" ht="90" x14ac:dyDescent="0.25">
      <c r="A844" s="24" t="str">
        <f>HYPERLINK("https://www.cpso.on.ca/DoctorDetails/Hendrica-Leslie-Ritchie/0233349-84340","Ritchie, Hendrica Leslie")</f>
        <v>Ritchie, Hendrica Leslie</v>
      </c>
      <c r="B844" s="25" t="s">
        <v>8598</v>
      </c>
      <c r="C844" s="24" t="s">
        <v>647</v>
      </c>
      <c r="D844" s="24" t="s">
        <v>648</v>
      </c>
      <c r="E844" s="24" t="s">
        <v>29</v>
      </c>
      <c r="F844" s="24" t="s">
        <v>47</v>
      </c>
      <c r="G844" s="24" t="s">
        <v>31</v>
      </c>
      <c r="H844" s="24" t="s">
        <v>2613</v>
      </c>
      <c r="I844" s="24" t="s">
        <v>8599</v>
      </c>
      <c r="J844" s="24" t="s">
        <v>3118</v>
      </c>
      <c r="K844" s="24" t="s">
        <v>3119</v>
      </c>
      <c r="L844" s="24" t="s">
        <v>135</v>
      </c>
      <c r="M844" s="15" t="s">
        <v>8600</v>
      </c>
      <c r="N844" s="15"/>
      <c r="O844" s="15"/>
      <c r="P844" s="15" t="s">
        <v>654</v>
      </c>
      <c r="Q844" s="15" t="s">
        <v>8601</v>
      </c>
      <c r="R844" s="15" t="s">
        <v>656</v>
      </c>
      <c r="S844" s="24" t="s">
        <v>39</v>
      </c>
      <c r="T844" s="24" t="s">
        <v>39</v>
      </c>
      <c r="U844" s="24" t="s">
        <v>39</v>
      </c>
      <c r="V844" s="24" t="s">
        <v>39</v>
      </c>
      <c r="W844" s="24"/>
      <c r="X844" s="24"/>
      <c r="Y844" s="15"/>
      <c r="Z844" s="15"/>
      <c r="AA844" s="24"/>
      <c r="AB844" s="24"/>
      <c r="AC844" s="24"/>
      <c r="AD844" s="24"/>
      <c r="AE844" s="24"/>
      <c r="AF844" s="24"/>
      <c r="AG844" s="24"/>
      <c r="AH844" s="24"/>
    </row>
    <row r="845" spans="1:34" ht="30" x14ac:dyDescent="0.25">
      <c r="A845" s="24" t="str">
        <f>HYPERLINK("https://www.cpso.on.ca/DoctorDetails/Henriette-Dorothea-Wynd/0016293-21078","Wynd, Henriette Dorothea")</f>
        <v>Wynd, Henriette Dorothea</v>
      </c>
      <c r="B845" s="25" t="s">
        <v>8602</v>
      </c>
      <c r="C845" s="24" t="s">
        <v>8603</v>
      </c>
      <c r="D845" s="24" t="s">
        <v>8604</v>
      </c>
      <c r="E845" s="24" t="s">
        <v>29</v>
      </c>
      <c r="F845" s="24" t="s">
        <v>47</v>
      </c>
      <c r="G845" s="24" t="s">
        <v>31</v>
      </c>
      <c r="H845" s="24" t="s">
        <v>8605</v>
      </c>
      <c r="I845" s="24" t="s">
        <v>8606</v>
      </c>
      <c r="J845" s="24" t="s">
        <v>8607</v>
      </c>
      <c r="K845" s="24" t="s">
        <v>8608</v>
      </c>
      <c r="L845" s="24" t="s">
        <v>340</v>
      </c>
      <c r="M845" s="15" t="s">
        <v>8609</v>
      </c>
      <c r="N845" s="15"/>
      <c r="O845" s="15"/>
      <c r="P845" s="15" t="s">
        <v>8610</v>
      </c>
      <c r="Q845" s="15"/>
      <c r="R845" s="15" t="s">
        <v>8611</v>
      </c>
      <c r="S845" s="24" t="s">
        <v>39</v>
      </c>
      <c r="T845" s="24" t="s">
        <v>39</v>
      </c>
      <c r="U845" s="24" t="s">
        <v>39</v>
      </c>
      <c r="V845" s="24" t="s">
        <v>39</v>
      </c>
      <c r="W845" s="24" t="s">
        <v>8612</v>
      </c>
      <c r="X845" s="24" t="s">
        <v>8613</v>
      </c>
      <c r="Y845" s="15" t="s">
        <v>8614</v>
      </c>
      <c r="Z845" s="15" t="s">
        <v>8615</v>
      </c>
      <c r="AA845" s="24"/>
      <c r="AB845" s="24"/>
      <c r="AC845" s="24"/>
      <c r="AD845" s="24"/>
      <c r="AE845" s="24"/>
      <c r="AF845" s="24"/>
      <c r="AG845" s="24"/>
      <c r="AH845" s="24"/>
    </row>
    <row r="846" spans="1:34" ht="60" x14ac:dyDescent="0.25">
      <c r="A846" s="24" t="str">
        <f>HYPERLINK("https://www.cpso.on.ca/DoctorDetails/Henry-Jindrich-Bibr/0047940-61918","Bibr, Henry Jindrich")</f>
        <v>Bibr, Henry Jindrich</v>
      </c>
      <c r="B846" s="25" t="s">
        <v>8616</v>
      </c>
      <c r="C846" s="24" t="s">
        <v>1669</v>
      </c>
      <c r="D846" s="24" t="s">
        <v>8617</v>
      </c>
      <c r="E846" s="24" t="s">
        <v>29</v>
      </c>
      <c r="F846" s="24" t="s">
        <v>30</v>
      </c>
      <c r="G846" s="24" t="s">
        <v>8618</v>
      </c>
      <c r="H846" s="24" t="s">
        <v>8619</v>
      </c>
      <c r="I846" s="24" t="s">
        <v>8620</v>
      </c>
      <c r="J846" s="24" t="s">
        <v>8621</v>
      </c>
      <c r="K846" s="24"/>
      <c r="L846" s="24" t="s">
        <v>184</v>
      </c>
      <c r="M846" s="15"/>
      <c r="N846" s="15"/>
      <c r="O846" s="15" t="s">
        <v>8622</v>
      </c>
      <c r="P846" s="15" t="s">
        <v>1251</v>
      </c>
      <c r="Q846" s="15"/>
      <c r="R846" s="15" t="s">
        <v>8623</v>
      </c>
      <c r="S846" s="24" t="s">
        <v>39</v>
      </c>
      <c r="T846" s="24" t="s">
        <v>39</v>
      </c>
      <c r="U846" s="24" t="s">
        <v>39</v>
      </c>
      <c r="V846" s="24" t="s">
        <v>39</v>
      </c>
      <c r="W846" s="24"/>
      <c r="X846" s="24"/>
      <c r="Y846" s="15"/>
      <c r="Z846" s="15"/>
      <c r="AA846" s="24"/>
      <c r="AB846" s="24"/>
      <c r="AC846" s="24"/>
      <c r="AD846" s="24"/>
      <c r="AE846" s="24"/>
      <c r="AF846" s="24"/>
      <c r="AG846" s="24"/>
      <c r="AH846" s="24"/>
    </row>
    <row r="847" spans="1:34" ht="105" x14ac:dyDescent="0.25">
      <c r="A847" s="24" t="str">
        <f>HYPERLINK("https://www.cpso.on.ca/DoctorDetails/Henry-Joachim-Moller/0117094-70658","Moller, Henry Joachim")</f>
        <v>Moller, Henry Joachim</v>
      </c>
      <c r="B847" s="25" t="s">
        <v>8624</v>
      </c>
      <c r="C847" s="24" t="s">
        <v>8625</v>
      </c>
      <c r="D847" s="24" t="s">
        <v>2674</v>
      </c>
      <c r="E847" s="24" t="s">
        <v>29</v>
      </c>
      <c r="F847" s="24" t="s">
        <v>30</v>
      </c>
      <c r="G847" s="24" t="s">
        <v>8626</v>
      </c>
      <c r="H847" s="24" t="s">
        <v>1107</v>
      </c>
      <c r="I847" s="24" t="s">
        <v>8627</v>
      </c>
      <c r="J847" s="24" t="s">
        <v>8628</v>
      </c>
      <c r="K847" s="24" t="s">
        <v>8629</v>
      </c>
      <c r="L847" s="24" t="s">
        <v>52</v>
      </c>
      <c r="M847" s="15" t="s">
        <v>8630</v>
      </c>
      <c r="N847" s="15"/>
      <c r="O847" s="15"/>
      <c r="P847" s="15" t="s">
        <v>2678</v>
      </c>
      <c r="Q847" s="15" t="s">
        <v>8631</v>
      </c>
      <c r="R847" s="15" t="s">
        <v>8632</v>
      </c>
      <c r="S847" s="24" t="s">
        <v>39</v>
      </c>
      <c r="T847" s="24" t="s">
        <v>39</v>
      </c>
      <c r="U847" s="24" t="s">
        <v>39</v>
      </c>
      <c r="V847" s="24" t="s">
        <v>71</v>
      </c>
      <c r="W847" s="24"/>
      <c r="X847" s="24"/>
      <c r="Y847" s="15"/>
      <c r="Z847" s="15"/>
      <c r="AA847" s="24"/>
      <c r="AB847" s="24"/>
      <c r="AC847" s="24"/>
      <c r="AD847" s="24"/>
      <c r="AE847" s="24"/>
      <c r="AF847" s="24"/>
      <c r="AG847" s="24"/>
      <c r="AH847" s="24"/>
    </row>
    <row r="848" spans="1:34" x14ac:dyDescent="0.25">
      <c r="A848" s="24" t="str">
        <f>HYPERLINK("https://www.cpso.on.ca/DoctorDetails/Henry-Leung/0045991-59969","Leung, Henry")</f>
        <v>Leung, Henry</v>
      </c>
      <c r="B848" s="25" t="s">
        <v>8633</v>
      </c>
      <c r="C848" s="24" t="s">
        <v>8634</v>
      </c>
      <c r="D848" s="24" t="s">
        <v>8635</v>
      </c>
      <c r="E848" s="24" t="s">
        <v>29</v>
      </c>
      <c r="F848" s="24" t="s">
        <v>30</v>
      </c>
      <c r="G848" s="24" t="s">
        <v>8636</v>
      </c>
      <c r="H848" s="24" t="s">
        <v>8637</v>
      </c>
      <c r="I848" s="24" t="s">
        <v>8638</v>
      </c>
      <c r="J848" s="24" t="s">
        <v>1853</v>
      </c>
      <c r="K848" s="24" t="s">
        <v>6932</v>
      </c>
      <c r="L848" s="24" t="s">
        <v>328</v>
      </c>
      <c r="M848" s="15" t="s">
        <v>8639</v>
      </c>
      <c r="N848" s="15" t="s">
        <v>258</v>
      </c>
      <c r="O848" s="15" t="s">
        <v>1855</v>
      </c>
      <c r="P848" s="15" t="s">
        <v>1984</v>
      </c>
      <c r="Q848" s="15" t="s">
        <v>8640</v>
      </c>
      <c r="R848" s="15" t="s">
        <v>8641</v>
      </c>
      <c r="S848" s="24" t="s">
        <v>39</v>
      </c>
      <c r="T848" s="24" t="s">
        <v>39</v>
      </c>
      <c r="U848" s="24" t="s">
        <v>39</v>
      </c>
      <c r="V848" s="24" t="s">
        <v>39</v>
      </c>
      <c r="W848" s="24"/>
      <c r="X848" s="24"/>
      <c r="Y848" s="15"/>
      <c r="Z848" s="15"/>
      <c r="AA848" s="24"/>
      <c r="AB848" s="24"/>
      <c r="AC848" s="24"/>
      <c r="AD848" s="24"/>
      <c r="AE848" s="24"/>
      <c r="AF848" s="24"/>
      <c r="AG848" s="24"/>
      <c r="AH848" s="24"/>
    </row>
    <row r="849" spans="1:34" ht="30" x14ac:dyDescent="0.25">
      <c r="A849" s="24" t="str">
        <f>HYPERLINK("https://www.cpso.on.ca/DoctorDetails/Henry-Rosenblat/0037538-51514","Rosenblat, Henry")</f>
        <v>Rosenblat, Henry</v>
      </c>
      <c r="B849" s="25" t="s">
        <v>8642</v>
      </c>
      <c r="C849" s="24" t="s">
        <v>7148</v>
      </c>
      <c r="D849" s="24" t="s">
        <v>8643</v>
      </c>
      <c r="E849" s="24" t="s">
        <v>29</v>
      </c>
      <c r="F849" s="24" t="s">
        <v>30</v>
      </c>
      <c r="G849" s="24" t="s">
        <v>31</v>
      </c>
      <c r="H849" s="24" t="s">
        <v>7150</v>
      </c>
      <c r="I849" s="24" t="s">
        <v>8644</v>
      </c>
      <c r="J849" s="24" t="s">
        <v>8645</v>
      </c>
      <c r="K849" s="24" t="s">
        <v>8646</v>
      </c>
      <c r="L849" s="24" t="s">
        <v>52</v>
      </c>
      <c r="M849" s="15"/>
      <c r="N849" s="15"/>
      <c r="O849" s="15"/>
      <c r="P849" s="15" t="s">
        <v>122</v>
      </c>
      <c r="Q849" s="15"/>
      <c r="R849" s="15" t="s">
        <v>8647</v>
      </c>
      <c r="S849" s="24" t="s">
        <v>39</v>
      </c>
      <c r="T849" s="24" t="s">
        <v>39</v>
      </c>
      <c r="U849" s="24" t="s">
        <v>39</v>
      </c>
      <c r="V849" s="24" t="s">
        <v>39</v>
      </c>
      <c r="W849" s="24" t="s">
        <v>8648</v>
      </c>
      <c r="X849" s="24" t="s">
        <v>8649</v>
      </c>
      <c r="Y849" s="15" t="s">
        <v>8650</v>
      </c>
      <c r="Z849" s="15" t="s">
        <v>8651</v>
      </c>
      <c r="AA849" s="24"/>
      <c r="AB849" s="24"/>
      <c r="AC849" s="24"/>
      <c r="AD849" s="24"/>
      <c r="AE849" s="24"/>
      <c r="AF849" s="24"/>
      <c r="AG849" s="24"/>
      <c r="AH849" s="24"/>
    </row>
    <row r="850" spans="1:34" ht="45" x14ac:dyDescent="0.25">
      <c r="A850" s="24" t="str">
        <f>HYPERLINK("https://www.cpso.on.ca/DoctorDetails/Hesham-Mohamed-Shafik-Ali-Desouky/0285623-99844","Desouky, Hesham Mohamed Shafik Ali")</f>
        <v>Desouky, Hesham Mohamed Shafik Ali</v>
      </c>
      <c r="B850" s="25" t="s">
        <v>8652</v>
      </c>
      <c r="C850" s="24" t="s">
        <v>8653</v>
      </c>
      <c r="D850" s="24" t="s">
        <v>8654</v>
      </c>
      <c r="E850" s="24" t="s">
        <v>29</v>
      </c>
      <c r="F850" s="24" t="s">
        <v>30</v>
      </c>
      <c r="G850" s="24" t="s">
        <v>105</v>
      </c>
      <c r="H850" s="24" t="s">
        <v>8655</v>
      </c>
      <c r="I850" s="24" t="s">
        <v>395</v>
      </c>
      <c r="J850" s="24" t="s">
        <v>1853</v>
      </c>
      <c r="K850" s="24"/>
      <c r="L850" s="24" t="s">
        <v>328</v>
      </c>
      <c r="M850" s="15"/>
      <c r="N850" s="15"/>
      <c r="O850" s="15" t="s">
        <v>1855</v>
      </c>
      <c r="P850" s="15" t="s">
        <v>8656</v>
      </c>
      <c r="Q850" s="15"/>
      <c r="R850" s="15" t="s">
        <v>8657</v>
      </c>
      <c r="S850" s="24" t="s">
        <v>71</v>
      </c>
      <c r="T850" s="24" t="s">
        <v>39</v>
      </c>
      <c r="U850" s="24" t="s">
        <v>39</v>
      </c>
      <c r="V850" s="24" t="s">
        <v>39</v>
      </c>
      <c r="W850" s="24" t="s">
        <v>8658</v>
      </c>
      <c r="X850" s="24" t="s">
        <v>8659</v>
      </c>
      <c r="Y850" s="15" t="s">
        <v>8660</v>
      </c>
      <c r="Z850" s="15" t="s">
        <v>4292</v>
      </c>
      <c r="AA850" s="24"/>
      <c r="AB850" s="24"/>
      <c r="AC850" s="24"/>
      <c r="AD850" s="24"/>
      <c r="AE850" s="24"/>
      <c r="AF850" s="24"/>
      <c r="AG850" s="24"/>
      <c r="AH850" s="24"/>
    </row>
    <row r="851" spans="1:34" x14ac:dyDescent="0.25">
      <c r="A851" s="24" t="str">
        <f>HYPERLINK("https://www.cpso.on.ca/DoctorDetails/Hifzija-Bajramovic/0021479-26267","Bajramovic, Hifzija")</f>
        <v>Bajramovic, Hifzija</v>
      </c>
      <c r="B851" s="25" t="s">
        <v>8661</v>
      </c>
      <c r="C851" s="24" t="s">
        <v>8662</v>
      </c>
      <c r="D851" s="24" t="s">
        <v>8663</v>
      </c>
      <c r="E851" s="24" t="s">
        <v>29</v>
      </c>
      <c r="F851" s="24" t="s">
        <v>30</v>
      </c>
      <c r="G851" s="24" t="s">
        <v>8664</v>
      </c>
      <c r="H851" s="24" t="s">
        <v>8665</v>
      </c>
      <c r="I851" s="24" t="s">
        <v>8666</v>
      </c>
      <c r="J851" s="24" t="s">
        <v>8667</v>
      </c>
      <c r="K851" s="24" t="s">
        <v>8668</v>
      </c>
      <c r="L851" s="24" t="s">
        <v>84</v>
      </c>
      <c r="M851" s="15" t="s">
        <v>8669</v>
      </c>
      <c r="N851" s="15"/>
      <c r="O851" s="15"/>
      <c r="P851" s="15" t="s">
        <v>4387</v>
      </c>
      <c r="Q851" s="15"/>
      <c r="R851" s="15" t="s">
        <v>8670</v>
      </c>
      <c r="S851" s="24" t="s">
        <v>39</v>
      </c>
      <c r="T851" s="24" t="s">
        <v>39</v>
      </c>
      <c r="U851" s="24" t="s">
        <v>39</v>
      </c>
      <c r="V851" s="24" t="s">
        <v>39</v>
      </c>
      <c r="W851" s="24" t="s">
        <v>8671</v>
      </c>
      <c r="X851" s="24" t="s">
        <v>8672</v>
      </c>
      <c r="Y851" s="15" t="s">
        <v>8673</v>
      </c>
      <c r="Z851" s="15" t="s">
        <v>8674</v>
      </c>
      <c r="AA851" s="24"/>
      <c r="AB851" s="24"/>
      <c r="AC851" s="24"/>
      <c r="AD851" s="24"/>
      <c r="AE851" s="24"/>
      <c r="AF851" s="24"/>
      <c r="AG851" s="24"/>
      <c r="AH851" s="24"/>
    </row>
    <row r="852" spans="1:34" ht="60" x14ac:dyDescent="0.25">
      <c r="A852" s="24" t="str">
        <f>HYPERLINK("https://www.cpso.on.ca/DoctorDetails/Hilary-Joy-Offman/0051545-65524","Offman, Hilary Joy")</f>
        <v>Offman, Hilary Joy</v>
      </c>
      <c r="B852" s="25" t="s">
        <v>8675</v>
      </c>
      <c r="C852" s="24" t="s">
        <v>296</v>
      </c>
      <c r="D852" s="24" t="s">
        <v>8676</v>
      </c>
      <c r="E852" s="24" t="s">
        <v>29</v>
      </c>
      <c r="F852" s="24" t="s">
        <v>47</v>
      </c>
      <c r="G852" s="24" t="s">
        <v>31</v>
      </c>
      <c r="H852" s="24" t="s">
        <v>298</v>
      </c>
      <c r="I852" s="24" t="s">
        <v>8677</v>
      </c>
      <c r="J852" s="24" t="s">
        <v>8678</v>
      </c>
      <c r="K852" s="24" t="s">
        <v>8679</v>
      </c>
      <c r="L852" s="24" t="s">
        <v>52</v>
      </c>
      <c r="M852" s="15"/>
      <c r="N852" s="15"/>
      <c r="O852" s="15" t="s">
        <v>8680</v>
      </c>
      <c r="P852" s="15" t="s">
        <v>2042</v>
      </c>
      <c r="Q852" s="15" t="s">
        <v>8681</v>
      </c>
      <c r="R852" s="15" t="s">
        <v>8682</v>
      </c>
      <c r="S852" s="24" t="s">
        <v>39</v>
      </c>
      <c r="T852" s="24" t="s">
        <v>39</v>
      </c>
      <c r="U852" s="24" t="s">
        <v>39</v>
      </c>
      <c r="V852" s="24" t="s">
        <v>39</v>
      </c>
      <c r="W852" s="24" t="s">
        <v>8683</v>
      </c>
      <c r="X852" s="24" t="s">
        <v>8684</v>
      </c>
      <c r="Y852" s="15" t="s">
        <v>8685</v>
      </c>
      <c r="Z852" s="15" t="s">
        <v>8686</v>
      </c>
      <c r="AA852" s="24"/>
      <c r="AB852" s="24"/>
      <c r="AC852" s="24"/>
      <c r="AD852" s="24"/>
      <c r="AE852" s="24"/>
      <c r="AF852" s="24"/>
      <c r="AG852" s="24"/>
      <c r="AH852" s="24"/>
    </row>
    <row r="853" spans="1:34" ht="135" x14ac:dyDescent="0.25">
      <c r="A853" s="24" t="str">
        <f>HYPERLINK("https://www.cpso.on.ca/DoctorDetails/Hoa-Cong-Pham/0117443-69900","Pham, Hoa Cong")</f>
        <v>Pham, Hoa Cong</v>
      </c>
      <c r="B853" s="25" t="s">
        <v>8687</v>
      </c>
      <c r="C853" s="24" t="s">
        <v>2673</v>
      </c>
      <c r="D853" s="24" t="s">
        <v>8688</v>
      </c>
      <c r="E853" s="24" t="s">
        <v>29</v>
      </c>
      <c r="F853" s="24" t="s">
        <v>30</v>
      </c>
      <c r="G853" s="24" t="s">
        <v>31</v>
      </c>
      <c r="H853" s="24" t="s">
        <v>8689</v>
      </c>
      <c r="I853" s="24" t="s">
        <v>4541</v>
      </c>
      <c r="J853" s="24" t="s">
        <v>8690</v>
      </c>
      <c r="K853" s="24" t="s">
        <v>2873</v>
      </c>
      <c r="L853" s="24" t="s">
        <v>36</v>
      </c>
      <c r="M853" s="15"/>
      <c r="N853" s="15"/>
      <c r="O853" s="15" t="s">
        <v>3590</v>
      </c>
      <c r="P853" s="15" t="s">
        <v>8691</v>
      </c>
      <c r="Q853" s="15" t="s">
        <v>8692</v>
      </c>
      <c r="R853" s="15" t="s">
        <v>8693</v>
      </c>
      <c r="S853" s="24" t="s">
        <v>39</v>
      </c>
      <c r="T853" s="24" t="s">
        <v>39</v>
      </c>
      <c r="U853" s="24" t="s">
        <v>39</v>
      </c>
      <c r="V853" s="24" t="s">
        <v>39</v>
      </c>
      <c r="W853" s="24" t="s">
        <v>8694</v>
      </c>
      <c r="X853" s="24" t="s">
        <v>8695</v>
      </c>
      <c r="Y853" s="15" t="s">
        <v>8696</v>
      </c>
      <c r="Z853" s="15" t="s">
        <v>8697</v>
      </c>
      <c r="AA853" s="24"/>
      <c r="AB853" s="24"/>
      <c r="AC853" s="24"/>
      <c r="AD853" s="24"/>
      <c r="AE853" s="24"/>
      <c r="AF853" s="24"/>
      <c r="AG853" s="24"/>
      <c r="AH853" s="24"/>
    </row>
    <row r="854" spans="1:34" ht="75" x14ac:dyDescent="0.25">
      <c r="A854" s="24" t="str">
        <f>HYPERLINK("https://www.cpso.on.ca/DoctorDetails/Hoa-Phuc-Nguyen/0250021-88912","Nguyen, Hoa Phuc")</f>
        <v>Nguyen, Hoa Phuc</v>
      </c>
      <c r="B854" s="25" t="s">
        <v>8698</v>
      </c>
      <c r="C854" s="24" t="s">
        <v>846</v>
      </c>
      <c r="D854" s="24" t="s">
        <v>600</v>
      </c>
      <c r="E854" s="24" t="s">
        <v>29</v>
      </c>
      <c r="F854" s="24" t="s">
        <v>30</v>
      </c>
      <c r="G854" s="24" t="s">
        <v>8699</v>
      </c>
      <c r="H854" s="24" t="s">
        <v>2356</v>
      </c>
      <c r="I854" s="24" t="s">
        <v>8700</v>
      </c>
      <c r="J854" s="24" t="s">
        <v>2303</v>
      </c>
      <c r="K854" s="24" t="s">
        <v>8701</v>
      </c>
      <c r="L854" s="24" t="s">
        <v>52</v>
      </c>
      <c r="M854" s="15"/>
      <c r="N854" s="15"/>
      <c r="O854" s="15" t="s">
        <v>5761</v>
      </c>
      <c r="P854" s="15" t="s">
        <v>272</v>
      </c>
      <c r="Q854" s="15" t="s">
        <v>273</v>
      </c>
      <c r="R854" s="15" t="s">
        <v>853</v>
      </c>
      <c r="S854" s="24" t="s">
        <v>39</v>
      </c>
      <c r="T854" s="24" t="s">
        <v>39</v>
      </c>
      <c r="U854" s="24" t="s">
        <v>39</v>
      </c>
      <c r="V854" s="24" t="s">
        <v>39</v>
      </c>
      <c r="W854" s="24"/>
      <c r="X854" s="24"/>
      <c r="Y854" s="15"/>
      <c r="Z854" s="15"/>
      <c r="AA854" s="24"/>
      <c r="AB854" s="24"/>
      <c r="AC854" s="24"/>
      <c r="AD854" s="24"/>
      <c r="AE854" s="24"/>
      <c r="AF854" s="24"/>
      <c r="AG854" s="24"/>
      <c r="AH854" s="24"/>
    </row>
    <row r="855" spans="1:34" ht="75" x14ac:dyDescent="0.25">
      <c r="A855" s="24" t="str">
        <f>HYPERLINK("https://www.cpso.on.ca/DoctorDetails/Hollam-Sutandar/0258176-90561","Sutandar, Hollam")</f>
        <v>Sutandar, Hollam</v>
      </c>
      <c r="B855" s="25" t="s">
        <v>8702</v>
      </c>
      <c r="C855" s="24" t="s">
        <v>8703</v>
      </c>
      <c r="D855" s="24" t="s">
        <v>8704</v>
      </c>
      <c r="E855" s="24" t="s">
        <v>29</v>
      </c>
      <c r="F855" s="24" t="s">
        <v>30</v>
      </c>
      <c r="G855" s="24" t="s">
        <v>31</v>
      </c>
      <c r="H855" s="24" t="s">
        <v>8705</v>
      </c>
      <c r="I855" s="24" t="s">
        <v>2614</v>
      </c>
      <c r="J855" s="24" t="s">
        <v>3661</v>
      </c>
      <c r="K855" s="24"/>
      <c r="L855" s="24" t="s">
        <v>152</v>
      </c>
      <c r="M855" s="15"/>
      <c r="N855" s="15"/>
      <c r="O855" s="15" t="s">
        <v>7014</v>
      </c>
      <c r="P855" s="15" t="s">
        <v>449</v>
      </c>
      <c r="Q855" s="15" t="s">
        <v>8706</v>
      </c>
      <c r="R855" s="15" t="s">
        <v>8707</v>
      </c>
      <c r="S855" s="24" t="s">
        <v>39</v>
      </c>
      <c r="T855" s="24" t="s">
        <v>39</v>
      </c>
      <c r="U855" s="24" t="s">
        <v>39</v>
      </c>
      <c r="V855" s="24" t="s">
        <v>39</v>
      </c>
      <c r="W855" s="24"/>
      <c r="X855" s="24"/>
      <c r="Y855" s="15"/>
      <c r="Z855" s="15"/>
      <c r="AA855" s="24"/>
      <c r="AB855" s="24"/>
      <c r="AC855" s="24"/>
      <c r="AD855" s="24"/>
      <c r="AE855" s="24"/>
      <c r="AF855" s="24"/>
      <c r="AG855" s="24"/>
      <c r="AH855" s="24"/>
    </row>
    <row r="856" spans="1:34" ht="165" x14ac:dyDescent="0.25">
      <c r="A856" s="24" t="str">
        <f>HYPERLINK("https://www.cpso.on.ca/DoctorDetails/Hollie-Leigh-Ann-Citynski/0242495-86332","Citynski, Hollie Leigh Ann")</f>
        <v>Citynski, Hollie Leigh Ann</v>
      </c>
      <c r="B856" s="25" t="s">
        <v>8708</v>
      </c>
      <c r="C856" s="24" t="s">
        <v>8709</v>
      </c>
      <c r="D856" s="24" t="s">
        <v>8710</v>
      </c>
      <c r="E856" s="24" t="s">
        <v>29</v>
      </c>
      <c r="F856" s="24" t="s">
        <v>47</v>
      </c>
      <c r="G856" s="24" t="s">
        <v>31</v>
      </c>
      <c r="H856" s="24" t="s">
        <v>4320</v>
      </c>
      <c r="I856" s="24" t="s">
        <v>8711</v>
      </c>
      <c r="J856" s="24" t="s">
        <v>8712</v>
      </c>
      <c r="K856" s="24" t="s">
        <v>8713</v>
      </c>
      <c r="L856" s="24" t="s">
        <v>52</v>
      </c>
      <c r="M856" s="15"/>
      <c r="N856" s="15"/>
      <c r="O856" s="15"/>
      <c r="P856" s="15" t="s">
        <v>3308</v>
      </c>
      <c r="Q856" s="15" t="s">
        <v>8714</v>
      </c>
      <c r="R856" s="15" t="s">
        <v>8715</v>
      </c>
      <c r="S856" s="24" t="s">
        <v>39</v>
      </c>
      <c r="T856" s="24" t="s">
        <v>39</v>
      </c>
      <c r="U856" s="24" t="s">
        <v>39</v>
      </c>
      <c r="V856" s="24" t="s">
        <v>39</v>
      </c>
      <c r="W856" s="24" t="s">
        <v>8716</v>
      </c>
      <c r="X856" s="24" t="s">
        <v>8717</v>
      </c>
      <c r="Y856" s="15" t="s">
        <v>8718</v>
      </c>
      <c r="Z856" s="15" t="s">
        <v>8719</v>
      </c>
      <c r="AA856" s="24"/>
      <c r="AB856" s="24"/>
      <c r="AC856" s="24"/>
      <c r="AD856" s="24"/>
      <c r="AE856" s="24"/>
      <c r="AF856" s="24"/>
      <c r="AG856" s="24"/>
      <c r="AH856" s="24"/>
    </row>
    <row r="857" spans="1:34" ht="105" x14ac:dyDescent="0.25">
      <c r="A857" s="24" t="str">
        <f>HYPERLINK("https://www.cpso.on.ca/DoctorDetails/Holly-Dawn-Dornan/0251054-88394","Dornan, Holly Dawn")</f>
        <v>Dornan, Holly Dawn</v>
      </c>
      <c r="B857" s="25" t="s">
        <v>8720</v>
      </c>
      <c r="C857" s="24" t="s">
        <v>846</v>
      </c>
      <c r="D857" s="24" t="s">
        <v>8721</v>
      </c>
      <c r="E857" s="24" t="s">
        <v>29</v>
      </c>
      <c r="F857" s="24" t="s">
        <v>47</v>
      </c>
      <c r="G857" s="24" t="s">
        <v>31</v>
      </c>
      <c r="H857" s="24" t="s">
        <v>8722</v>
      </c>
      <c r="I857" s="24" t="s">
        <v>8723</v>
      </c>
      <c r="J857" s="24" t="s">
        <v>2935</v>
      </c>
      <c r="K857" s="24" t="s">
        <v>1613</v>
      </c>
      <c r="L857" s="24" t="s">
        <v>84</v>
      </c>
      <c r="M857" s="15"/>
      <c r="N857" s="15"/>
      <c r="O857" s="15" t="s">
        <v>8724</v>
      </c>
      <c r="P857" s="15" t="s">
        <v>8725</v>
      </c>
      <c r="Q857" s="15" t="s">
        <v>8726</v>
      </c>
      <c r="R857" s="15" t="s">
        <v>8727</v>
      </c>
      <c r="S857" s="24" t="s">
        <v>39</v>
      </c>
      <c r="T857" s="24" t="s">
        <v>39</v>
      </c>
      <c r="U857" s="24" t="s">
        <v>39</v>
      </c>
      <c r="V857" s="24" t="s">
        <v>39</v>
      </c>
      <c r="W857" s="24" t="s">
        <v>8728</v>
      </c>
      <c r="X857" s="24" t="s">
        <v>8729</v>
      </c>
      <c r="Y857" s="15" t="s">
        <v>8730</v>
      </c>
      <c r="Z857" s="15" t="s">
        <v>8731</v>
      </c>
      <c r="AA857" s="24"/>
      <c r="AB857" s="24"/>
      <c r="AC857" s="24"/>
      <c r="AD857" s="24"/>
      <c r="AE857" s="24"/>
      <c r="AF857" s="24"/>
      <c r="AG857" s="24"/>
      <c r="AH857" s="24"/>
    </row>
    <row r="858" spans="1:34" ht="45" x14ac:dyDescent="0.25">
      <c r="A858" s="24" t="str">
        <f>HYPERLINK("https://www.cpso.on.ca/DoctorDetails/Hooman-Ganjavi/0275499-96671","Ganjavi, Hooman")</f>
        <v>Ganjavi, Hooman</v>
      </c>
      <c r="B858" s="25" t="s">
        <v>8732</v>
      </c>
      <c r="C858" s="24" t="s">
        <v>8733</v>
      </c>
      <c r="D858" s="24" t="s">
        <v>8734</v>
      </c>
      <c r="E858" s="24" t="s">
        <v>29</v>
      </c>
      <c r="F858" s="24" t="s">
        <v>30</v>
      </c>
      <c r="G858" s="24" t="s">
        <v>31</v>
      </c>
      <c r="H858" s="24" t="s">
        <v>649</v>
      </c>
      <c r="I858" s="24" t="s">
        <v>8735</v>
      </c>
      <c r="J858" s="24" t="s">
        <v>8736</v>
      </c>
      <c r="K858" s="24" t="s">
        <v>8737</v>
      </c>
      <c r="L858" s="24" t="s">
        <v>135</v>
      </c>
      <c r="M858" s="15"/>
      <c r="N858" s="15"/>
      <c r="O858" s="15" t="s">
        <v>8738</v>
      </c>
      <c r="P858" s="15" t="s">
        <v>654</v>
      </c>
      <c r="Q858" s="15"/>
      <c r="R858" s="15" t="s">
        <v>8739</v>
      </c>
      <c r="S858" s="24" t="s">
        <v>39</v>
      </c>
      <c r="T858" s="24" t="s">
        <v>39</v>
      </c>
      <c r="U858" s="24" t="s">
        <v>39</v>
      </c>
      <c r="V858" s="24" t="s">
        <v>39</v>
      </c>
      <c r="W858" s="24" t="s">
        <v>8740</v>
      </c>
      <c r="X858" s="24" t="s">
        <v>2789</v>
      </c>
      <c r="Y858" s="15" t="s">
        <v>8741</v>
      </c>
      <c r="Z858" s="15" t="s">
        <v>8742</v>
      </c>
      <c r="AA858" s="24"/>
      <c r="AB858" s="24"/>
      <c r="AC858" s="24"/>
      <c r="AD858" s="24"/>
      <c r="AE858" s="24"/>
      <c r="AF858" s="24"/>
      <c r="AG858" s="24"/>
      <c r="AH858" s="24"/>
    </row>
    <row r="859" spans="1:34" ht="120" x14ac:dyDescent="0.25">
      <c r="A859" s="24" t="str">
        <f>HYPERLINK("https://www.cpso.on.ca/DoctorDetails/Howard-Douglas-Taynen/0027635-32458","Taynen, Howard Douglas")</f>
        <v>Taynen, Howard Douglas</v>
      </c>
      <c r="B859" s="25" t="s">
        <v>8743</v>
      </c>
      <c r="C859" s="24" t="s">
        <v>8744</v>
      </c>
      <c r="D859" s="24" t="s">
        <v>8745</v>
      </c>
      <c r="E859" s="24" t="s">
        <v>29</v>
      </c>
      <c r="F859" s="24" t="s">
        <v>30</v>
      </c>
      <c r="G859" s="24" t="s">
        <v>31</v>
      </c>
      <c r="H859" s="24" t="s">
        <v>8746</v>
      </c>
      <c r="I859" s="24" t="s">
        <v>8747</v>
      </c>
      <c r="J859" s="24" t="s">
        <v>8748</v>
      </c>
      <c r="K859" s="24" t="s">
        <v>8749</v>
      </c>
      <c r="L859" s="24" t="s">
        <v>184</v>
      </c>
      <c r="M859" s="15"/>
      <c r="N859" s="15"/>
      <c r="O859" s="15"/>
      <c r="P859" s="15" t="s">
        <v>1192</v>
      </c>
      <c r="Q859" s="15"/>
      <c r="R859" s="15" t="s">
        <v>8750</v>
      </c>
      <c r="S859" s="24" t="s">
        <v>71</v>
      </c>
      <c r="T859" s="24" t="s">
        <v>71</v>
      </c>
      <c r="U859" s="24" t="s">
        <v>39</v>
      </c>
      <c r="V859" s="24" t="s">
        <v>39</v>
      </c>
      <c r="W859" s="24" t="s">
        <v>8751</v>
      </c>
      <c r="X859" s="24" t="s">
        <v>8752</v>
      </c>
      <c r="Y859" s="15" t="s">
        <v>8753</v>
      </c>
      <c r="Z859" s="15" t="s">
        <v>8754</v>
      </c>
      <c r="AA859" s="24"/>
      <c r="AB859" s="24"/>
      <c r="AC859" s="24"/>
      <c r="AD859" s="24"/>
      <c r="AE859" s="24"/>
      <c r="AF859" s="24"/>
      <c r="AG859" s="24"/>
      <c r="AH859" s="24"/>
    </row>
    <row r="860" spans="1:34" ht="30" x14ac:dyDescent="0.25">
      <c r="A860" s="24" t="str">
        <f>HYPERLINK("https://www.cpso.on.ca/DoctorDetails/Howard-Earl-Book/0017753-22539","Book, Howard Earl")</f>
        <v>Book, Howard Earl</v>
      </c>
      <c r="B860" s="25" t="s">
        <v>8755</v>
      </c>
      <c r="C860" s="24" t="s">
        <v>8756</v>
      </c>
      <c r="D860" s="24" t="s">
        <v>8757</v>
      </c>
      <c r="E860" s="24" t="s">
        <v>29</v>
      </c>
      <c r="F860" s="24" t="s">
        <v>30</v>
      </c>
      <c r="G860" s="24" t="s">
        <v>31</v>
      </c>
      <c r="H860" s="24" t="s">
        <v>6471</v>
      </c>
      <c r="I860" s="24" t="s">
        <v>8758</v>
      </c>
      <c r="J860" s="24" t="s">
        <v>8759</v>
      </c>
      <c r="K860" s="24" t="s">
        <v>8760</v>
      </c>
      <c r="L860" s="24" t="s">
        <v>52</v>
      </c>
      <c r="M860" s="15"/>
      <c r="N860" s="15"/>
      <c r="O860" s="15"/>
      <c r="P860" s="15" t="s">
        <v>5281</v>
      </c>
      <c r="Q860" s="15"/>
      <c r="R860" s="15" t="s">
        <v>8761</v>
      </c>
      <c r="S860" s="24" t="s">
        <v>39</v>
      </c>
      <c r="T860" s="24" t="s">
        <v>39</v>
      </c>
      <c r="U860" s="24" t="s">
        <v>39</v>
      </c>
      <c r="V860" s="24" t="s">
        <v>39</v>
      </c>
      <c r="W860" s="24" t="s">
        <v>8762</v>
      </c>
      <c r="X860" s="24" t="s">
        <v>8763</v>
      </c>
      <c r="Y860" s="15" t="s">
        <v>8764</v>
      </c>
      <c r="Z860" s="15" t="s">
        <v>8765</v>
      </c>
      <c r="AA860" s="24"/>
      <c r="AB860" s="24"/>
      <c r="AC860" s="24"/>
      <c r="AD860" s="24"/>
      <c r="AE860" s="24"/>
      <c r="AF860" s="24"/>
      <c r="AG860" s="24"/>
      <c r="AH860" s="24"/>
    </row>
    <row r="861" spans="1:34" ht="45" x14ac:dyDescent="0.25">
      <c r="A861" s="24" t="str">
        <f>HYPERLINK("https://www.cpso.on.ca/DoctorDetails/Howard-Edwin-Gorman/0025677-30500","Gorman, Howard Edwin")</f>
        <v>Gorman, Howard Edwin</v>
      </c>
      <c r="B861" s="25" t="s">
        <v>8766</v>
      </c>
      <c r="C861" s="24" t="s">
        <v>8767</v>
      </c>
      <c r="D861" s="24" t="s">
        <v>8768</v>
      </c>
      <c r="E861" s="24" t="s">
        <v>29</v>
      </c>
      <c r="F861" s="24" t="s">
        <v>30</v>
      </c>
      <c r="G861" s="24" t="s">
        <v>31</v>
      </c>
      <c r="H861" s="24" t="s">
        <v>8769</v>
      </c>
      <c r="I861" s="24" t="s">
        <v>8770</v>
      </c>
      <c r="J861" s="24" t="s">
        <v>8771</v>
      </c>
      <c r="K861" s="24"/>
      <c r="L861" s="24" t="s">
        <v>52</v>
      </c>
      <c r="M861" s="15"/>
      <c r="N861" s="15"/>
      <c r="O861" s="15"/>
      <c r="P861" s="15" t="s">
        <v>727</v>
      </c>
      <c r="Q861" s="15"/>
      <c r="R861" s="15" t="s">
        <v>8772</v>
      </c>
      <c r="S861" s="24" t="s">
        <v>39</v>
      </c>
      <c r="T861" s="24" t="s">
        <v>39</v>
      </c>
      <c r="U861" s="24" t="s">
        <v>39</v>
      </c>
      <c r="V861" s="24" t="s">
        <v>39</v>
      </c>
      <c r="W861" s="24" t="s">
        <v>8773</v>
      </c>
      <c r="X861" s="24" t="s">
        <v>8774</v>
      </c>
      <c r="Y861" s="15" t="s">
        <v>8775</v>
      </c>
      <c r="Z861" s="15" t="s">
        <v>8776</v>
      </c>
      <c r="AA861" s="24"/>
      <c r="AB861" s="24"/>
      <c r="AC861" s="24"/>
      <c r="AD861" s="24"/>
      <c r="AE861" s="24"/>
      <c r="AF861" s="24"/>
      <c r="AG861" s="24"/>
      <c r="AH861" s="24"/>
    </row>
    <row r="862" spans="1:34" x14ac:dyDescent="0.25">
      <c r="A862" s="24" t="str">
        <f>HYPERLINK("https://www.cpso.on.ca/DoctorDetails/Howard-Haskel-Edward-Bogomolny/0022563-27353","Bogomolny, Howard Haskel Edward")</f>
        <v>Bogomolny, Howard Haskel Edward</v>
      </c>
      <c r="B862" s="25" t="s">
        <v>8777</v>
      </c>
      <c r="C862" s="24" t="s">
        <v>8778</v>
      </c>
      <c r="D862" s="24" t="s">
        <v>8779</v>
      </c>
      <c r="E862" s="24" t="s">
        <v>29</v>
      </c>
      <c r="F862" s="24" t="s">
        <v>30</v>
      </c>
      <c r="G862" s="24" t="s">
        <v>31</v>
      </c>
      <c r="H862" s="24" t="s">
        <v>7012</v>
      </c>
      <c r="I862" s="24" t="s">
        <v>8780</v>
      </c>
      <c r="J862" s="24" t="s">
        <v>8781</v>
      </c>
      <c r="K862" s="24" t="s">
        <v>8782</v>
      </c>
      <c r="L862" s="24" t="s">
        <v>52</v>
      </c>
      <c r="M862" s="15"/>
      <c r="N862" s="15"/>
      <c r="O862" s="15"/>
      <c r="P862" s="15" t="s">
        <v>1947</v>
      </c>
      <c r="Q862" s="15"/>
      <c r="R862" s="15" t="s">
        <v>8783</v>
      </c>
      <c r="S862" s="24" t="s">
        <v>39</v>
      </c>
      <c r="T862" s="24" t="s">
        <v>39</v>
      </c>
      <c r="U862" s="24" t="s">
        <v>39</v>
      </c>
      <c r="V862" s="24" t="s">
        <v>39</v>
      </c>
      <c r="W862" s="24" t="s">
        <v>8784</v>
      </c>
      <c r="X862" s="24" t="s">
        <v>6351</v>
      </c>
      <c r="Y862" s="15" t="s">
        <v>8785</v>
      </c>
      <c r="Z862" s="15" t="s">
        <v>8786</v>
      </c>
      <c r="AA862" s="24"/>
      <c r="AB862" s="24"/>
      <c r="AC862" s="24"/>
      <c r="AD862" s="24"/>
      <c r="AE862" s="24"/>
      <c r="AF862" s="24"/>
      <c r="AG862" s="24"/>
      <c r="AH862" s="24"/>
    </row>
    <row r="863" spans="1:34" x14ac:dyDescent="0.25">
      <c r="A863" s="24" t="str">
        <f>HYPERLINK("https://www.cpso.on.ca/DoctorDetails/Howard-John-Cole/0027235-32058","Cole, Howard John")</f>
        <v>Cole, Howard John</v>
      </c>
      <c r="B863" s="25" t="s">
        <v>8787</v>
      </c>
      <c r="C863" s="24" t="s">
        <v>8788</v>
      </c>
      <c r="D863" s="24" t="s">
        <v>8789</v>
      </c>
      <c r="E863" s="24" t="s">
        <v>29</v>
      </c>
      <c r="F863" s="24" t="s">
        <v>30</v>
      </c>
      <c r="G863" s="24" t="s">
        <v>31</v>
      </c>
      <c r="H863" s="24" t="s">
        <v>7343</v>
      </c>
      <c r="I863" s="24" t="s">
        <v>8790</v>
      </c>
      <c r="J863" s="24" t="s">
        <v>8791</v>
      </c>
      <c r="K863" s="24"/>
      <c r="L863" s="24" t="s">
        <v>52</v>
      </c>
      <c r="M863" s="15"/>
      <c r="N863" s="15"/>
      <c r="O863" s="15"/>
      <c r="P863" s="15" t="s">
        <v>8792</v>
      </c>
      <c r="Q863" s="15"/>
      <c r="R863" s="15" t="s">
        <v>8793</v>
      </c>
      <c r="S863" s="24" t="s">
        <v>39</v>
      </c>
      <c r="T863" s="24" t="s">
        <v>39</v>
      </c>
      <c r="U863" s="24" t="s">
        <v>39</v>
      </c>
      <c r="V863" s="24" t="s">
        <v>39</v>
      </c>
      <c r="W863" s="24" t="s">
        <v>8794</v>
      </c>
      <c r="X863" s="24" t="s">
        <v>8795</v>
      </c>
      <c r="Y863" s="15" t="s">
        <v>8796</v>
      </c>
      <c r="Z863" s="15" t="s">
        <v>8797</v>
      </c>
      <c r="AA863" s="24"/>
      <c r="AB863" s="24"/>
      <c r="AC863" s="24"/>
      <c r="AD863" s="24"/>
      <c r="AE863" s="24"/>
      <c r="AF863" s="24"/>
      <c r="AG863" s="24"/>
      <c r="AH863" s="24"/>
    </row>
    <row r="864" spans="1:34" ht="30" x14ac:dyDescent="0.25">
      <c r="A864" s="24" t="str">
        <f>HYPERLINK("https://www.cpso.on.ca/DoctorDetails/Howard-Joseph-Burley/0026737-31560","Burley, Howard Joseph")</f>
        <v>Burley, Howard Joseph</v>
      </c>
      <c r="B864" s="25" t="s">
        <v>8798</v>
      </c>
      <c r="C864" s="24" t="s">
        <v>8799</v>
      </c>
      <c r="D864" s="24" t="s">
        <v>8800</v>
      </c>
      <c r="E864" s="24" t="s">
        <v>29</v>
      </c>
      <c r="F864" s="24" t="s">
        <v>30</v>
      </c>
      <c r="G864" s="24" t="s">
        <v>31</v>
      </c>
      <c r="H864" s="24" t="s">
        <v>2916</v>
      </c>
      <c r="I864" s="24" t="s">
        <v>8801</v>
      </c>
      <c r="J864" s="24" t="s">
        <v>8802</v>
      </c>
      <c r="K864" s="24" t="s">
        <v>8803</v>
      </c>
      <c r="L864" s="24" t="s">
        <v>340</v>
      </c>
      <c r="M864" s="15"/>
      <c r="N864" s="15"/>
      <c r="O864" s="15"/>
      <c r="P864" s="15" t="s">
        <v>5839</v>
      </c>
      <c r="Q864" s="15"/>
      <c r="R864" s="15" t="s">
        <v>8804</v>
      </c>
      <c r="S864" s="24" t="s">
        <v>39</v>
      </c>
      <c r="T864" s="24" t="s">
        <v>39</v>
      </c>
      <c r="U864" s="24" t="s">
        <v>39</v>
      </c>
      <c r="V864" s="24" t="s">
        <v>39</v>
      </c>
      <c r="W864" s="24" t="s">
        <v>8805</v>
      </c>
      <c r="X864" s="24" t="s">
        <v>8806</v>
      </c>
      <c r="Y864" s="15" t="s">
        <v>8807</v>
      </c>
      <c r="Z864" s="15" t="s">
        <v>8808</v>
      </c>
      <c r="AA864" s="24"/>
      <c r="AB864" s="24"/>
      <c r="AC864" s="24"/>
      <c r="AD864" s="24"/>
      <c r="AE864" s="24"/>
      <c r="AF864" s="24"/>
      <c r="AG864" s="24"/>
      <c r="AH864" s="24"/>
    </row>
    <row r="865" spans="1:34" x14ac:dyDescent="0.25">
      <c r="A865" s="24" t="str">
        <f>HYPERLINK("https://www.cpso.on.ca/DoctorDetails/Howard-Martin-Alter/0027592-32415","Alter, Howard Martin")</f>
        <v>Alter, Howard Martin</v>
      </c>
      <c r="B865" s="25" t="s">
        <v>8809</v>
      </c>
      <c r="C865" s="24" t="s">
        <v>8810</v>
      </c>
      <c r="D865" s="24" t="s">
        <v>7293</v>
      </c>
      <c r="E865" s="24" t="s">
        <v>29</v>
      </c>
      <c r="F865" s="24" t="s">
        <v>30</v>
      </c>
      <c r="G865" s="24" t="s">
        <v>31</v>
      </c>
      <c r="H865" s="24" t="s">
        <v>3478</v>
      </c>
      <c r="I865" s="24" t="s">
        <v>8811</v>
      </c>
      <c r="J865" s="24" t="s">
        <v>8812</v>
      </c>
      <c r="K865" s="24" t="s">
        <v>8813</v>
      </c>
      <c r="L865" s="24" t="s">
        <v>52</v>
      </c>
      <c r="M865" s="15"/>
      <c r="N865" s="15"/>
      <c r="O865" s="15" t="s">
        <v>793</v>
      </c>
      <c r="P865" s="15" t="s">
        <v>527</v>
      </c>
      <c r="Q865" s="15"/>
      <c r="R865" s="15" t="s">
        <v>8814</v>
      </c>
      <c r="S865" s="24" t="s">
        <v>39</v>
      </c>
      <c r="T865" s="24" t="s">
        <v>39</v>
      </c>
      <c r="U865" s="24" t="s">
        <v>39</v>
      </c>
      <c r="V865" s="24" t="s">
        <v>39</v>
      </c>
      <c r="W865" s="24"/>
      <c r="X865" s="24"/>
      <c r="Y865" s="15"/>
      <c r="Z865" s="15"/>
      <c r="AA865" s="24"/>
      <c r="AB865" s="24"/>
      <c r="AC865" s="24"/>
      <c r="AD865" s="24"/>
      <c r="AE865" s="24"/>
      <c r="AF865" s="24"/>
      <c r="AG865" s="24"/>
      <c r="AH865" s="24"/>
    </row>
    <row r="866" spans="1:34" ht="30" x14ac:dyDescent="0.25">
      <c r="A866" s="24" t="str">
        <f>HYPERLINK("https://www.cpso.on.ca/DoctorDetails/HubertAntoine-Wallot/0057245-68833","Wallot, Hubert-Antoine")</f>
        <v>Wallot, Hubert-Antoine</v>
      </c>
      <c r="B866" s="25" t="s">
        <v>8815</v>
      </c>
      <c r="C866" s="24" t="s">
        <v>8816</v>
      </c>
      <c r="D866" s="24" t="s">
        <v>8817</v>
      </c>
      <c r="E866" s="24" t="s">
        <v>29</v>
      </c>
      <c r="F866" s="24" t="s">
        <v>30</v>
      </c>
      <c r="G866" s="24" t="s">
        <v>813</v>
      </c>
      <c r="H866" s="24" t="s">
        <v>8818</v>
      </c>
      <c r="I866" s="24" t="s">
        <v>8819</v>
      </c>
      <c r="J866" s="24" t="s">
        <v>8820</v>
      </c>
      <c r="K866" s="24" t="s">
        <v>8821</v>
      </c>
      <c r="L866" s="24"/>
      <c r="M866" s="15"/>
      <c r="N866" s="15" t="s">
        <v>710</v>
      </c>
      <c r="O866" s="15"/>
      <c r="P866" s="15" t="s">
        <v>8822</v>
      </c>
      <c r="Q866" s="15"/>
      <c r="R866" s="15" t="s">
        <v>8823</v>
      </c>
      <c r="S866" s="24" t="s">
        <v>39</v>
      </c>
      <c r="T866" s="24" t="s">
        <v>39</v>
      </c>
      <c r="U866" s="24" t="s">
        <v>39</v>
      </c>
      <c r="V866" s="24" t="s">
        <v>39</v>
      </c>
      <c r="W866" s="24"/>
      <c r="X866" s="24"/>
      <c r="Y866" s="15"/>
      <c r="Z866" s="15"/>
      <c r="AA866" s="24"/>
      <c r="AB866" s="24"/>
      <c r="AC866" s="24"/>
      <c r="AD866" s="24"/>
      <c r="AE866" s="24"/>
      <c r="AF866" s="24"/>
      <c r="AG866" s="24"/>
      <c r="AH866" s="24"/>
    </row>
    <row r="867" spans="1:34" ht="60" x14ac:dyDescent="0.25">
      <c r="A867" s="24" t="str">
        <f>HYPERLINK("https://www.cpso.on.ca/DoctorDetails/Hugues-Chasse/0046476-60454","Chasse, Hugues")</f>
        <v>Chasse, Hugues</v>
      </c>
      <c r="B867" s="25" t="s">
        <v>8824</v>
      </c>
      <c r="C867" s="24" t="s">
        <v>8825</v>
      </c>
      <c r="D867" s="24" t="s">
        <v>8826</v>
      </c>
      <c r="E867" s="24" t="s">
        <v>29</v>
      </c>
      <c r="F867" s="24" t="s">
        <v>30</v>
      </c>
      <c r="G867" s="24" t="s">
        <v>813</v>
      </c>
      <c r="H867" s="24" t="s">
        <v>1467</v>
      </c>
      <c r="I867" s="24" t="s">
        <v>8827</v>
      </c>
      <c r="J867" s="24" t="s">
        <v>8828</v>
      </c>
      <c r="K867" s="24" t="s">
        <v>3287</v>
      </c>
      <c r="L867" s="24" t="s">
        <v>84</v>
      </c>
      <c r="M867" s="15"/>
      <c r="N867" s="15"/>
      <c r="O867" s="15"/>
      <c r="P867" s="15" t="s">
        <v>6834</v>
      </c>
      <c r="Q867" s="15"/>
      <c r="R867" s="15" t="s">
        <v>8829</v>
      </c>
      <c r="S867" s="24" t="s">
        <v>39</v>
      </c>
      <c r="T867" s="24" t="s">
        <v>39</v>
      </c>
      <c r="U867" s="24" t="s">
        <v>39</v>
      </c>
      <c r="V867" s="24" t="s">
        <v>39</v>
      </c>
      <c r="W867" s="24"/>
      <c r="X867" s="24"/>
      <c r="Y867" s="15"/>
      <c r="Z867" s="15"/>
      <c r="AA867" s="24"/>
      <c r="AB867" s="24"/>
      <c r="AC867" s="24"/>
      <c r="AD867" s="24"/>
      <c r="AE867" s="24"/>
      <c r="AF867" s="24"/>
      <c r="AG867" s="24"/>
      <c r="AH867" s="24"/>
    </row>
    <row r="868" spans="1:34" ht="60" x14ac:dyDescent="0.25">
      <c r="A868" s="24" t="str">
        <f>HYPERLINK("https://www.cpso.on.ca/DoctorDetails/Hugues-Joseph-Richard/0040526-54502","Richard, Hugues Joseph")</f>
        <v>Richard, Hugues Joseph</v>
      </c>
      <c r="B868" s="25" t="s">
        <v>8830</v>
      </c>
      <c r="C868" s="24" t="s">
        <v>704</v>
      </c>
      <c r="D868" s="24" t="s">
        <v>8831</v>
      </c>
      <c r="E868" s="24" t="s">
        <v>29</v>
      </c>
      <c r="F868" s="24" t="s">
        <v>30</v>
      </c>
      <c r="G868" s="24" t="s">
        <v>813</v>
      </c>
      <c r="H868" s="24" t="s">
        <v>8832</v>
      </c>
      <c r="I868" s="24" t="s">
        <v>8833</v>
      </c>
      <c r="J868" s="24" t="s">
        <v>8834</v>
      </c>
      <c r="K868" s="24" t="s">
        <v>8835</v>
      </c>
      <c r="L868" s="24" t="s">
        <v>84</v>
      </c>
      <c r="M868" s="15" t="s">
        <v>8836</v>
      </c>
      <c r="N868" s="15"/>
      <c r="O868" s="15" t="s">
        <v>8837</v>
      </c>
      <c r="P868" s="15" t="s">
        <v>1947</v>
      </c>
      <c r="Q868" s="15"/>
      <c r="R868" s="15" t="s">
        <v>8838</v>
      </c>
      <c r="S868" s="24" t="s">
        <v>39</v>
      </c>
      <c r="T868" s="24" t="s">
        <v>39</v>
      </c>
      <c r="U868" s="24" t="s">
        <v>39</v>
      </c>
      <c r="V868" s="24" t="s">
        <v>39</v>
      </c>
      <c r="W868" s="24" t="s">
        <v>8839</v>
      </c>
      <c r="X868" s="24" t="s">
        <v>2374</v>
      </c>
      <c r="Y868" s="15" t="s">
        <v>8840</v>
      </c>
      <c r="Z868" s="15" t="s">
        <v>8841</v>
      </c>
      <c r="AA868" s="24"/>
      <c r="AB868" s="24"/>
      <c r="AC868" s="24"/>
      <c r="AD868" s="24"/>
      <c r="AE868" s="24"/>
      <c r="AF868" s="24"/>
      <c r="AG868" s="24"/>
      <c r="AH868" s="24"/>
    </row>
    <row r="869" spans="1:34" ht="75" x14ac:dyDescent="0.25">
      <c r="A869" s="24" t="str">
        <f>HYPERLINK("https://www.cpso.on.ca/DoctorDetails/Hullur-Vijaya-Kumar/0052035-66014","Kumar, Hullur Vijaya")</f>
        <v>Kumar, Hullur Vijaya</v>
      </c>
      <c r="B869" s="25" t="s">
        <v>8842</v>
      </c>
      <c r="C869" s="24" t="s">
        <v>8843</v>
      </c>
      <c r="D869" s="24" t="s">
        <v>8844</v>
      </c>
      <c r="E869" s="24" t="s">
        <v>29</v>
      </c>
      <c r="F869" s="24" t="s">
        <v>30</v>
      </c>
      <c r="G869" s="24" t="s">
        <v>8845</v>
      </c>
      <c r="H869" s="24" t="s">
        <v>8846</v>
      </c>
      <c r="I869" s="24" t="s">
        <v>8847</v>
      </c>
      <c r="J869" s="24" t="s">
        <v>8848</v>
      </c>
      <c r="K869" s="24"/>
      <c r="L869" s="24" t="s">
        <v>152</v>
      </c>
      <c r="M869" s="15" t="s">
        <v>8849</v>
      </c>
      <c r="N869" s="15" t="s">
        <v>695</v>
      </c>
      <c r="O869" s="15" t="s">
        <v>8850</v>
      </c>
      <c r="P869" s="15" t="s">
        <v>6038</v>
      </c>
      <c r="Q869" s="15"/>
      <c r="R869" s="15" t="s">
        <v>8851</v>
      </c>
      <c r="S869" s="24" t="s">
        <v>39</v>
      </c>
      <c r="T869" s="24" t="s">
        <v>39</v>
      </c>
      <c r="U869" s="24" t="s">
        <v>39</v>
      </c>
      <c r="V869" s="24" t="s">
        <v>39</v>
      </c>
      <c r="W869" s="24" t="s">
        <v>8852</v>
      </c>
      <c r="X869" s="24" t="s">
        <v>8853</v>
      </c>
      <c r="Y869" s="15" t="s">
        <v>8854</v>
      </c>
      <c r="Z869" s="15" t="s">
        <v>8855</v>
      </c>
      <c r="AA869" s="24"/>
      <c r="AB869" s="24"/>
      <c r="AC869" s="24"/>
      <c r="AD869" s="24"/>
      <c r="AE869" s="24"/>
      <c r="AF869" s="24"/>
      <c r="AG869" s="24"/>
      <c r="AH869" s="24"/>
    </row>
    <row r="870" spans="1:34" ht="105" x14ac:dyDescent="0.25">
      <c r="A870" s="24" t="str">
        <f>HYPERLINK("https://www.cpso.on.ca/DoctorDetails/Humera-Athar/0258373-91841","Athar, Humera")</f>
        <v>Athar, Humera</v>
      </c>
      <c r="B870" s="25" t="s">
        <v>8856</v>
      </c>
      <c r="C870" s="24" t="s">
        <v>8857</v>
      </c>
      <c r="D870" s="24" t="s">
        <v>8858</v>
      </c>
      <c r="E870" s="24" t="s">
        <v>29</v>
      </c>
      <c r="F870" s="24" t="s">
        <v>47</v>
      </c>
      <c r="G870" s="24" t="s">
        <v>8859</v>
      </c>
      <c r="H870" s="24" t="s">
        <v>8860</v>
      </c>
      <c r="I870" s="24" t="s">
        <v>8861</v>
      </c>
      <c r="J870" s="24" t="s">
        <v>378</v>
      </c>
      <c r="K870" s="24" t="s">
        <v>8862</v>
      </c>
      <c r="L870" s="24" t="s">
        <v>65</v>
      </c>
      <c r="M870" s="15" t="s">
        <v>8863</v>
      </c>
      <c r="N870" s="15" t="s">
        <v>66</v>
      </c>
      <c r="O870" s="15" t="s">
        <v>380</v>
      </c>
      <c r="P870" s="15" t="s">
        <v>8864</v>
      </c>
      <c r="Q870" s="15"/>
      <c r="R870" s="15" t="s">
        <v>8865</v>
      </c>
      <c r="S870" s="24" t="s">
        <v>71</v>
      </c>
      <c r="T870" s="24" t="s">
        <v>39</v>
      </c>
      <c r="U870" s="24" t="s">
        <v>39</v>
      </c>
      <c r="V870" s="24" t="s">
        <v>39</v>
      </c>
      <c r="W870" s="24" t="s">
        <v>8866</v>
      </c>
      <c r="X870" s="24" t="s">
        <v>7262</v>
      </c>
      <c r="Y870" s="15" t="s">
        <v>8867</v>
      </c>
      <c r="Z870" s="15" t="s">
        <v>8868</v>
      </c>
      <c r="AA870" s="24"/>
      <c r="AB870" s="24"/>
      <c r="AC870" s="24"/>
      <c r="AD870" s="24"/>
      <c r="AE870" s="24"/>
      <c r="AF870" s="24"/>
      <c r="AG870" s="24"/>
      <c r="AH870" s="24"/>
    </row>
    <row r="871" spans="1:34" ht="105" x14ac:dyDescent="0.25">
      <c r="A871" s="24" t="str">
        <f>HYPERLINK("https://www.cpso.on.ca/DoctorDetails/HungTat-Lo/0024902-29724","Lo, Hung-Tat")</f>
        <v>Lo, Hung-Tat</v>
      </c>
      <c r="B871" s="25" t="s">
        <v>8869</v>
      </c>
      <c r="C871" s="24" t="s">
        <v>8870</v>
      </c>
      <c r="D871" s="24" t="s">
        <v>8871</v>
      </c>
      <c r="E871" s="24" t="s">
        <v>29</v>
      </c>
      <c r="F871" s="24" t="s">
        <v>30</v>
      </c>
      <c r="G871" s="24" t="s">
        <v>7158</v>
      </c>
      <c r="H871" s="24" t="s">
        <v>8872</v>
      </c>
      <c r="I871" s="24" t="s">
        <v>8873</v>
      </c>
      <c r="J871" s="24" t="s">
        <v>8874</v>
      </c>
      <c r="K871" s="24" t="s">
        <v>8875</v>
      </c>
      <c r="L871" s="24" t="s">
        <v>52</v>
      </c>
      <c r="M871" s="15" t="s">
        <v>8876</v>
      </c>
      <c r="N871" s="15" t="s">
        <v>8877</v>
      </c>
      <c r="O871" s="15"/>
      <c r="P871" s="15" t="s">
        <v>8878</v>
      </c>
      <c r="Q871" s="15"/>
      <c r="R871" s="15" t="s">
        <v>8879</v>
      </c>
      <c r="S871" s="24" t="s">
        <v>39</v>
      </c>
      <c r="T871" s="24" t="s">
        <v>71</v>
      </c>
      <c r="U871" s="24" t="s">
        <v>39</v>
      </c>
      <c r="V871" s="24" t="s">
        <v>39</v>
      </c>
      <c r="W871" s="24" t="s">
        <v>8880</v>
      </c>
      <c r="X871" s="24" t="s">
        <v>292</v>
      </c>
      <c r="Y871" s="15" t="s">
        <v>8881</v>
      </c>
      <c r="Z871" s="15" t="s">
        <v>8882</v>
      </c>
      <c r="AA871" s="24"/>
      <c r="AB871" s="24"/>
      <c r="AC871" s="24"/>
      <c r="AD871" s="24"/>
      <c r="AE871" s="24"/>
      <c r="AF871" s="24"/>
      <c r="AG871" s="24"/>
      <c r="AH871" s="24"/>
    </row>
    <row r="872" spans="1:34" ht="90" x14ac:dyDescent="0.25">
      <c r="A872" s="24" t="str">
        <f>HYPERLINK("https://www.cpso.on.ca/DoctorDetails/Hy-Bloom/0040162-54138","Bloom, Hy")</f>
        <v>Bloom, Hy</v>
      </c>
      <c r="B872" s="25" t="s">
        <v>8883</v>
      </c>
      <c r="C872" s="24" t="s">
        <v>3450</v>
      </c>
      <c r="D872" s="24" t="s">
        <v>8884</v>
      </c>
      <c r="E872" s="24" t="s">
        <v>8885</v>
      </c>
      <c r="F872" s="24" t="s">
        <v>30</v>
      </c>
      <c r="G872" s="24" t="s">
        <v>31</v>
      </c>
      <c r="H872" s="24" t="s">
        <v>3412</v>
      </c>
      <c r="I872" s="24" t="s">
        <v>8886</v>
      </c>
      <c r="J872" s="24" t="s">
        <v>8887</v>
      </c>
      <c r="K872" s="24" t="s">
        <v>8888</v>
      </c>
      <c r="L872" s="24" t="s">
        <v>52</v>
      </c>
      <c r="M872" s="15"/>
      <c r="N872" s="15" t="s">
        <v>194</v>
      </c>
      <c r="O872" s="15" t="s">
        <v>981</v>
      </c>
      <c r="P872" s="15" t="s">
        <v>8889</v>
      </c>
      <c r="Q872" s="15" t="s">
        <v>8890</v>
      </c>
      <c r="R872" s="15" t="s">
        <v>8891</v>
      </c>
      <c r="S872" s="24" t="s">
        <v>39</v>
      </c>
      <c r="T872" s="24" t="s">
        <v>39</v>
      </c>
      <c r="U872" s="24" t="s">
        <v>39</v>
      </c>
      <c r="V872" s="24" t="s">
        <v>39</v>
      </c>
      <c r="W872" s="24"/>
      <c r="X872" s="24"/>
      <c r="Y872" s="15"/>
      <c r="Z872" s="15"/>
      <c r="AA872" s="24"/>
      <c r="AB872" s="24"/>
      <c r="AC872" s="24"/>
      <c r="AD872" s="24"/>
      <c r="AE872" s="24"/>
      <c r="AF872" s="24"/>
      <c r="AG872" s="24"/>
      <c r="AH872" s="24"/>
    </row>
    <row r="873" spans="1:34" ht="75" x14ac:dyDescent="0.25">
      <c r="A873" s="24" t="str">
        <f>HYPERLINK("https://www.cpso.on.ca/DoctorDetails/Hyacinth-Sarah-Eapen-Easo/0214307-80797","Easo, Hyacinth Sarah Eapen")</f>
        <v>Easo, Hyacinth Sarah Eapen</v>
      </c>
      <c r="B873" s="25" t="s">
        <v>8892</v>
      </c>
      <c r="C873" s="24" t="s">
        <v>45</v>
      </c>
      <c r="D873" s="24" t="s">
        <v>46</v>
      </c>
      <c r="E873" s="24" t="s">
        <v>8893</v>
      </c>
      <c r="F873" s="24" t="s">
        <v>47</v>
      </c>
      <c r="G873" s="24" t="s">
        <v>31</v>
      </c>
      <c r="H873" s="24" t="s">
        <v>7758</v>
      </c>
      <c r="I873" s="24" t="s">
        <v>8894</v>
      </c>
      <c r="J873" s="24" t="s">
        <v>8895</v>
      </c>
      <c r="K873" s="24" t="s">
        <v>6050</v>
      </c>
      <c r="L873" s="24" t="s">
        <v>152</v>
      </c>
      <c r="M873" s="15" t="s">
        <v>8896</v>
      </c>
      <c r="N873" s="15"/>
      <c r="O873" s="15" t="s">
        <v>3768</v>
      </c>
      <c r="P873" s="15" t="s">
        <v>55</v>
      </c>
      <c r="Q873" s="15" t="s">
        <v>8897</v>
      </c>
      <c r="R873" s="15" t="s">
        <v>57</v>
      </c>
      <c r="S873" s="24" t="s">
        <v>39</v>
      </c>
      <c r="T873" s="24" t="s">
        <v>39</v>
      </c>
      <c r="U873" s="24" t="s">
        <v>39</v>
      </c>
      <c r="V873" s="24" t="s">
        <v>39</v>
      </c>
      <c r="W873" s="24" t="s">
        <v>8898</v>
      </c>
      <c r="X873" s="24" t="s">
        <v>8899</v>
      </c>
      <c r="Y873" s="15" t="s">
        <v>8900</v>
      </c>
      <c r="Z873" s="15" t="s">
        <v>8901</v>
      </c>
      <c r="AA873" s="24"/>
      <c r="AB873" s="24"/>
      <c r="AC873" s="24"/>
      <c r="AD873" s="24"/>
      <c r="AE873" s="24"/>
      <c r="AF873" s="24"/>
      <c r="AG873" s="24"/>
      <c r="AH873" s="24"/>
    </row>
    <row r="874" spans="1:34" ht="90" x14ac:dyDescent="0.25">
      <c r="A874" s="24" t="str">
        <f>HYPERLINK("https://www.cpso.on.ca/DoctorDetails/Ian-Craig-Dawe/0052953-66917","Dawe, Ian Craig")</f>
        <v>Dawe, Ian Craig</v>
      </c>
      <c r="B874" s="25" t="s">
        <v>8902</v>
      </c>
      <c r="C874" s="24" t="s">
        <v>8903</v>
      </c>
      <c r="D874" s="24" t="s">
        <v>8904</v>
      </c>
      <c r="E874" s="24" t="s">
        <v>29</v>
      </c>
      <c r="F874" s="24" t="s">
        <v>30</v>
      </c>
      <c r="G874" s="24" t="s">
        <v>31</v>
      </c>
      <c r="H874" s="24" t="s">
        <v>8905</v>
      </c>
      <c r="I874" s="24" t="s">
        <v>8906</v>
      </c>
      <c r="J874" s="24" t="s">
        <v>8907</v>
      </c>
      <c r="K874" s="24" t="s">
        <v>8908</v>
      </c>
      <c r="L874" s="24" t="s">
        <v>36</v>
      </c>
      <c r="M874" s="15"/>
      <c r="N874" s="15"/>
      <c r="O874" s="15" t="s">
        <v>972</v>
      </c>
      <c r="P874" s="15" t="s">
        <v>8909</v>
      </c>
      <c r="Q874" s="15" t="s">
        <v>8910</v>
      </c>
      <c r="R874" s="15" t="s">
        <v>8911</v>
      </c>
      <c r="S874" s="24" t="s">
        <v>39</v>
      </c>
      <c r="T874" s="24" t="s">
        <v>39</v>
      </c>
      <c r="U874" s="24" t="s">
        <v>39</v>
      </c>
      <c r="V874" s="24" t="s">
        <v>39</v>
      </c>
      <c r="W874" s="24"/>
      <c r="X874" s="24"/>
      <c r="Y874" s="15"/>
      <c r="Z874" s="15"/>
      <c r="AA874" s="24"/>
      <c r="AB874" s="24"/>
      <c r="AC874" s="24"/>
      <c r="AD874" s="24"/>
      <c r="AE874" s="24"/>
      <c r="AF874" s="24"/>
      <c r="AG874" s="24"/>
      <c r="AH874" s="24"/>
    </row>
    <row r="875" spans="1:34" ht="45" x14ac:dyDescent="0.25">
      <c r="A875" s="24" t="str">
        <f>HYPERLINK("https://www.cpso.on.ca/DoctorDetails/Ian-David-Ferguson/0023978-28800","Ferguson, Ian David")</f>
        <v>Ferguson, Ian David</v>
      </c>
      <c r="B875" s="25" t="s">
        <v>8912</v>
      </c>
      <c r="C875" s="24" t="s">
        <v>8913</v>
      </c>
      <c r="D875" s="24" t="s">
        <v>8914</v>
      </c>
      <c r="E875" s="24" t="s">
        <v>29</v>
      </c>
      <c r="F875" s="24" t="s">
        <v>30</v>
      </c>
      <c r="G875" s="24" t="s">
        <v>31</v>
      </c>
      <c r="H875" s="24" t="s">
        <v>5546</v>
      </c>
      <c r="I875" s="24" t="s">
        <v>8915</v>
      </c>
      <c r="J875" s="24" t="s">
        <v>8916</v>
      </c>
      <c r="K875" s="24" t="s">
        <v>8917</v>
      </c>
      <c r="L875" s="24" t="s">
        <v>52</v>
      </c>
      <c r="M875" s="15"/>
      <c r="N875" s="15"/>
      <c r="O875" s="15" t="s">
        <v>8918</v>
      </c>
      <c r="P875" s="15" t="s">
        <v>8919</v>
      </c>
      <c r="Q875" s="15"/>
      <c r="R875" s="15" t="s">
        <v>8920</v>
      </c>
      <c r="S875" s="24" t="s">
        <v>39</v>
      </c>
      <c r="T875" s="24" t="s">
        <v>39</v>
      </c>
      <c r="U875" s="24" t="s">
        <v>39</v>
      </c>
      <c r="V875" s="24" t="s">
        <v>39</v>
      </c>
      <c r="W875" s="24"/>
      <c r="X875" s="24"/>
      <c r="Y875" s="15"/>
      <c r="Z875" s="15"/>
      <c r="AA875" s="24"/>
      <c r="AB875" s="24"/>
      <c r="AC875" s="24"/>
      <c r="AD875" s="24"/>
      <c r="AE875" s="24"/>
      <c r="AF875" s="24"/>
      <c r="AG875" s="24"/>
      <c r="AH875" s="24"/>
    </row>
    <row r="876" spans="1:34" ht="90" x14ac:dyDescent="0.25">
      <c r="A876" s="24" t="str">
        <f>HYPERLINK("https://www.cpso.on.ca/DoctorDetails/Ian-Davidson-Graham/0017859-22645","Graham, Ian Davidson")</f>
        <v>Graham, Ian Davidson</v>
      </c>
      <c r="B876" s="25" t="s">
        <v>8921</v>
      </c>
      <c r="C876" s="24" t="s">
        <v>8922</v>
      </c>
      <c r="D876" s="24" t="s">
        <v>8923</v>
      </c>
      <c r="E876" s="24" t="s">
        <v>29</v>
      </c>
      <c r="F876" s="24" t="s">
        <v>30</v>
      </c>
      <c r="G876" s="24" t="s">
        <v>31</v>
      </c>
      <c r="H876" s="24" t="s">
        <v>8924</v>
      </c>
      <c r="I876" s="24" t="s">
        <v>8925</v>
      </c>
      <c r="J876" s="24" t="s">
        <v>8926</v>
      </c>
      <c r="K876" s="24" t="s">
        <v>8927</v>
      </c>
      <c r="L876" s="24" t="s">
        <v>52</v>
      </c>
      <c r="M876" s="15" t="s">
        <v>8928</v>
      </c>
      <c r="N876" s="15"/>
      <c r="O876" s="15"/>
      <c r="P876" s="15" t="s">
        <v>8929</v>
      </c>
      <c r="Q876" s="15"/>
      <c r="R876" s="15" t="s">
        <v>8930</v>
      </c>
      <c r="S876" s="24" t="s">
        <v>71</v>
      </c>
      <c r="T876" s="24" t="s">
        <v>71</v>
      </c>
      <c r="U876" s="24" t="s">
        <v>39</v>
      </c>
      <c r="V876" s="24" t="s">
        <v>71</v>
      </c>
      <c r="W876" s="24"/>
      <c r="X876" s="24"/>
      <c r="Y876" s="15"/>
      <c r="Z876" s="15"/>
      <c r="AA876" s="24"/>
      <c r="AB876" s="24"/>
      <c r="AC876" s="24"/>
      <c r="AD876" s="24"/>
      <c r="AE876" s="24"/>
      <c r="AF876" s="24"/>
      <c r="AG876" s="24"/>
      <c r="AH876" s="24"/>
    </row>
    <row r="877" spans="1:34" ht="45" x14ac:dyDescent="0.25">
      <c r="A877" s="24" t="str">
        <f>HYPERLINK("https://www.cpso.on.ca/DoctorDetails/Ian-Gary-Swayze/0051580-65559","Swayze, Ian Gary")</f>
        <v>Swayze, Ian Gary</v>
      </c>
      <c r="B877" s="25" t="s">
        <v>8931</v>
      </c>
      <c r="C877" s="24" t="s">
        <v>8932</v>
      </c>
      <c r="D877" s="24" t="s">
        <v>8933</v>
      </c>
      <c r="E877" s="24" t="s">
        <v>29</v>
      </c>
      <c r="F877" s="24" t="s">
        <v>30</v>
      </c>
      <c r="G877" s="24" t="s">
        <v>31</v>
      </c>
      <c r="H877" s="24" t="s">
        <v>1851</v>
      </c>
      <c r="I877" s="24" t="s">
        <v>8934</v>
      </c>
      <c r="J877" s="24" t="s">
        <v>8935</v>
      </c>
      <c r="K877" s="24" t="s">
        <v>8936</v>
      </c>
      <c r="L877" s="24" t="s">
        <v>52</v>
      </c>
      <c r="M877" s="15"/>
      <c r="N877" s="15"/>
      <c r="O877" s="15" t="s">
        <v>8937</v>
      </c>
      <c r="P877" s="15" t="s">
        <v>2042</v>
      </c>
      <c r="Q877" s="15" t="s">
        <v>8938</v>
      </c>
      <c r="R877" s="15" t="s">
        <v>8939</v>
      </c>
      <c r="S877" s="24" t="s">
        <v>39</v>
      </c>
      <c r="T877" s="24" t="s">
        <v>39</v>
      </c>
      <c r="U877" s="24" t="s">
        <v>39</v>
      </c>
      <c r="V877" s="24" t="s">
        <v>39</v>
      </c>
      <c r="W877" s="24"/>
      <c r="X877" s="24"/>
      <c r="Y877" s="15"/>
      <c r="Z877" s="15"/>
      <c r="AA877" s="24"/>
      <c r="AB877" s="24"/>
      <c r="AC877" s="24"/>
      <c r="AD877" s="24"/>
      <c r="AE877" s="24"/>
      <c r="AF877" s="24"/>
      <c r="AG877" s="24"/>
      <c r="AH877" s="24"/>
    </row>
    <row r="878" spans="1:34" ht="90" x14ac:dyDescent="0.25">
      <c r="A878" s="24" t="str">
        <f>HYPERLINK("https://www.cpso.on.ca/DoctorDetails/Ian-Sean-Weinroth/0220025-82468","Weinroth, Ian Sean")</f>
        <v>Weinroth, Ian Sean</v>
      </c>
      <c r="B878" s="25" t="s">
        <v>8940</v>
      </c>
      <c r="C878" s="24" t="s">
        <v>2342</v>
      </c>
      <c r="D878" s="24" t="s">
        <v>2343</v>
      </c>
      <c r="E878" s="24" t="s">
        <v>29</v>
      </c>
      <c r="F878" s="24" t="s">
        <v>30</v>
      </c>
      <c r="G878" s="24" t="s">
        <v>31</v>
      </c>
      <c r="H878" s="24" t="s">
        <v>2344</v>
      </c>
      <c r="I878" s="24" t="s">
        <v>8941</v>
      </c>
      <c r="J878" s="24" t="s">
        <v>8942</v>
      </c>
      <c r="K878" s="24" t="s">
        <v>8943</v>
      </c>
      <c r="L878" s="24" t="s">
        <v>52</v>
      </c>
      <c r="M878" s="15"/>
      <c r="N878" s="15"/>
      <c r="O878" s="15" t="s">
        <v>232</v>
      </c>
      <c r="P878" s="15" t="s">
        <v>2348</v>
      </c>
      <c r="Q878" s="15" t="s">
        <v>8944</v>
      </c>
      <c r="R878" s="15" t="s">
        <v>2350</v>
      </c>
      <c r="S878" s="24" t="s">
        <v>39</v>
      </c>
      <c r="T878" s="24" t="s">
        <v>39</v>
      </c>
      <c r="U878" s="24" t="s">
        <v>39</v>
      </c>
      <c r="V878" s="24" t="s">
        <v>39</v>
      </c>
      <c r="W878" s="24" t="s">
        <v>8945</v>
      </c>
      <c r="X878" s="24" t="s">
        <v>8946</v>
      </c>
      <c r="Y878" s="15" t="s">
        <v>8947</v>
      </c>
      <c r="Z878" s="15" t="s">
        <v>8948</v>
      </c>
      <c r="AA878" s="24"/>
      <c r="AB878" s="24"/>
      <c r="AC878" s="24"/>
      <c r="AD878" s="24"/>
      <c r="AE878" s="24"/>
      <c r="AF878" s="24"/>
      <c r="AG878" s="24"/>
      <c r="AH878" s="24"/>
    </row>
    <row r="879" spans="1:34" ht="45" x14ac:dyDescent="0.25">
      <c r="A879" s="24" t="str">
        <f>HYPERLINK("https://www.cpso.on.ca/DoctorDetails/Ian-Walter-Keith-Feltham/0230614-84017","Feltham, Ian Walter Keith")</f>
        <v>Feltham, Ian Walter Keith</v>
      </c>
      <c r="B879" s="25" t="s">
        <v>8949</v>
      </c>
      <c r="C879" s="24" t="s">
        <v>8950</v>
      </c>
      <c r="D879" s="24" t="s">
        <v>8951</v>
      </c>
      <c r="E879" s="24" t="s">
        <v>29</v>
      </c>
      <c r="F879" s="24" t="s">
        <v>30</v>
      </c>
      <c r="G879" s="24" t="s">
        <v>31</v>
      </c>
      <c r="H879" s="24" t="s">
        <v>8952</v>
      </c>
      <c r="I879" s="24" t="s">
        <v>8953</v>
      </c>
      <c r="J879" s="24" t="s">
        <v>8954</v>
      </c>
      <c r="K879" s="24"/>
      <c r="L879" s="24" t="s">
        <v>340</v>
      </c>
      <c r="M879" s="15" t="s">
        <v>8955</v>
      </c>
      <c r="N879" s="15"/>
      <c r="O879" s="15" t="s">
        <v>2972</v>
      </c>
      <c r="P879" s="15" t="s">
        <v>8956</v>
      </c>
      <c r="Q879" s="15"/>
      <c r="R879" s="15" t="s">
        <v>8957</v>
      </c>
      <c r="S879" s="24" t="s">
        <v>39</v>
      </c>
      <c r="T879" s="24" t="s">
        <v>39</v>
      </c>
      <c r="U879" s="24" t="s">
        <v>39</v>
      </c>
      <c r="V879" s="24" t="s">
        <v>39</v>
      </c>
      <c r="W879" s="24" t="s">
        <v>8958</v>
      </c>
      <c r="X879" s="24" t="s">
        <v>8959</v>
      </c>
      <c r="Y879" s="15" t="s">
        <v>8960</v>
      </c>
      <c r="Z879" s="15" t="s">
        <v>8961</v>
      </c>
      <c r="AA879" s="24"/>
      <c r="AB879" s="24"/>
      <c r="AC879" s="24"/>
      <c r="AD879" s="24"/>
      <c r="AE879" s="24"/>
      <c r="AF879" s="24"/>
      <c r="AG879" s="24"/>
      <c r="AH879" s="24"/>
    </row>
    <row r="880" spans="1:34" ht="30" x14ac:dyDescent="0.25">
      <c r="A880" s="24" t="str">
        <f>HYPERLINK("https://www.cpso.on.ca/DoctorDetails/Ida-Fridman/0036621-50597","Fridman, Ida")</f>
        <v>Fridman, Ida</v>
      </c>
      <c r="B880" s="25" t="s">
        <v>8962</v>
      </c>
      <c r="C880" s="24" t="s">
        <v>520</v>
      </c>
      <c r="D880" s="24" t="s">
        <v>8963</v>
      </c>
      <c r="E880" s="24" t="s">
        <v>29</v>
      </c>
      <c r="F880" s="24" t="s">
        <v>47</v>
      </c>
      <c r="G880" s="24" t="s">
        <v>873</v>
      </c>
      <c r="H880" s="24" t="s">
        <v>8964</v>
      </c>
      <c r="I880" s="24" t="s">
        <v>8965</v>
      </c>
      <c r="J880" s="24" t="s">
        <v>8966</v>
      </c>
      <c r="K880" s="24" t="s">
        <v>4720</v>
      </c>
      <c r="L880" s="24" t="s">
        <v>52</v>
      </c>
      <c r="M880" s="15"/>
      <c r="N880" s="15"/>
      <c r="O880" s="15"/>
      <c r="P880" s="15" t="s">
        <v>5827</v>
      </c>
      <c r="Q880" s="15"/>
      <c r="R880" s="15" t="s">
        <v>8967</v>
      </c>
      <c r="S880" s="24" t="s">
        <v>39</v>
      </c>
      <c r="T880" s="24" t="s">
        <v>39</v>
      </c>
      <c r="U880" s="24" t="s">
        <v>39</v>
      </c>
      <c r="V880" s="24" t="s">
        <v>39</v>
      </c>
      <c r="W880" s="24"/>
      <c r="X880" s="24"/>
      <c r="Y880" s="15"/>
      <c r="Z880" s="15"/>
      <c r="AA880" s="24"/>
      <c r="AB880" s="24"/>
      <c r="AC880" s="24"/>
      <c r="AD880" s="24"/>
      <c r="AE880" s="24"/>
      <c r="AF880" s="24"/>
      <c r="AG880" s="24"/>
      <c r="AH880" s="24"/>
    </row>
    <row r="881" spans="1:34" x14ac:dyDescent="0.25">
      <c r="A881" s="24" t="str">
        <f>HYPERLINK("https://www.cpso.on.ca/DoctorDetails/Idumban-Asoka-Rajan/0040831-54807","Rajan, Idumban Asoka")</f>
        <v>Rajan, Idumban Asoka</v>
      </c>
      <c r="B881" s="25" t="s">
        <v>8968</v>
      </c>
      <c r="C881" s="24" t="s">
        <v>8969</v>
      </c>
      <c r="D881" s="24" t="s">
        <v>8970</v>
      </c>
      <c r="E881" s="24" t="s">
        <v>29</v>
      </c>
      <c r="F881" s="24" t="s">
        <v>30</v>
      </c>
      <c r="G881" s="24" t="s">
        <v>2255</v>
      </c>
      <c r="H881" s="24" t="s">
        <v>8971</v>
      </c>
      <c r="I881" s="24" t="s">
        <v>8972</v>
      </c>
      <c r="J881" s="24" t="s">
        <v>8973</v>
      </c>
      <c r="K881" s="24" t="s">
        <v>8974</v>
      </c>
      <c r="L881" s="24" t="s">
        <v>65</v>
      </c>
      <c r="M881" s="15"/>
      <c r="N881" s="15"/>
      <c r="O881" s="15"/>
      <c r="P881" s="15" t="s">
        <v>3636</v>
      </c>
      <c r="Q881" s="15"/>
      <c r="R881" s="15" t="s">
        <v>8975</v>
      </c>
      <c r="S881" s="24" t="s">
        <v>39</v>
      </c>
      <c r="T881" s="24" t="s">
        <v>39</v>
      </c>
      <c r="U881" s="24" t="s">
        <v>39</v>
      </c>
      <c r="V881" s="24" t="s">
        <v>39</v>
      </c>
      <c r="W881" s="24" t="s">
        <v>8976</v>
      </c>
      <c r="X881" s="24" t="s">
        <v>8977</v>
      </c>
      <c r="Y881" s="15" t="s">
        <v>8978</v>
      </c>
      <c r="Z881" s="15" t="s">
        <v>8979</v>
      </c>
      <c r="AA881" s="24"/>
      <c r="AB881" s="24"/>
      <c r="AC881" s="24"/>
      <c r="AD881" s="24"/>
      <c r="AE881" s="24"/>
      <c r="AF881" s="24"/>
      <c r="AG881" s="24"/>
      <c r="AH881" s="24"/>
    </row>
    <row r="882" spans="1:34" ht="45" x14ac:dyDescent="0.25">
      <c r="A882" s="24" t="str">
        <f>HYPERLINK("https://www.cpso.on.ca/DoctorDetails/Ifeoma-Nwando-Agbata/0315072-113547","Agbata, Ifeoma Nwando")</f>
        <v>Agbata, Ifeoma Nwando</v>
      </c>
      <c r="B882" s="25" t="s">
        <v>8980</v>
      </c>
      <c r="C882" s="24" t="s">
        <v>8981</v>
      </c>
      <c r="D882" s="24" t="s">
        <v>8982</v>
      </c>
      <c r="E882" s="24" t="s">
        <v>29</v>
      </c>
      <c r="F882" s="24" t="s">
        <v>47</v>
      </c>
      <c r="G882" s="24" t="s">
        <v>31</v>
      </c>
      <c r="H882" s="24" t="s">
        <v>8983</v>
      </c>
      <c r="I882" s="24" t="s">
        <v>8984</v>
      </c>
      <c r="J882" s="24" t="s">
        <v>8985</v>
      </c>
      <c r="K882" s="24" t="s">
        <v>8986</v>
      </c>
      <c r="L882" s="24" t="s">
        <v>36</v>
      </c>
      <c r="M882" s="15"/>
      <c r="N882" s="15"/>
      <c r="O882" s="15"/>
      <c r="P882" s="15" t="s">
        <v>8987</v>
      </c>
      <c r="Q882" s="15"/>
      <c r="R882" s="15" t="s">
        <v>8988</v>
      </c>
      <c r="S882" s="24" t="s">
        <v>71</v>
      </c>
      <c r="T882" s="24" t="s">
        <v>39</v>
      </c>
      <c r="U882" s="24" t="s">
        <v>39</v>
      </c>
      <c r="V882" s="24" t="s">
        <v>39</v>
      </c>
      <c r="W882" s="24"/>
      <c r="X882" s="24"/>
      <c r="Y882" s="15"/>
      <c r="Z882" s="15"/>
      <c r="AA882" s="24"/>
      <c r="AB882" s="24"/>
      <c r="AC882" s="24"/>
      <c r="AD882" s="24"/>
      <c r="AE882" s="24"/>
      <c r="AF882" s="24"/>
      <c r="AG882" s="24"/>
      <c r="AH882" s="24"/>
    </row>
    <row r="883" spans="1:34" x14ac:dyDescent="0.25">
      <c r="A883" s="24" t="str">
        <f>HYPERLINK("https://www.cpso.on.ca/DoctorDetails/Ihab-Zaki-Nessim-Sorial/0216250-81669","Sorial, Ihab Zaki Nessim")</f>
        <v>Sorial, Ihab Zaki Nessim</v>
      </c>
      <c r="B883" s="25" t="s">
        <v>8989</v>
      </c>
      <c r="C883" s="24" t="s">
        <v>8990</v>
      </c>
      <c r="D883" s="24" t="s">
        <v>8991</v>
      </c>
      <c r="E883" s="24" t="s">
        <v>29</v>
      </c>
      <c r="F883" s="24" t="s">
        <v>30</v>
      </c>
      <c r="G883" s="24" t="s">
        <v>31</v>
      </c>
      <c r="H883" s="24" t="s">
        <v>8992</v>
      </c>
      <c r="I883" s="24" t="s">
        <v>8993</v>
      </c>
      <c r="J883" s="24" t="s">
        <v>4311</v>
      </c>
      <c r="K883" s="24" t="s">
        <v>4082</v>
      </c>
      <c r="L883" s="24" t="s">
        <v>36</v>
      </c>
      <c r="M883" s="15"/>
      <c r="N883" s="15"/>
      <c r="O883" s="15" t="s">
        <v>1691</v>
      </c>
      <c r="P883" s="15" t="s">
        <v>8994</v>
      </c>
      <c r="Q883" s="15"/>
      <c r="R883" s="15" t="s">
        <v>8995</v>
      </c>
      <c r="S883" s="24" t="s">
        <v>39</v>
      </c>
      <c r="T883" s="24" t="s">
        <v>39</v>
      </c>
      <c r="U883" s="24" t="s">
        <v>39</v>
      </c>
      <c r="V883" s="24" t="s">
        <v>39</v>
      </c>
      <c r="W883" s="24" t="s">
        <v>8996</v>
      </c>
      <c r="X883" s="24" t="s">
        <v>8997</v>
      </c>
      <c r="Y883" s="15" t="s">
        <v>8998</v>
      </c>
      <c r="Z883" s="15" t="s">
        <v>8999</v>
      </c>
      <c r="AA883" s="24"/>
      <c r="AB883" s="24"/>
      <c r="AC883" s="24"/>
      <c r="AD883" s="24"/>
      <c r="AE883" s="24"/>
      <c r="AF883" s="24"/>
      <c r="AG883" s="24"/>
      <c r="AH883" s="24"/>
    </row>
    <row r="884" spans="1:34" ht="90" x14ac:dyDescent="0.25">
      <c r="A884" s="24" t="str">
        <f>HYPERLINK("https://www.cpso.on.ca/DoctorDetails/Ihuoma-Ugonna-Ndubisi/0275917-97426","Ndubisi, Ihuoma Ugonna")</f>
        <v>Ndubisi, Ihuoma Ugonna</v>
      </c>
      <c r="B884" s="25" t="s">
        <v>9000</v>
      </c>
      <c r="C884" s="24" t="s">
        <v>9001</v>
      </c>
      <c r="D884" s="24" t="s">
        <v>9002</v>
      </c>
      <c r="E884" s="24" t="s">
        <v>29</v>
      </c>
      <c r="F884" s="24" t="s">
        <v>47</v>
      </c>
      <c r="G884" s="24" t="s">
        <v>4624</v>
      </c>
      <c r="H884" s="24" t="s">
        <v>9003</v>
      </c>
      <c r="I884" s="24" t="s">
        <v>9004</v>
      </c>
      <c r="J884" s="24" t="s">
        <v>9005</v>
      </c>
      <c r="K884" s="24" t="s">
        <v>9006</v>
      </c>
      <c r="L884" s="24" t="s">
        <v>65</v>
      </c>
      <c r="M884" s="15" t="s">
        <v>9007</v>
      </c>
      <c r="N884" s="15"/>
      <c r="O884" s="15" t="s">
        <v>380</v>
      </c>
      <c r="P884" s="15" t="s">
        <v>1379</v>
      </c>
      <c r="Q884" s="15"/>
      <c r="R884" s="15" t="s">
        <v>9008</v>
      </c>
      <c r="S884" s="24" t="s">
        <v>39</v>
      </c>
      <c r="T884" s="24" t="s">
        <v>39</v>
      </c>
      <c r="U884" s="24" t="s">
        <v>39</v>
      </c>
      <c r="V884" s="24" t="s">
        <v>39</v>
      </c>
      <c r="W884" s="24" t="s">
        <v>9009</v>
      </c>
      <c r="X884" s="24" t="s">
        <v>9010</v>
      </c>
      <c r="Y884" s="15" t="s">
        <v>9011</v>
      </c>
      <c r="Z884" s="15" t="s">
        <v>9012</v>
      </c>
      <c r="AA884" s="24"/>
      <c r="AB884" s="24"/>
      <c r="AC884" s="24"/>
      <c r="AD884" s="24"/>
      <c r="AE884" s="24"/>
      <c r="AF884" s="24"/>
      <c r="AG884" s="24"/>
      <c r="AH884" s="24"/>
    </row>
    <row r="885" spans="1:34" ht="30" x14ac:dyDescent="0.25">
      <c r="A885" s="24" t="str">
        <f>HYPERLINK("https://www.cpso.on.ca/DoctorDetails/Ikechukwu-Chimeziri-Nwachukwu/0289749-101950","Nwachukwu, Ikechukwu Chimeziri")</f>
        <v>Nwachukwu, Ikechukwu Chimeziri</v>
      </c>
      <c r="B885" s="25" t="s">
        <v>9013</v>
      </c>
      <c r="C885" s="24" t="s">
        <v>9014</v>
      </c>
      <c r="D885" s="24" t="s">
        <v>9015</v>
      </c>
      <c r="E885" s="24" t="s">
        <v>29</v>
      </c>
      <c r="F885" s="24" t="s">
        <v>30</v>
      </c>
      <c r="G885" s="24" t="s">
        <v>2097</v>
      </c>
      <c r="H885" s="24" t="s">
        <v>4270</v>
      </c>
      <c r="I885" s="24" t="s">
        <v>9016</v>
      </c>
      <c r="J885" s="24" t="s">
        <v>9017</v>
      </c>
      <c r="K885" s="24" t="s">
        <v>9018</v>
      </c>
      <c r="L885" s="24" t="s">
        <v>52</v>
      </c>
      <c r="M885" s="15"/>
      <c r="N885" s="15" t="s">
        <v>9019</v>
      </c>
      <c r="O885" s="15" t="s">
        <v>5586</v>
      </c>
      <c r="P885" s="15" t="s">
        <v>412</v>
      </c>
      <c r="Q885" s="15"/>
      <c r="R885" s="15" t="s">
        <v>9020</v>
      </c>
      <c r="S885" s="24" t="s">
        <v>71</v>
      </c>
      <c r="T885" s="24" t="s">
        <v>39</v>
      </c>
      <c r="U885" s="24" t="s">
        <v>39</v>
      </c>
      <c r="V885" s="24" t="s">
        <v>39</v>
      </c>
      <c r="W885" s="24" t="s">
        <v>9021</v>
      </c>
      <c r="X885" s="24" t="s">
        <v>9022</v>
      </c>
      <c r="Y885" s="15" t="s">
        <v>9023</v>
      </c>
      <c r="Z885" s="15" t="s">
        <v>9024</v>
      </c>
      <c r="AA885" s="24"/>
      <c r="AB885" s="24"/>
      <c r="AC885" s="24"/>
      <c r="AD885" s="24"/>
      <c r="AE885" s="24"/>
      <c r="AF885" s="24"/>
      <c r="AG885" s="24"/>
      <c r="AH885" s="24"/>
    </row>
    <row r="886" spans="1:34" ht="75" x14ac:dyDescent="0.25">
      <c r="A886" s="24" t="str">
        <f>HYPERLINK("https://www.cpso.on.ca/DoctorDetails/Ilan-Fischler/0191113-77924","Fischler, Ilan")</f>
        <v>Fischler, Ilan</v>
      </c>
      <c r="B886" s="25" t="s">
        <v>9025</v>
      </c>
      <c r="C886" s="24" t="s">
        <v>921</v>
      </c>
      <c r="D886" s="24" t="s">
        <v>922</v>
      </c>
      <c r="E886" s="24" t="s">
        <v>29</v>
      </c>
      <c r="F886" s="24" t="s">
        <v>30</v>
      </c>
      <c r="G886" s="24" t="s">
        <v>31</v>
      </c>
      <c r="H886" s="24" t="s">
        <v>4433</v>
      </c>
      <c r="I886" s="24" t="s">
        <v>9026</v>
      </c>
      <c r="J886" s="24" t="s">
        <v>9027</v>
      </c>
      <c r="K886" s="24"/>
      <c r="L886" s="24" t="s">
        <v>36</v>
      </c>
      <c r="M886" s="15" t="s">
        <v>9028</v>
      </c>
      <c r="N886" s="15"/>
      <c r="O886" s="15" t="s">
        <v>9029</v>
      </c>
      <c r="P886" s="15" t="s">
        <v>488</v>
      </c>
      <c r="Q886" s="15" t="s">
        <v>489</v>
      </c>
      <c r="R886" s="15" t="s">
        <v>929</v>
      </c>
      <c r="S886" s="24" t="s">
        <v>39</v>
      </c>
      <c r="T886" s="24" t="s">
        <v>39</v>
      </c>
      <c r="U886" s="24" t="s">
        <v>39</v>
      </c>
      <c r="V886" s="24" t="s">
        <v>39</v>
      </c>
      <c r="W886" s="24" t="s">
        <v>9030</v>
      </c>
      <c r="X886" s="24" t="s">
        <v>9031</v>
      </c>
      <c r="Y886" s="15" t="s">
        <v>9032</v>
      </c>
      <c r="Z886" s="15" t="s">
        <v>9033</v>
      </c>
      <c r="AA886" s="24"/>
      <c r="AB886" s="24"/>
      <c r="AC886" s="24"/>
      <c r="AD886" s="24"/>
      <c r="AE886" s="24"/>
      <c r="AF886" s="24"/>
      <c r="AG886" s="24"/>
      <c r="AH886" s="24"/>
    </row>
    <row r="887" spans="1:34" ht="45" x14ac:dyDescent="0.25">
      <c r="A887" s="24" t="str">
        <f>HYPERLINK("https://www.cpso.on.ca/DoctorDetails/Ilana-Heather-Shawn/0277654-97271","Shawn, Ilana Heather")</f>
        <v>Shawn, Ilana Heather</v>
      </c>
      <c r="B887" s="25" t="s">
        <v>9034</v>
      </c>
      <c r="C887" s="24" t="s">
        <v>9035</v>
      </c>
      <c r="D887" s="24" t="s">
        <v>600</v>
      </c>
      <c r="E887" s="24" t="s">
        <v>29</v>
      </c>
      <c r="F887" s="24" t="s">
        <v>47</v>
      </c>
      <c r="G887" s="24" t="s">
        <v>31</v>
      </c>
      <c r="H887" s="24" t="s">
        <v>268</v>
      </c>
      <c r="I887" s="24" t="s">
        <v>9036</v>
      </c>
      <c r="J887" s="24" t="s">
        <v>9037</v>
      </c>
      <c r="K887" s="24" t="s">
        <v>218</v>
      </c>
      <c r="L887" s="24" t="s">
        <v>52</v>
      </c>
      <c r="M887" s="15"/>
      <c r="N887" s="15" t="s">
        <v>342</v>
      </c>
      <c r="O887" s="15" t="s">
        <v>219</v>
      </c>
      <c r="P887" s="15" t="s">
        <v>272</v>
      </c>
      <c r="Q887" s="15" t="s">
        <v>9038</v>
      </c>
      <c r="R887" s="15" t="s">
        <v>9039</v>
      </c>
      <c r="S887" s="24" t="s">
        <v>39</v>
      </c>
      <c r="T887" s="24" t="s">
        <v>39</v>
      </c>
      <c r="U887" s="24" t="s">
        <v>39</v>
      </c>
      <c r="V887" s="24" t="s">
        <v>39</v>
      </c>
      <c r="W887" s="24" t="s">
        <v>9040</v>
      </c>
      <c r="X887" s="24" t="s">
        <v>5842</v>
      </c>
      <c r="Y887" s="15" t="s">
        <v>9041</v>
      </c>
      <c r="Z887" s="15" t="s">
        <v>9042</v>
      </c>
      <c r="AA887" s="24"/>
      <c r="AB887" s="24"/>
      <c r="AC887" s="24"/>
      <c r="AD887" s="24"/>
      <c r="AE887" s="24"/>
      <c r="AF887" s="24"/>
      <c r="AG887" s="24"/>
      <c r="AH887" s="24"/>
    </row>
    <row r="888" spans="1:34" ht="135" x14ac:dyDescent="0.25">
      <c r="A888" s="24" t="str">
        <f>HYPERLINK("https://www.cpso.on.ca/DoctorDetails/Ilona-Cecylia-Polis/0051750-65729","Polis, Ilona Cecylia")</f>
        <v>Polis, Ilona Cecylia</v>
      </c>
      <c r="B888" s="25" t="s">
        <v>9043</v>
      </c>
      <c r="C888" s="24" t="s">
        <v>9044</v>
      </c>
      <c r="D888" s="24" t="s">
        <v>9045</v>
      </c>
      <c r="E888" s="24" t="s">
        <v>29</v>
      </c>
      <c r="F888" s="24" t="s">
        <v>47</v>
      </c>
      <c r="G888" s="24" t="s">
        <v>1657</v>
      </c>
      <c r="H888" s="24" t="s">
        <v>9046</v>
      </c>
      <c r="I888" s="24" t="s">
        <v>6772</v>
      </c>
      <c r="J888" s="24" t="s">
        <v>9047</v>
      </c>
      <c r="K888" s="24" t="s">
        <v>9048</v>
      </c>
      <c r="L888" s="24" t="s">
        <v>84</v>
      </c>
      <c r="M888" s="15"/>
      <c r="N888" s="15"/>
      <c r="O888" s="15"/>
      <c r="P888" s="15" t="s">
        <v>9049</v>
      </c>
      <c r="Q888" s="15" t="s">
        <v>9050</v>
      </c>
      <c r="R888" s="15" t="s">
        <v>9051</v>
      </c>
      <c r="S888" s="24" t="s">
        <v>39</v>
      </c>
      <c r="T888" s="24" t="s">
        <v>39</v>
      </c>
      <c r="U888" s="24" t="s">
        <v>39</v>
      </c>
      <c r="V888" s="24" t="s">
        <v>39</v>
      </c>
      <c r="W888" s="24" t="s">
        <v>9052</v>
      </c>
      <c r="X888" s="24" t="s">
        <v>9053</v>
      </c>
      <c r="Y888" s="15" t="s">
        <v>9054</v>
      </c>
      <c r="Z888" s="15" t="s">
        <v>9055</v>
      </c>
      <c r="AA888" s="24"/>
      <c r="AB888" s="24"/>
      <c r="AC888" s="24"/>
      <c r="AD888" s="24"/>
      <c r="AE888" s="24"/>
      <c r="AF888" s="24"/>
      <c r="AG888" s="24"/>
      <c r="AH888" s="24"/>
    </row>
    <row r="889" spans="1:34" ht="75" x14ac:dyDescent="0.25">
      <c r="A889" s="24" t="str">
        <f>HYPERLINK("https://www.cpso.on.ca/DoctorDetails/Imraan-Jeeva/0117255-70276","Jeeva, Imraan")</f>
        <v>Jeeva, Imraan</v>
      </c>
      <c r="B889" s="25" t="s">
        <v>9056</v>
      </c>
      <c r="C889" s="24" t="s">
        <v>7864</v>
      </c>
      <c r="D889" s="24" t="s">
        <v>7865</v>
      </c>
      <c r="E889" s="24" t="s">
        <v>29</v>
      </c>
      <c r="F889" s="24" t="s">
        <v>30</v>
      </c>
      <c r="G889" s="24" t="s">
        <v>31</v>
      </c>
      <c r="H889" s="24" t="s">
        <v>3814</v>
      </c>
      <c r="I889" s="24" t="s">
        <v>9057</v>
      </c>
      <c r="J889" s="24" t="s">
        <v>9058</v>
      </c>
      <c r="K889" s="24" t="s">
        <v>4960</v>
      </c>
      <c r="L889" s="24" t="s">
        <v>52</v>
      </c>
      <c r="M889" s="15"/>
      <c r="N889" s="15"/>
      <c r="O889" s="15" t="s">
        <v>793</v>
      </c>
      <c r="P889" s="15" t="s">
        <v>2678</v>
      </c>
      <c r="Q889" s="15" t="s">
        <v>1112</v>
      </c>
      <c r="R889" s="15" t="s">
        <v>9059</v>
      </c>
      <c r="S889" s="24" t="s">
        <v>39</v>
      </c>
      <c r="T889" s="24" t="s">
        <v>39</v>
      </c>
      <c r="U889" s="24" t="s">
        <v>39</v>
      </c>
      <c r="V889" s="24" t="s">
        <v>39</v>
      </c>
      <c r="W889" s="24"/>
      <c r="X889" s="24"/>
      <c r="Y889" s="15"/>
      <c r="Z889" s="15"/>
      <c r="AA889" s="24"/>
      <c r="AB889" s="24"/>
      <c r="AC889" s="24"/>
      <c r="AD889" s="24"/>
      <c r="AE889" s="24"/>
      <c r="AF889" s="24"/>
      <c r="AG889" s="24"/>
      <c r="AH889" s="24"/>
    </row>
    <row r="890" spans="1:34" ht="75" x14ac:dyDescent="0.25">
      <c r="A890" s="24" t="str">
        <f>HYPERLINK("https://www.cpso.on.ca/DoctorDetails/Imran-Haider-Naqvi/0235762-85676","Naqvi, Imran Haider")</f>
        <v>Naqvi, Imran Haider</v>
      </c>
      <c r="B890" s="25" t="s">
        <v>9060</v>
      </c>
      <c r="C890" s="24" t="s">
        <v>9061</v>
      </c>
      <c r="D890" s="24" t="s">
        <v>9062</v>
      </c>
      <c r="E890" s="24" t="s">
        <v>29</v>
      </c>
      <c r="F890" s="24" t="s">
        <v>30</v>
      </c>
      <c r="G890" s="24" t="s">
        <v>131</v>
      </c>
      <c r="H890" s="24" t="s">
        <v>62</v>
      </c>
      <c r="I890" s="24" t="s">
        <v>9063</v>
      </c>
      <c r="J890" s="24" t="s">
        <v>9064</v>
      </c>
      <c r="K890" s="24" t="s">
        <v>9065</v>
      </c>
      <c r="L890" s="24" t="s">
        <v>184</v>
      </c>
      <c r="M890" s="15" t="s">
        <v>9066</v>
      </c>
      <c r="N890" s="15"/>
      <c r="O890" s="15" t="s">
        <v>1662</v>
      </c>
      <c r="P890" s="15" t="s">
        <v>2549</v>
      </c>
      <c r="Q890" s="15"/>
      <c r="R890" s="15" t="s">
        <v>9067</v>
      </c>
      <c r="S890" s="24" t="s">
        <v>71</v>
      </c>
      <c r="T890" s="24" t="s">
        <v>39</v>
      </c>
      <c r="U890" s="24" t="s">
        <v>39</v>
      </c>
      <c r="V890" s="24" t="s">
        <v>39</v>
      </c>
      <c r="W890" s="24" t="s">
        <v>9068</v>
      </c>
      <c r="X890" s="24" t="s">
        <v>9069</v>
      </c>
      <c r="Y890" s="15"/>
      <c r="Z890" s="15"/>
      <c r="AA890" s="24" t="s">
        <v>9070</v>
      </c>
      <c r="AB890" s="24" t="s">
        <v>9071</v>
      </c>
      <c r="AC890" s="24"/>
      <c r="AD890" s="24"/>
      <c r="AE890" s="24" t="s">
        <v>9072</v>
      </c>
      <c r="AF890" s="24" t="s">
        <v>9073</v>
      </c>
      <c r="AG890" s="24" t="s">
        <v>9074</v>
      </c>
      <c r="AH890" s="24" t="s">
        <v>9075</v>
      </c>
    </row>
    <row r="891" spans="1:34" ht="120" x14ac:dyDescent="0.25">
      <c r="A891" s="24" t="str">
        <f>HYPERLINK("https://www.cpso.on.ca/DoctorDetails/Inbal-Gafni/0210155-80726","Gafni, Inbal")</f>
        <v>Gafni, Inbal</v>
      </c>
      <c r="B891" s="25" t="s">
        <v>9076</v>
      </c>
      <c r="C891" s="24" t="s">
        <v>9077</v>
      </c>
      <c r="D891" s="24" t="s">
        <v>9078</v>
      </c>
      <c r="E891" s="24" t="s">
        <v>29</v>
      </c>
      <c r="F891" s="24" t="s">
        <v>47</v>
      </c>
      <c r="G891" s="24" t="s">
        <v>31</v>
      </c>
      <c r="H891" s="24" t="s">
        <v>48</v>
      </c>
      <c r="I891" s="24" t="s">
        <v>9079</v>
      </c>
      <c r="J891" s="24" t="s">
        <v>4918</v>
      </c>
      <c r="K891" s="24"/>
      <c r="L891" s="24" t="s">
        <v>52</v>
      </c>
      <c r="M891" s="15" t="s">
        <v>9080</v>
      </c>
      <c r="N891" s="15"/>
      <c r="O891" s="15" t="s">
        <v>9081</v>
      </c>
      <c r="P891" s="15" t="s">
        <v>9082</v>
      </c>
      <c r="Q891" s="15" t="s">
        <v>9083</v>
      </c>
      <c r="R891" s="15" t="s">
        <v>9084</v>
      </c>
      <c r="S891" s="24" t="s">
        <v>39</v>
      </c>
      <c r="T891" s="24" t="s">
        <v>39</v>
      </c>
      <c r="U891" s="24" t="s">
        <v>39</v>
      </c>
      <c r="V891" s="24" t="s">
        <v>39</v>
      </c>
      <c r="W891" s="24" t="s">
        <v>9085</v>
      </c>
      <c r="X891" s="24" t="s">
        <v>9086</v>
      </c>
      <c r="Y891" s="15" t="s">
        <v>9087</v>
      </c>
      <c r="Z891" s="15" t="s">
        <v>9088</v>
      </c>
      <c r="AA891" s="24"/>
      <c r="AB891" s="24"/>
      <c r="AC891" s="24"/>
      <c r="AD891" s="24"/>
      <c r="AE891" s="24"/>
      <c r="AF891" s="24"/>
      <c r="AG891" s="24"/>
      <c r="AH891" s="24"/>
    </row>
    <row r="892" spans="1:34" ht="105" x14ac:dyDescent="0.25">
      <c r="A892" s="24" t="str">
        <f>HYPERLINK("https://www.cpso.on.ca/DoctorDetails/Ingrid-Lynn-Vanden-Berg/0038149-52125","Vanden Berg, Ingrid Lynn")</f>
        <v>Vanden Berg, Ingrid Lynn</v>
      </c>
      <c r="B892" s="25" t="s">
        <v>9089</v>
      </c>
      <c r="C892" s="24" t="s">
        <v>3676</v>
      </c>
      <c r="D892" s="24" t="s">
        <v>9090</v>
      </c>
      <c r="E892" s="24" t="s">
        <v>9091</v>
      </c>
      <c r="F892" s="24" t="s">
        <v>47</v>
      </c>
      <c r="G892" s="24" t="s">
        <v>31</v>
      </c>
      <c r="H892" s="24" t="s">
        <v>1874</v>
      </c>
      <c r="I892" s="24" t="s">
        <v>9092</v>
      </c>
      <c r="J892" s="24" t="s">
        <v>9093</v>
      </c>
      <c r="K892" s="24"/>
      <c r="L892" s="24" t="s">
        <v>3849</v>
      </c>
      <c r="M892" s="15"/>
      <c r="N892" s="15"/>
      <c r="O892" s="15" t="s">
        <v>9094</v>
      </c>
      <c r="P892" s="15" t="s">
        <v>1829</v>
      </c>
      <c r="Q892" s="15" t="s">
        <v>9095</v>
      </c>
      <c r="R892" s="15" t="s">
        <v>9096</v>
      </c>
      <c r="S892" s="24" t="s">
        <v>39</v>
      </c>
      <c r="T892" s="24" t="s">
        <v>39</v>
      </c>
      <c r="U892" s="24" t="s">
        <v>39</v>
      </c>
      <c r="V892" s="24" t="s">
        <v>39</v>
      </c>
      <c r="W892" s="24"/>
      <c r="X892" s="24"/>
      <c r="Y892" s="15"/>
      <c r="Z892" s="15"/>
      <c r="AA892" s="24"/>
      <c r="AB892" s="24"/>
      <c r="AC892" s="24"/>
      <c r="AD892" s="24"/>
      <c r="AE892" s="24"/>
      <c r="AF892" s="24"/>
      <c r="AG892" s="24"/>
      <c r="AH892" s="24"/>
    </row>
    <row r="893" spans="1:34" x14ac:dyDescent="0.25">
      <c r="A893" s="24" t="str">
        <f>HYPERLINK("https://www.cpso.on.ca/DoctorDetails/Ioana-Iordache/0306033-108002","Iordache, Ioana")</f>
        <v>Iordache, Ioana</v>
      </c>
      <c r="B893" s="25" t="s">
        <v>9097</v>
      </c>
      <c r="C893" s="24" t="s">
        <v>9098</v>
      </c>
      <c r="D893" s="24" t="s">
        <v>9099</v>
      </c>
      <c r="E893" s="24" t="s">
        <v>29</v>
      </c>
      <c r="F893" s="24" t="s">
        <v>47</v>
      </c>
      <c r="G893" s="24" t="s">
        <v>813</v>
      </c>
      <c r="H893" s="24" t="s">
        <v>2269</v>
      </c>
      <c r="I893" s="24" t="s">
        <v>9100</v>
      </c>
      <c r="J893" s="24" t="s">
        <v>9101</v>
      </c>
      <c r="K893" s="24" t="s">
        <v>9102</v>
      </c>
      <c r="L893" s="24" t="s">
        <v>52</v>
      </c>
      <c r="M893" s="15"/>
      <c r="N893" s="15"/>
      <c r="O893" s="15" t="s">
        <v>793</v>
      </c>
      <c r="P893" s="15" t="s">
        <v>9103</v>
      </c>
      <c r="Q893" s="15"/>
      <c r="R893" s="15" t="s">
        <v>9104</v>
      </c>
      <c r="S893" s="24" t="s">
        <v>39</v>
      </c>
      <c r="T893" s="24" t="s">
        <v>39</v>
      </c>
      <c r="U893" s="24" t="s">
        <v>39</v>
      </c>
      <c r="V893" s="24" t="s">
        <v>39</v>
      </c>
      <c r="W893" s="24" t="s">
        <v>9105</v>
      </c>
      <c r="X893" s="24" t="s">
        <v>9106</v>
      </c>
      <c r="Y893" s="15" t="s">
        <v>9107</v>
      </c>
      <c r="Z893" s="15" t="s">
        <v>9108</v>
      </c>
      <c r="AA893" s="24"/>
      <c r="AB893" s="24"/>
      <c r="AC893" s="24"/>
      <c r="AD893" s="24"/>
      <c r="AE893" s="24"/>
      <c r="AF893" s="24"/>
      <c r="AG893" s="24"/>
      <c r="AH893" s="24"/>
    </row>
    <row r="894" spans="1:34" ht="135" x14ac:dyDescent="0.25">
      <c r="A894" s="24" t="str">
        <f>HYPERLINK("https://www.cpso.on.ca/DoctorDetails/Iouri-Efremovitch-Rybak/0204457-79334","Rybak, Iouri Efremovitch")</f>
        <v>Rybak, Iouri Efremovitch</v>
      </c>
      <c r="B894" s="25" t="s">
        <v>9109</v>
      </c>
      <c r="C894" s="24" t="s">
        <v>9110</v>
      </c>
      <c r="D894" s="24" t="s">
        <v>9111</v>
      </c>
      <c r="E894" s="24" t="s">
        <v>29</v>
      </c>
      <c r="F894" s="24" t="s">
        <v>30</v>
      </c>
      <c r="G894" s="24" t="s">
        <v>873</v>
      </c>
      <c r="H894" s="24" t="s">
        <v>9112</v>
      </c>
      <c r="I894" s="24" t="s">
        <v>9113</v>
      </c>
      <c r="J894" s="24" t="s">
        <v>9114</v>
      </c>
      <c r="K894" s="24" t="s">
        <v>9115</v>
      </c>
      <c r="L894" s="24" t="s">
        <v>135</v>
      </c>
      <c r="M894" s="15"/>
      <c r="N894" s="15"/>
      <c r="O894" s="15"/>
      <c r="P894" s="15" t="s">
        <v>880</v>
      </c>
      <c r="Q894" s="15" t="s">
        <v>9116</v>
      </c>
      <c r="R894" s="15" t="s">
        <v>9117</v>
      </c>
      <c r="S894" s="24" t="s">
        <v>39</v>
      </c>
      <c r="T894" s="24" t="s">
        <v>39</v>
      </c>
      <c r="U894" s="24" t="s">
        <v>39</v>
      </c>
      <c r="V894" s="24" t="s">
        <v>39</v>
      </c>
      <c r="W894" s="24"/>
      <c r="X894" s="24"/>
      <c r="Y894" s="15"/>
      <c r="Z894" s="15"/>
      <c r="AA894" s="24"/>
      <c r="AB894" s="24"/>
      <c r="AC894" s="24"/>
      <c r="AD894" s="24"/>
      <c r="AE894" s="24"/>
      <c r="AF894" s="24"/>
      <c r="AG894" s="24"/>
      <c r="AH894" s="24"/>
    </row>
    <row r="895" spans="1:34" ht="90" x14ac:dyDescent="0.25">
      <c r="A895" s="24" t="str">
        <f>HYPERLINK("https://www.cpso.on.ca/DoctorDetails/Iram-Jamil-Ahmed/0250019-88745","Ahmed, Iram Jamil")</f>
        <v>Ahmed, Iram Jamil</v>
      </c>
      <c r="B895" s="25" t="s">
        <v>9118</v>
      </c>
      <c r="C895" s="24" t="s">
        <v>846</v>
      </c>
      <c r="D895" s="24" t="s">
        <v>443</v>
      </c>
      <c r="E895" s="24" t="s">
        <v>29</v>
      </c>
      <c r="F895" s="24" t="s">
        <v>47</v>
      </c>
      <c r="G895" s="24" t="s">
        <v>31</v>
      </c>
      <c r="H895" s="24" t="s">
        <v>2356</v>
      </c>
      <c r="I895" s="24" t="s">
        <v>9119</v>
      </c>
      <c r="J895" s="24" t="s">
        <v>4719</v>
      </c>
      <c r="K895" s="24" t="s">
        <v>9120</v>
      </c>
      <c r="L895" s="24" t="s">
        <v>52</v>
      </c>
      <c r="M895" s="15"/>
      <c r="N895" s="15"/>
      <c r="O895" s="15" t="s">
        <v>271</v>
      </c>
      <c r="P895" s="15" t="s">
        <v>449</v>
      </c>
      <c r="Q895" s="15" t="s">
        <v>9121</v>
      </c>
      <c r="R895" s="15" t="s">
        <v>3625</v>
      </c>
      <c r="S895" s="24" t="s">
        <v>39</v>
      </c>
      <c r="T895" s="24" t="s">
        <v>39</v>
      </c>
      <c r="U895" s="24" t="s">
        <v>39</v>
      </c>
      <c r="V895" s="24" t="s">
        <v>39</v>
      </c>
      <c r="W895" s="24" t="s">
        <v>9122</v>
      </c>
      <c r="X895" s="24" t="s">
        <v>9123</v>
      </c>
      <c r="Y895" s="15" t="s">
        <v>9124</v>
      </c>
      <c r="Z895" s="15" t="s">
        <v>9125</v>
      </c>
      <c r="AA895" s="24"/>
      <c r="AB895" s="24"/>
      <c r="AC895" s="24"/>
      <c r="AD895" s="24"/>
      <c r="AE895" s="24"/>
      <c r="AF895" s="24"/>
      <c r="AG895" s="24"/>
      <c r="AH895" s="24"/>
    </row>
    <row r="896" spans="1:34" ht="45" x14ac:dyDescent="0.25">
      <c r="A896" s="24" t="str">
        <f>HYPERLINK("https://www.cpso.on.ca/DoctorDetails/Irene-PatelisSiotis/0040202-54178","Patelis-Siotis, Irene")</f>
        <v>Patelis-Siotis, Irene</v>
      </c>
      <c r="B896" s="25" t="s">
        <v>9126</v>
      </c>
      <c r="C896" s="24" t="s">
        <v>704</v>
      </c>
      <c r="D896" s="24" t="s">
        <v>9127</v>
      </c>
      <c r="E896" s="24" t="s">
        <v>29</v>
      </c>
      <c r="F896" s="24" t="s">
        <v>47</v>
      </c>
      <c r="G896" s="24" t="s">
        <v>9128</v>
      </c>
      <c r="H896" s="24" t="s">
        <v>9129</v>
      </c>
      <c r="I896" s="24" t="s">
        <v>9130</v>
      </c>
      <c r="J896" s="24" t="s">
        <v>9131</v>
      </c>
      <c r="K896" s="24" t="s">
        <v>9132</v>
      </c>
      <c r="L896" s="24" t="s">
        <v>184</v>
      </c>
      <c r="M896" s="15" t="s">
        <v>9133</v>
      </c>
      <c r="N896" s="15"/>
      <c r="O896" s="15" t="s">
        <v>4002</v>
      </c>
      <c r="P896" s="15" t="s">
        <v>2416</v>
      </c>
      <c r="Q896" s="15" t="s">
        <v>9134</v>
      </c>
      <c r="R896" s="15" t="s">
        <v>9135</v>
      </c>
      <c r="S896" s="24" t="s">
        <v>39</v>
      </c>
      <c r="T896" s="24" t="s">
        <v>39</v>
      </c>
      <c r="U896" s="24" t="s">
        <v>39</v>
      </c>
      <c r="V896" s="24" t="s">
        <v>39</v>
      </c>
      <c r="W896" s="24" t="s">
        <v>9136</v>
      </c>
      <c r="X896" s="24" t="s">
        <v>9137</v>
      </c>
      <c r="Y896" s="15" t="s">
        <v>9138</v>
      </c>
      <c r="Z896" s="15" t="s">
        <v>9139</v>
      </c>
      <c r="AA896" s="24"/>
      <c r="AB896" s="24"/>
      <c r="AC896" s="24"/>
      <c r="AD896" s="24"/>
      <c r="AE896" s="24"/>
      <c r="AF896" s="24"/>
      <c r="AG896" s="24"/>
      <c r="AH896" s="24"/>
    </row>
    <row r="897" spans="1:34" ht="75" x14ac:dyDescent="0.25">
      <c r="A897" s="24" t="str">
        <f>HYPERLINK("https://www.cpso.on.ca/DoctorDetails/Irfan-Ahmed-Mian/0057374-68962","Mian, Irfan Ahmed")</f>
        <v>Mian, Irfan Ahmed</v>
      </c>
      <c r="B897" s="25" t="s">
        <v>9140</v>
      </c>
      <c r="C897" s="24" t="s">
        <v>3831</v>
      </c>
      <c r="D897" s="24" t="s">
        <v>214</v>
      </c>
      <c r="E897" s="24" t="s">
        <v>29</v>
      </c>
      <c r="F897" s="24" t="s">
        <v>30</v>
      </c>
      <c r="G897" s="24" t="s">
        <v>31</v>
      </c>
      <c r="H897" s="24" t="s">
        <v>7866</v>
      </c>
      <c r="I897" s="24" t="s">
        <v>4552</v>
      </c>
      <c r="J897" s="24" t="s">
        <v>9141</v>
      </c>
      <c r="K897" s="24" t="s">
        <v>119</v>
      </c>
      <c r="L897" s="24" t="s">
        <v>52</v>
      </c>
      <c r="M897" s="15"/>
      <c r="N897" s="15"/>
      <c r="O897" s="15" t="s">
        <v>121</v>
      </c>
      <c r="P897" s="15" t="s">
        <v>1343</v>
      </c>
      <c r="Q897" s="15" t="s">
        <v>4714</v>
      </c>
      <c r="R897" s="15" t="s">
        <v>3839</v>
      </c>
      <c r="S897" s="24" t="s">
        <v>39</v>
      </c>
      <c r="T897" s="24" t="s">
        <v>39</v>
      </c>
      <c r="U897" s="24" t="s">
        <v>39</v>
      </c>
      <c r="V897" s="24" t="s">
        <v>39</v>
      </c>
      <c r="W897" s="24"/>
      <c r="X897" s="24"/>
      <c r="Y897" s="15"/>
      <c r="Z897" s="15"/>
      <c r="AA897" s="24"/>
      <c r="AB897" s="24"/>
      <c r="AC897" s="24"/>
      <c r="AD897" s="24"/>
      <c r="AE897" s="24"/>
      <c r="AF897" s="24"/>
      <c r="AG897" s="24"/>
      <c r="AH897" s="24"/>
    </row>
    <row r="898" spans="1:34" ht="90" x14ac:dyDescent="0.25">
      <c r="A898" s="24" t="str">
        <f>HYPERLINK("https://www.cpso.on.ca/DoctorDetails/Irina-Skladman/0228498-83868","Skladman, Irina")</f>
        <v>Skladman, Irina</v>
      </c>
      <c r="B898" s="25" t="s">
        <v>9142</v>
      </c>
      <c r="C898" s="24" t="s">
        <v>9143</v>
      </c>
      <c r="D898" s="24" t="s">
        <v>46</v>
      </c>
      <c r="E898" s="24" t="s">
        <v>29</v>
      </c>
      <c r="F898" s="24" t="s">
        <v>47</v>
      </c>
      <c r="G898" s="24" t="s">
        <v>9144</v>
      </c>
      <c r="H898" s="24" t="s">
        <v>9145</v>
      </c>
      <c r="I898" s="24" t="s">
        <v>9146</v>
      </c>
      <c r="J898" s="24" t="s">
        <v>9147</v>
      </c>
      <c r="K898" s="24" t="s">
        <v>9148</v>
      </c>
      <c r="L898" s="24" t="s">
        <v>184</v>
      </c>
      <c r="M898" s="15" t="s">
        <v>9149</v>
      </c>
      <c r="N898" s="15"/>
      <c r="O898" s="15" t="s">
        <v>4363</v>
      </c>
      <c r="P898" s="15" t="s">
        <v>55</v>
      </c>
      <c r="Q898" s="15" t="s">
        <v>9150</v>
      </c>
      <c r="R898" s="15" t="s">
        <v>9151</v>
      </c>
      <c r="S898" s="24" t="s">
        <v>39</v>
      </c>
      <c r="T898" s="24" t="s">
        <v>39</v>
      </c>
      <c r="U898" s="24" t="s">
        <v>39</v>
      </c>
      <c r="V898" s="24" t="s">
        <v>39</v>
      </c>
      <c r="W898" s="24" t="s">
        <v>9152</v>
      </c>
      <c r="X898" s="24" t="s">
        <v>9153</v>
      </c>
      <c r="Y898" s="15" t="s">
        <v>9154</v>
      </c>
      <c r="Z898" s="15" t="s">
        <v>9155</v>
      </c>
      <c r="AA898" s="24"/>
      <c r="AB898" s="24"/>
      <c r="AC898" s="24"/>
      <c r="AD898" s="24"/>
      <c r="AE898" s="24"/>
      <c r="AF898" s="24"/>
      <c r="AG898" s="24"/>
      <c r="AH898" s="24"/>
    </row>
    <row r="899" spans="1:34" ht="45" x14ac:dyDescent="0.25">
      <c r="A899" s="24" t="str">
        <f>HYPERLINK("https://www.cpso.on.ca/DoctorDetails/Irvin-Epstein/0049043-63021","Epstein, Irvin")</f>
        <v>Epstein, Irvin</v>
      </c>
      <c r="B899" s="25" t="s">
        <v>9156</v>
      </c>
      <c r="C899" s="24" t="s">
        <v>9157</v>
      </c>
      <c r="D899" s="24" t="s">
        <v>9158</v>
      </c>
      <c r="E899" s="24" t="s">
        <v>29</v>
      </c>
      <c r="F899" s="24" t="s">
        <v>30</v>
      </c>
      <c r="G899" s="24" t="s">
        <v>2188</v>
      </c>
      <c r="H899" s="24" t="s">
        <v>9159</v>
      </c>
      <c r="I899" s="24" t="s">
        <v>9160</v>
      </c>
      <c r="J899" s="24" t="s">
        <v>9161</v>
      </c>
      <c r="K899" s="24" t="s">
        <v>9162</v>
      </c>
      <c r="L899" s="24" t="s">
        <v>52</v>
      </c>
      <c r="M899" s="15"/>
      <c r="N899" s="15"/>
      <c r="O899" s="15"/>
      <c r="P899" s="15" t="s">
        <v>9163</v>
      </c>
      <c r="Q899" s="15"/>
      <c r="R899" s="15" t="s">
        <v>9164</v>
      </c>
      <c r="S899" s="24" t="s">
        <v>39</v>
      </c>
      <c r="T899" s="24" t="s">
        <v>39</v>
      </c>
      <c r="U899" s="24" t="s">
        <v>39</v>
      </c>
      <c r="V899" s="24" t="s">
        <v>39</v>
      </c>
      <c r="W899" s="24"/>
      <c r="X899" s="24"/>
      <c r="Y899" s="15"/>
      <c r="Z899" s="15"/>
      <c r="AA899" s="24"/>
      <c r="AB899" s="24"/>
      <c r="AC899" s="24"/>
      <c r="AD899" s="24"/>
      <c r="AE899" s="24"/>
      <c r="AF899" s="24"/>
      <c r="AG899" s="24"/>
      <c r="AH899" s="24"/>
    </row>
    <row r="900" spans="1:34" x14ac:dyDescent="0.25">
      <c r="A900" s="24" t="str">
        <f>HYPERLINK("https://www.cpso.on.ca/DoctorDetails/Irwin-Kleinman/0039739-53715","Kleinman, Irwin")</f>
        <v>Kleinman, Irwin</v>
      </c>
      <c r="B900" s="25" t="s">
        <v>9165</v>
      </c>
      <c r="C900" s="24" t="s">
        <v>9166</v>
      </c>
      <c r="D900" s="24" t="s">
        <v>9167</v>
      </c>
      <c r="E900" s="24" t="s">
        <v>29</v>
      </c>
      <c r="F900" s="24" t="s">
        <v>30</v>
      </c>
      <c r="G900" s="24" t="s">
        <v>31</v>
      </c>
      <c r="H900" s="24" t="s">
        <v>9168</v>
      </c>
      <c r="I900" s="24" t="s">
        <v>9169</v>
      </c>
      <c r="J900" s="24" t="s">
        <v>9170</v>
      </c>
      <c r="K900" s="24"/>
      <c r="L900" s="24" t="s">
        <v>52</v>
      </c>
      <c r="M900" s="15"/>
      <c r="N900" s="15"/>
      <c r="O900" s="15" t="s">
        <v>1201</v>
      </c>
      <c r="P900" s="15" t="s">
        <v>3636</v>
      </c>
      <c r="Q900" s="15"/>
      <c r="R900" s="15" t="s">
        <v>9171</v>
      </c>
      <c r="S900" s="24" t="s">
        <v>39</v>
      </c>
      <c r="T900" s="24" t="s">
        <v>39</v>
      </c>
      <c r="U900" s="24" t="s">
        <v>39</v>
      </c>
      <c r="V900" s="24" t="s">
        <v>39</v>
      </c>
      <c r="W900" s="24" t="s">
        <v>9172</v>
      </c>
      <c r="X900" s="24" t="s">
        <v>9173</v>
      </c>
      <c r="Y900" s="15" t="s">
        <v>9174</v>
      </c>
      <c r="Z900" s="15" t="s">
        <v>9175</v>
      </c>
      <c r="AA900" s="24"/>
      <c r="AB900" s="24"/>
      <c r="AC900" s="24"/>
      <c r="AD900" s="24"/>
      <c r="AE900" s="24"/>
      <c r="AF900" s="24"/>
      <c r="AG900" s="24"/>
      <c r="AH900" s="24"/>
    </row>
    <row r="901" spans="1:34" ht="45" x14ac:dyDescent="0.25">
      <c r="A901" s="24" t="str">
        <f>HYPERLINK("https://www.cpso.on.ca/DoctorDetails/Isaac-Fahim-Isaac/0049379-63357","Isaac, Isaac Fahim")</f>
        <v>Isaac, Isaac Fahim</v>
      </c>
      <c r="B901" s="25" t="s">
        <v>9176</v>
      </c>
      <c r="C901" s="24" t="s">
        <v>1931</v>
      </c>
      <c r="D901" s="24" t="s">
        <v>1932</v>
      </c>
      <c r="E901" s="24" t="s">
        <v>29</v>
      </c>
      <c r="F901" s="24" t="s">
        <v>30</v>
      </c>
      <c r="G901" s="24" t="s">
        <v>105</v>
      </c>
      <c r="H901" s="24" t="s">
        <v>9177</v>
      </c>
      <c r="I901" s="24" t="s">
        <v>9178</v>
      </c>
      <c r="J901" s="24" t="s">
        <v>9179</v>
      </c>
      <c r="K901" s="24" t="s">
        <v>9180</v>
      </c>
      <c r="L901" s="24" t="s">
        <v>135</v>
      </c>
      <c r="M901" s="15"/>
      <c r="N901" s="15"/>
      <c r="O901" s="15"/>
      <c r="P901" s="15" t="s">
        <v>3220</v>
      </c>
      <c r="Q901" s="15" t="s">
        <v>9181</v>
      </c>
      <c r="R901" s="15" t="s">
        <v>9182</v>
      </c>
      <c r="S901" s="24" t="s">
        <v>39</v>
      </c>
      <c r="T901" s="24" t="s">
        <v>39</v>
      </c>
      <c r="U901" s="24" t="s">
        <v>39</v>
      </c>
      <c r="V901" s="24" t="s">
        <v>39</v>
      </c>
      <c r="W901" s="24" t="s">
        <v>9183</v>
      </c>
      <c r="X901" s="24" t="s">
        <v>9184</v>
      </c>
      <c r="Y901" s="15" t="s">
        <v>9185</v>
      </c>
      <c r="Z901" s="15" t="s">
        <v>9186</v>
      </c>
      <c r="AA901" s="24"/>
      <c r="AB901" s="24"/>
      <c r="AC901" s="24"/>
      <c r="AD901" s="24"/>
      <c r="AE901" s="24"/>
      <c r="AF901" s="24"/>
      <c r="AG901" s="24"/>
      <c r="AH901" s="24"/>
    </row>
    <row r="902" spans="1:34" ht="30" x14ac:dyDescent="0.25">
      <c r="A902" s="24" t="str">
        <f>HYPERLINK("https://www.cpso.on.ca/DoctorDetails/Isabelle-Cote/0042951-56929","Cote, Isabelle")</f>
        <v>Cote, Isabelle</v>
      </c>
      <c r="B902" s="25" t="s">
        <v>9187</v>
      </c>
      <c r="C902" s="24" t="s">
        <v>801</v>
      </c>
      <c r="D902" s="24" t="s">
        <v>9188</v>
      </c>
      <c r="E902" s="24" t="s">
        <v>29</v>
      </c>
      <c r="F902" s="24" t="s">
        <v>47</v>
      </c>
      <c r="G902" s="24" t="s">
        <v>813</v>
      </c>
      <c r="H902" s="24" t="s">
        <v>9189</v>
      </c>
      <c r="I902" s="24" t="s">
        <v>9190</v>
      </c>
      <c r="J902" s="24" t="s">
        <v>9191</v>
      </c>
      <c r="K902" s="24" t="s">
        <v>9192</v>
      </c>
      <c r="L902" s="24" t="s">
        <v>184</v>
      </c>
      <c r="M902" s="15"/>
      <c r="N902" s="15"/>
      <c r="O902" s="15" t="s">
        <v>9193</v>
      </c>
      <c r="P902" s="15" t="s">
        <v>9194</v>
      </c>
      <c r="Q902" s="15" t="s">
        <v>8155</v>
      </c>
      <c r="R902" s="15" t="s">
        <v>9195</v>
      </c>
      <c r="S902" s="24" t="s">
        <v>39</v>
      </c>
      <c r="T902" s="24" t="s">
        <v>39</v>
      </c>
      <c r="U902" s="24" t="s">
        <v>39</v>
      </c>
      <c r="V902" s="24" t="s">
        <v>39</v>
      </c>
      <c r="W902" s="24" t="s">
        <v>9196</v>
      </c>
      <c r="X902" s="24" t="s">
        <v>9197</v>
      </c>
      <c r="Y902" s="15" t="s">
        <v>9198</v>
      </c>
      <c r="Z902" s="15" t="s">
        <v>9199</v>
      </c>
      <c r="AA902" s="24"/>
      <c r="AB902" s="24"/>
      <c r="AC902" s="24"/>
      <c r="AD902" s="24"/>
      <c r="AE902" s="24"/>
      <c r="AF902" s="24"/>
      <c r="AG902" s="24"/>
      <c r="AH902" s="24"/>
    </row>
    <row r="903" spans="1:34" ht="75" x14ac:dyDescent="0.25">
      <c r="A903" s="24" t="str">
        <f>HYPERLINK("https://www.cpso.on.ca/DoctorDetails/Isabelle-Martin/0251778-89163","Martin, Isabelle")</f>
        <v>Martin, Isabelle</v>
      </c>
      <c r="B903" s="25" t="s">
        <v>9200</v>
      </c>
      <c r="C903" s="24" t="s">
        <v>9201</v>
      </c>
      <c r="D903" s="24" t="s">
        <v>9202</v>
      </c>
      <c r="E903" s="24" t="s">
        <v>9203</v>
      </c>
      <c r="F903" s="24" t="s">
        <v>47</v>
      </c>
      <c r="G903" s="24" t="s">
        <v>813</v>
      </c>
      <c r="H903" s="24" t="s">
        <v>7718</v>
      </c>
      <c r="I903" s="24" t="s">
        <v>9204</v>
      </c>
      <c r="J903" s="24" t="s">
        <v>9205</v>
      </c>
      <c r="K903" s="24"/>
      <c r="L903" s="24" t="s">
        <v>65</v>
      </c>
      <c r="M903" s="15"/>
      <c r="N903" s="15"/>
      <c r="O903" s="15"/>
      <c r="P903" s="15" t="s">
        <v>682</v>
      </c>
      <c r="Q903" s="15" t="s">
        <v>9206</v>
      </c>
      <c r="R903" s="15" t="s">
        <v>9207</v>
      </c>
      <c r="S903" s="24" t="s">
        <v>71</v>
      </c>
      <c r="T903" s="24" t="s">
        <v>39</v>
      </c>
      <c r="U903" s="24" t="s">
        <v>39</v>
      </c>
      <c r="V903" s="24" t="s">
        <v>39</v>
      </c>
      <c r="W903" s="24" t="s">
        <v>9208</v>
      </c>
      <c r="X903" s="24" t="s">
        <v>9209</v>
      </c>
      <c r="Y903" s="15" t="s">
        <v>9210</v>
      </c>
      <c r="Z903" s="15" t="s">
        <v>9211</v>
      </c>
      <c r="AA903" s="24"/>
      <c r="AB903" s="24"/>
      <c r="AC903" s="24"/>
      <c r="AD903" s="24"/>
      <c r="AE903" s="24"/>
      <c r="AF903" s="24"/>
      <c r="AG903" s="24"/>
      <c r="AH903" s="24"/>
    </row>
    <row r="904" spans="1:34" ht="45" x14ac:dyDescent="0.25">
      <c r="A904" s="24" t="str">
        <f>HYPERLINK("https://www.cpso.on.ca/DoctorDetails/Itoro-Ime-Udo/0320633-114394","Udo, Itoro Ime")</f>
        <v>Udo, Itoro Ime</v>
      </c>
      <c r="B904" s="25" t="s">
        <v>9212</v>
      </c>
      <c r="C904" s="24" t="s">
        <v>9213</v>
      </c>
      <c r="D904" s="24" t="s">
        <v>9214</v>
      </c>
      <c r="E904" s="24" t="s">
        <v>29</v>
      </c>
      <c r="F904" s="24" t="s">
        <v>30</v>
      </c>
      <c r="G904" s="24" t="s">
        <v>31</v>
      </c>
      <c r="H904" s="24" t="s">
        <v>6598</v>
      </c>
      <c r="I904" s="24" t="s">
        <v>9215</v>
      </c>
      <c r="J904" s="24" t="s">
        <v>9216</v>
      </c>
      <c r="K904" s="24"/>
      <c r="L904" s="24" t="s">
        <v>135</v>
      </c>
      <c r="M904" s="15"/>
      <c r="N904" s="15" t="s">
        <v>398</v>
      </c>
      <c r="O904" s="15"/>
      <c r="P904" s="15" t="s">
        <v>9217</v>
      </c>
      <c r="Q904" s="15"/>
      <c r="R904" s="15" t="s">
        <v>9218</v>
      </c>
      <c r="S904" s="24" t="s">
        <v>71</v>
      </c>
      <c r="T904" s="24" t="s">
        <v>39</v>
      </c>
      <c r="U904" s="24" t="s">
        <v>39</v>
      </c>
      <c r="V904" s="24" t="s">
        <v>39</v>
      </c>
      <c r="W904" s="24" t="s">
        <v>9219</v>
      </c>
      <c r="X904" s="24" t="s">
        <v>209</v>
      </c>
      <c r="Y904" s="15" t="s">
        <v>9220</v>
      </c>
      <c r="Z904" s="15" t="s">
        <v>9221</v>
      </c>
      <c r="AA904" s="24"/>
      <c r="AB904" s="24"/>
      <c r="AC904" s="24"/>
      <c r="AD904" s="24"/>
      <c r="AE904" s="24"/>
      <c r="AF904" s="24"/>
      <c r="AG904" s="24"/>
      <c r="AH904" s="24"/>
    </row>
    <row r="905" spans="1:34" ht="75" x14ac:dyDescent="0.25">
      <c r="A905" s="24" t="str">
        <f>HYPERLINK("https://www.cpso.on.ca/DoctorDetails/Iva-Vukin/0266311-93630","Vukin, Iva")</f>
        <v>Vukin, Iva</v>
      </c>
      <c r="B905" s="25" t="s">
        <v>9222</v>
      </c>
      <c r="C905" s="24" t="s">
        <v>9223</v>
      </c>
      <c r="D905" s="24" t="s">
        <v>9224</v>
      </c>
      <c r="E905" s="24" t="s">
        <v>29</v>
      </c>
      <c r="F905" s="24" t="s">
        <v>47</v>
      </c>
      <c r="G905" s="24" t="s">
        <v>5942</v>
      </c>
      <c r="H905" s="24" t="s">
        <v>2645</v>
      </c>
      <c r="I905" s="24" t="s">
        <v>9225</v>
      </c>
      <c r="J905" s="24" t="s">
        <v>9226</v>
      </c>
      <c r="K905" s="24" t="s">
        <v>9227</v>
      </c>
      <c r="L905" s="24" t="s">
        <v>52</v>
      </c>
      <c r="M905" s="15"/>
      <c r="N905" s="15"/>
      <c r="O905" s="15"/>
      <c r="P905" s="15" t="s">
        <v>629</v>
      </c>
      <c r="Q905" s="15" t="s">
        <v>4824</v>
      </c>
      <c r="R905" s="15" t="s">
        <v>9228</v>
      </c>
      <c r="S905" s="24" t="s">
        <v>39</v>
      </c>
      <c r="T905" s="24" t="s">
        <v>39</v>
      </c>
      <c r="U905" s="24" t="s">
        <v>39</v>
      </c>
      <c r="V905" s="24" t="s">
        <v>39</v>
      </c>
      <c r="W905" s="24"/>
      <c r="X905" s="24"/>
      <c r="Y905" s="15"/>
      <c r="Z905" s="15"/>
      <c r="AA905" s="24"/>
      <c r="AB905" s="24"/>
      <c r="AC905" s="24"/>
      <c r="AD905" s="24"/>
      <c r="AE905" s="24"/>
      <c r="AF905" s="24"/>
      <c r="AG905" s="24"/>
      <c r="AH905" s="24"/>
    </row>
    <row r="906" spans="1:34" ht="30" x14ac:dyDescent="0.25">
      <c r="A906" s="24" t="str">
        <f>HYPERLINK("https://www.cpso.on.ca/DoctorDetails/Ivan-Lorne-Silver/0025561-30384","Silver, Ivan Lorne")</f>
        <v>Silver, Ivan Lorne</v>
      </c>
      <c r="B906" s="25" t="s">
        <v>9229</v>
      </c>
      <c r="C906" s="24" t="s">
        <v>9230</v>
      </c>
      <c r="D906" s="24" t="s">
        <v>9231</v>
      </c>
      <c r="E906" s="24" t="s">
        <v>29</v>
      </c>
      <c r="F906" s="24" t="s">
        <v>30</v>
      </c>
      <c r="G906" s="24" t="s">
        <v>31</v>
      </c>
      <c r="H906" s="24" t="s">
        <v>9232</v>
      </c>
      <c r="I906" s="24" t="s">
        <v>9233</v>
      </c>
      <c r="J906" s="24" t="s">
        <v>9234</v>
      </c>
      <c r="K906" s="24"/>
      <c r="L906" s="24" t="s">
        <v>52</v>
      </c>
      <c r="M906" s="15"/>
      <c r="N906" s="15"/>
      <c r="O906" s="15" t="s">
        <v>3557</v>
      </c>
      <c r="P906" s="15" t="s">
        <v>3299</v>
      </c>
      <c r="Q906" s="15"/>
      <c r="R906" s="15" t="s">
        <v>9235</v>
      </c>
      <c r="S906" s="24" t="s">
        <v>39</v>
      </c>
      <c r="T906" s="24" t="s">
        <v>39</v>
      </c>
      <c r="U906" s="24" t="s">
        <v>39</v>
      </c>
      <c r="V906" s="24" t="s">
        <v>39</v>
      </c>
      <c r="W906" s="24"/>
      <c r="X906" s="24"/>
      <c r="Y906" s="15"/>
      <c r="Z906" s="15"/>
      <c r="AA906" s="24"/>
      <c r="AB906" s="24"/>
      <c r="AC906" s="24"/>
      <c r="AD906" s="24"/>
      <c r="AE906" s="24"/>
      <c r="AF906" s="24"/>
      <c r="AG906" s="24"/>
      <c r="AH906" s="24"/>
    </row>
    <row r="907" spans="1:34" ht="90" x14ac:dyDescent="0.25">
      <c r="A907" s="24" t="str">
        <f>HYPERLINK("https://www.cpso.on.ca/DoctorDetails/Ivan-Poukhovski-Sheremetyev/0288840-101419","Poukhovski Sheremetyev, Ivan")</f>
        <v>Poukhovski Sheremetyev, Ivan</v>
      </c>
      <c r="B907" s="25" t="s">
        <v>9236</v>
      </c>
      <c r="C907" s="24" t="s">
        <v>199</v>
      </c>
      <c r="D907" s="24" t="s">
        <v>200</v>
      </c>
      <c r="E907" s="24" t="s">
        <v>29</v>
      </c>
      <c r="F907" s="24" t="s">
        <v>30</v>
      </c>
      <c r="G907" s="24" t="s">
        <v>31</v>
      </c>
      <c r="H907" s="24" t="s">
        <v>9237</v>
      </c>
      <c r="I907" s="24" t="s">
        <v>9238</v>
      </c>
      <c r="J907" s="24"/>
      <c r="K907" s="24"/>
      <c r="L907" s="24" t="s">
        <v>52</v>
      </c>
      <c r="M907" s="15"/>
      <c r="N907" s="15"/>
      <c r="O907" s="15"/>
      <c r="P907" s="15" t="s">
        <v>205</v>
      </c>
      <c r="Q907" s="15" t="s">
        <v>9239</v>
      </c>
      <c r="R907" s="15" t="s">
        <v>207</v>
      </c>
      <c r="S907" s="24" t="s">
        <v>39</v>
      </c>
      <c r="T907" s="24" t="s">
        <v>39</v>
      </c>
      <c r="U907" s="24" t="s">
        <v>39</v>
      </c>
      <c r="V907" s="24" t="s">
        <v>39</v>
      </c>
      <c r="W907" s="24"/>
      <c r="X907" s="24"/>
      <c r="Y907" s="15"/>
      <c r="Z907" s="15"/>
      <c r="AA907" s="24"/>
      <c r="AB907" s="24"/>
      <c r="AC907" s="24"/>
      <c r="AD907" s="24"/>
      <c r="AE907" s="24"/>
      <c r="AF907" s="24"/>
      <c r="AG907" s="24"/>
      <c r="AH907" s="24"/>
    </row>
    <row r="908" spans="1:34" ht="90" x14ac:dyDescent="0.25">
      <c r="A908" s="24" t="str">
        <f>HYPERLINK("https://www.cpso.on.ca/DoctorDetails/Ivy-HaiPing-Qian-Lee/0203442-79359","Qian Lee, Ivy Hai-Ping")</f>
        <v>Qian Lee, Ivy Hai-Ping</v>
      </c>
      <c r="B908" s="25" t="s">
        <v>9240</v>
      </c>
      <c r="C908" s="24" t="s">
        <v>871</v>
      </c>
      <c r="D908" s="24" t="s">
        <v>9241</v>
      </c>
      <c r="E908" s="24" t="s">
        <v>29</v>
      </c>
      <c r="F908" s="24" t="s">
        <v>47</v>
      </c>
      <c r="G908" s="24" t="s">
        <v>9242</v>
      </c>
      <c r="H908" s="24" t="s">
        <v>9243</v>
      </c>
      <c r="I908" s="24" t="s">
        <v>9244</v>
      </c>
      <c r="J908" s="24" t="s">
        <v>3495</v>
      </c>
      <c r="K908" s="24"/>
      <c r="L908" s="24" t="s">
        <v>36</v>
      </c>
      <c r="M908" s="15"/>
      <c r="N908" s="15"/>
      <c r="O908" s="15" t="s">
        <v>3497</v>
      </c>
      <c r="P908" s="15" t="s">
        <v>9245</v>
      </c>
      <c r="Q908" s="15" t="s">
        <v>9246</v>
      </c>
      <c r="R908" s="15" t="s">
        <v>9247</v>
      </c>
      <c r="S908" s="24" t="s">
        <v>39</v>
      </c>
      <c r="T908" s="24" t="s">
        <v>39</v>
      </c>
      <c r="U908" s="24" t="s">
        <v>39</v>
      </c>
      <c r="V908" s="24" t="s">
        <v>39</v>
      </c>
      <c r="W908" s="24" t="s">
        <v>9248</v>
      </c>
      <c r="X908" s="24" t="s">
        <v>9249</v>
      </c>
      <c r="Y908" s="15" t="s">
        <v>9250</v>
      </c>
      <c r="Z908" s="15" t="s">
        <v>9251</v>
      </c>
      <c r="AA908" s="24"/>
      <c r="AB908" s="24"/>
      <c r="AC908" s="24"/>
      <c r="AD908" s="24"/>
      <c r="AE908" s="24"/>
      <c r="AF908" s="24"/>
      <c r="AG908" s="24"/>
      <c r="AH908" s="24"/>
    </row>
    <row r="909" spans="1:34" ht="30" x14ac:dyDescent="0.25">
      <c r="A909" s="24" t="str">
        <f>HYPERLINK("https://www.cpso.on.ca/DoctorDetails/Iwona-Maria-Nowicki/0044145-58123","Nowicki, Iwona Maria")</f>
        <v>Nowicki, Iwona Maria</v>
      </c>
      <c r="B909" s="25" t="s">
        <v>9252</v>
      </c>
      <c r="C909" s="24" t="s">
        <v>3161</v>
      </c>
      <c r="D909" s="24" t="s">
        <v>5466</v>
      </c>
      <c r="E909" s="24" t="s">
        <v>29</v>
      </c>
      <c r="F909" s="24" t="s">
        <v>47</v>
      </c>
      <c r="G909" s="24" t="s">
        <v>1657</v>
      </c>
      <c r="H909" s="24" t="s">
        <v>7203</v>
      </c>
      <c r="I909" s="24" t="s">
        <v>9253</v>
      </c>
      <c r="J909" s="24" t="s">
        <v>9254</v>
      </c>
      <c r="K909" s="24" t="s">
        <v>9255</v>
      </c>
      <c r="L909" s="24" t="s">
        <v>135</v>
      </c>
      <c r="M909" s="15" t="s">
        <v>9256</v>
      </c>
      <c r="N909" s="15"/>
      <c r="O909" s="15" t="s">
        <v>3709</v>
      </c>
      <c r="P909" s="15" t="s">
        <v>3433</v>
      </c>
      <c r="Q909" s="15" t="s">
        <v>9257</v>
      </c>
      <c r="R909" s="15" t="s">
        <v>5471</v>
      </c>
      <c r="S909" s="24" t="s">
        <v>39</v>
      </c>
      <c r="T909" s="24" t="s">
        <v>39</v>
      </c>
      <c r="U909" s="24" t="s">
        <v>39</v>
      </c>
      <c r="V909" s="24" t="s">
        <v>39</v>
      </c>
      <c r="W909" s="24" t="s">
        <v>9258</v>
      </c>
      <c r="X909" s="24" t="s">
        <v>9259</v>
      </c>
      <c r="Y909" s="15" t="s">
        <v>9260</v>
      </c>
      <c r="Z909" s="15" t="s">
        <v>9261</v>
      </c>
      <c r="AA909" s="24"/>
      <c r="AB909" s="24"/>
      <c r="AC909" s="24"/>
      <c r="AD909" s="24"/>
      <c r="AE909" s="24"/>
      <c r="AF909" s="24"/>
      <c r="AG909" s="24"/>
      <c r="AH909" s="24"/>
    </row>
    <row r="910" spans="1:34" ht="90" x14ac:dyDescent="0.25">
      <c r="A910" s="24" t="str">
        <f>HYPERLINK("https://www.cpso.on.ca/DoctorDetails/Izabella-Anna-Patyk/0250461-88693","Patyk, Izabella Anna")</f>
        <v>Patyk, Izabella Anna</v>
      </c>
      <c r="B910" s="25" t="s">
        <v>9262</v>
      </c>
      <c r="C910" s="24" t="s">
        <v>3585</v>
      </c>
      <c r="D910" s="24" t="s">
        <v>443</v>
      </c>
      <c r="E910" s="24" t="s">
        <v>29</v>
      </c>
      <c r="F910" s="24" t="s">
        <v>47</v>
      </c>
      <c r="G910" s="24" t="s">
        <v>31</v>
      </c>
      <c r="H910" s="24" t="s">
        <v>9263</v>
      </c>
      <c r="I910" s="24" t="s">
        <v>9264</v>
      </c>
      <c r="J910" s="24" t="s">
        <v>9265</v>
      </c>
      <c r="K910" s="24" t="s">
        <v>6400</v>
      </c>
      <c r="L910" s="24" t="s">
        <v>52</v>
      </c>
      <c r="M910" s="15"/>
      <c r="N910" s="15"/>
      <c r="O910" s="15" t="s">
        <v>958</v>
      </c>
      <c r="P910" s="15" t="s">
        <v>449</v>
      </c>
      <c r="Q910" s="15" t="s">
        <v>9121</v>
      </c>
      <c r="R910" s="15" t="s">
        <v>3625</v>
      </c>
      <c r="S910" s="24" t="s">
        <v>39</v>
      </c>
      <c r="T910" s="24" t="s">
        <v>39</v>
      </c>
      <c r="U910" s="24" t="s">
        <v>39</v>
      </c>
      <c r="V910" s="24" t="s">
        <v>39</v>
      </c>
      <c r="W910" s="24" t="s">
        <v>9266</v>
      </c>
      <c r="X910" s="24" t="s">
        <v>9267</v>
      </c>
      <c r="Y910" s="15" t="s">
        <v>9268</v>
      </c>
      <c r="Z910" s="15" t="s">
        <v>9269</v>
      </c>
      <c r="AA910" s="24"/>
      <c r="AB910" s="24"/>
      <c r="AC910" s="24"/>
      <c r="AD910" s="24"/>
      <c r="AE910" s="24"/>
      <c r="AF910" s="24"/>
      <c r="AG910" s="24"/>
      <c r="AH910" s="24"/>
    </row>
    <row r="911" spans="1:34" ht="75" x14ac:dyDescent="0.25">
      <c r="A911" s="24" t="str">
        <f>HYPERLINK("https://www.cpso.on.ca/DoctorDetails/Izolda-Leona-Tuhan/0139256-71143","Tuhan, Izolda Leona")</f>
        <v>Tuhan, Izolda Leona</v>
      </c>
      <c r="B911" s="25" t="s">
        <v>9270</v>
      </c>
      <c r="C911" s="24" t="s">
        <v>9271</v>
      </c>
      <c r="D911" s="24" t="s">
        <v>9272</v>
      </c>
      <c r="E911" s="24" t="s">
        <v>29</v>
      </c>
      <c r="F911" s="24" t="s">
        <v>47</v>
      </c>
      <c r="G911" s="24" t="s">
        <v>907</v>
      </c>
      <c r="H911" s="24" t="s">
        <v>9273</v>
      </c>
      <c r="I911" s="24" t="s">
        <v>107</v>
      </c>
      <c r="J911" s="24"/>
      <c r="K911" s="24"/>
      <c r="L911" s="24"/>
      <c r="M911" s="15"/>
      <c r="N911" s="15"/>
      <c r="O911" s="15"/>
      <c r="P911" s="15" t="s">
        <v>1398</v>
      </c>
      <c r="Q911" s="15" t="s">
        <v>9274</v>
      </c>
      <c r="R911" s="15" t="s">
        <v>9275</v>
      </c>
      <c r="S911" s="24" t="s">
        <v>39</v>
      </c>
      <c r="T911" s="24" t="s">
        <v>39</v>
      </c>
      <c r="U911" s="24" t="s">
        <v>39</v>
      </c>
      <c r="V911" s="24" t="s">
        <v>39</v>
      </c>
      <c r="W911" s="24" t="s">
        <v>9276</v>
      </c>
      <c r="X911" s="24" t="s">
        <v>9277</v>
      </c>
      <c r="Y911" s="15"/>
      <c r="Z911" s="15"/>
      <c r="AA911" s="24"/>
      <c r="AB911" s="24"/>
      <c r="AC911" s="24"/>
      <c r="AD911" s="24"/>
      <c r="AE911" s="24"/>
      <c r="AF911" s="24"/>
      <c r="AG911" s="24"/>
      <c r="AH911" s="24"/>
    </row>
    <row r="912" spans="1:34" ht="30" x14ac:dyDescent="0.25">
      <c r="A912" s="24" t="str">
        <f>HYPERLINK("https://www.cpso.on.ca/DoctorDetails/Jaak-Tomas-Reichman/0037507-51483","Reichman, Jaak Tomas")</f>
        <v>Reichman, Jaak Tomas</v>
      </c>
      <c r="B912" s="25" t="s">
        <v>9278</v>
      </c>
      <c r="C912" s="24" t="s">
        <v>520</v>
      </c>
      <c r="D912" s="24" t="s">
        <v>9279</v>
      </c>
      <c r="E912" s="24" t="s">
        <v>29</v>
      </c>
      <c r="F912" s="24" t="s">
        <v>30</v>
      </c>
      <c r="G912" s="24" t="s">
        <v>5813</v>
      </c>
      <c r="H912" s="24" t="s">
        <v>2861</v>
      </c>
      <c r="I912" s="24" t="s">
        <v>9280</v>
      </c>
      <c r="J912" s="24" t="s">
        <v>9281</v>
      </c>
      <c r="K912" s="24" t="s">
        <v>9282</v>
      </c>
      <c r="L912" s="24" t="s">
        <v>36</v>
      </c>
      <c r="M912" s="15" t="s">
        <v>9283</v>
      </c>
      <c r="N912" s="15"/>
      <c r="O912" s="15"/>
      <c r="P912" s="15" t="s">
        <v>785</v>
      </c>
      <c r="Q912" s="15"/>
      <c r="R912" s="15" t="s">
        <v>9284</v>
      </c>
      <c r="S912" s="24" t="s">
        <v>39</v>
      </c>
      <c r="T912" s="24" t="s">
        <v>39</v>
      </c>
      <c r="U912" s="24" t="s">
        <v>39</v>
      </c>
      <c r="V912" s="24" t="s">
        <v>39</v>
      </c>
      <c r="W912" s="24"/>
      <c r="X912" s="24"/>
      <c r="Y912" s="15"/>
      <c r="Z912" s="15"/>
      <c r="AA912" s="24"/>
      <c r="AB912" s="24"/>
      <c r="AC912" s="24"/>
      <c r="AD912" s="24"/>
      <c r="AE912" s="24"/>
      <c r="AF912" s="24"/>
      <c r="AG912" s="24"/>
      <c r="AH912" s="24"/>
    </row>
    <row r="913" spans="1:34" ht="60" x14ac:dyDescent="0.25">
      <c r="A913" s="24" t="str">
        <f>HYPERLINK("https://www.cpso.on.ca/DoctorDetails/Jacinta-Sarah-Mary-OHanlon/0037328-51304","O'Hanlon, Jacinta Sarah Mary")</f>
        <v>O'Hanlon, Jacinta Sarah Mary</v>
      </c>
      <c r="B913" s="25" t="s">
        <v>9285</v>
      </c>
      <c r="C913" s="24" t="s">
        <v>826</v>
      </c>
      <c r="D913" s="24" t="s">
        <v>9286</v>
      </c>
      <c r="E913" s="24" t="s">
        <v>29</v>
      </c>
      <c r="F913" s="24" t="s">
        <v>47</v>
      </c>
      <c r="G913" s="24" t="s">
        <v>31</v>
      </c>
      <c r="H913" s="24" t="s">
        <v>9287</v>
      </c>
      <c r="I913" s="24" t="s">
        <v>9288</v>
      </c>
      <c r="J913" s="24" t="s">
        <v>9289</v>
      </c>
      <c r="K913" s="24" t="s">
        <v>9290</v>
      </c>
      <c r="L913" s="24" t="s">
        <v>52</v>
      </c>
      <c r="M913" s="15"/>
      <c r="N913" s="15"/>
      <c r="O913" s="15"/>
      <c r="P913" s="15" t="s">
        <v>9291</v>
      </c>
      <c r="Q913" s="15"/>
      <c r="R913" s="15" t="s">
        <v>9292</v>
      </c>
      <c r="S913" s="24" t="s">
        <v>39</v>
      </c>
      <c r="T913" s="24" t="s">
        <v>39</v>
      </c>
      <c r="U913" s="24" t="s">
        <v>39</v>
      </c>
      <c r="V913" s="24" t="s">
        <v>39</v>
      </c>
      <c r="W913" s="24"/>
      <c r="X913" s="24"/>
      <c r="Y913" s="15"/>
      <c r="Z913" s="15"/>
      <c r="AA913" s="24"/>
      <c r="AB913" s="24"/>
      <c r="AC913" s="24"/>
      <c r="AD913" s="24"/>
      <c r="AE913" s="24"/>
      <c r="AF913" s="24"/>
      <c r="AG913" s="24"/>
      <c r="AH913" s="24"/>
    </row>
    <row r="914" spans="1:34" ht="90" x14ac:dyDescent="0.25">
      <c r="A914" s="24" t="str">
        <f>HYPERLINK("https://www.cpso.on.ca/DoctorDetails/Jack-Barabtarlo/0028593-33416","Barabtarlo, Jack")</f>
        <v>Barabtarlo, Jack</v>
      </c>
      <c r="B914" s="25" t="s">
        <v>9293</v>
      </c>
      <c r="C914" s="24" t="s">
        <v>9294</v>
      </c>
      <c r="D914" s="24" t="s">
        <v>9295</v>
      </c>
      <c r="E914" s="24" t="s">
        <v>29</v>
      </c>
      <c r="F914" s="24" t="s">
        <v>30</v>
      </c>
      <c r="G914" s="24" t="s">
        <v>115</v>
      </c>
      <c r="H914" s="24" t="s">
        <v>9296</v>
      </c>
      <c r="I914" s="24" t="s">
        <v>9297</v>
      </c>
      <c r="J914" s="24" t="s">
        <v>9298</v>
      </c>
      <c r="K914" s="24" t="s">
        <v>9299</v>
      </c>
      <c r="L914" s="24" t="s">
        <v>36</v>
      </c>
      <c r="M914" s="15" t="s">
        <v>9300</v>
      </c>
      <c r="N914" s="15"/>
      <c r="O914" s="15"/>
      <c r="P914" s="15" t="s">
        <v>2137</v>
      </c>
      <c r="Q914" s="15" t="s">
        <v>9301</v>
      </c>
      <c r="R914" s="15" t="s">
        <v>9302</v>
      </c>
      <c r="S914" s="24" t="s">
        <v>39</v>
      </c>
      <c r="T914" s="24" t="s">
        <v>71</v>
      </c>
      <c r="U914" s="24" t="s">
        <v>39</v>
      </c>
      <c r="V914" s="24" t="s">
        <v>39</v>
      </c>
      <c r="W914" s="24"/>
      <c r="X914" s="24"/>
      <c r="Y914" s="15"/>
      <c r="Z914" s="15"/>
      <c r="AA914" s="24"/>
      <c r="AB914" s="24"/>
      <c r="AC914" s="24"/>
      <c r="AD914" s="24"/>
      <c r="AE914" s="24"/>
      <c r="AF914" s="24"/>
      <c r="AG914" s="24"/>
      <c r="AH914" s="24"/>
    </row>
    <row r="915" spans="1:34" ht="30" x14ac:dyDescent="0.25">
      <c r="A915" s="24" t="str">
        <f>HYPERLINK("https://www.cpso.on.ca/DoctorDetails/Jack-Harvey-Mark-Kohl/0037007-50983","Kohl, Jack Harvey Mark")</f>
        <v>Kohl, Jack Harvey Mark</v>
      </c>
      <c r="B915" s="25" t="s">
        <v>9303</v>
      </c>
      <c r="C915" s="24" t="s">
        <v>3746</v>
      </c>
      <c r="D915" s="24" t="s">
        <v>9304</v>
      </c>
      <c r="E915" s="24" t="s">
        <v>29</v>
      </c>
      <c r="F915" s="24" t="s">
        <v>30</v>
      </c>
      <c r="G915" s="24" t="s">
        <v>252</v>
      </c>
      <c r="H915" s="24" t="s">
        <v>3737</v>
      </c>
      <c r="I915" s="24" t="s">
        <v>9305</v>
      </c>
      <c r="J915" s="24" t="s">
        <v>9306</v>
      </c>
      <c r="K915" s="24"/>
      <c r="L915" s="24" t="s">
        <v>52</v>
      </c>
      <c r="M915" s="15"/>
      <c r="N915" s="15"/>
      <c r="O915" s="15" t="s">
        <v>219</v>
      </c>
      <c r="P915" s="15" t="s">
        <v>2250</v>
      </c>
      <c r="Q915" s="15"/>
      <c r="R915" s="15" t="s">
        <v>9307</v>
      </c>
      <c r="S915" s="24" t="s">
        <v>39</v>
      </c>
      <c r="T915" s="24" t="s">
        <v>39</v>
      </c>
      <c r="U915" s="24" t="s">
        <v>39</v>
      </c>
      <c r="V915" s="24" t="s">
        <v>39</v>
      </c>
      <c r="W915" s="24"/>
      <c r="X915" s="24"/>
      <c r="Y915" s="15"/>
      <c r="Z915" s="15"/>
      <c r="AA915" s="24"/>
      <c r="AB915" s="24"/>
      <c r="AC915" s="24"/>
      <c r="AD915" s="24"/>
      <c r="AE915" s="24"/>
      <c r="AF915" s="24"/>
      <c r="AG915" s="24"/>
      <c r="AH915" s="24"/>
    </row>
    <row r="916" spans="1:34" ht="75" x14ac:dyDescent="0.25">
      <c r="A916" s="24" t="str">
        <f>HYPERLINK("https://www.cpso.on.ca/DoctorDetails/Jack-Klein/0038577-52553","Klein, Jack")</f>
        <v>Klein, Jack</v>
      </c>
      <c r="B916" s="25" t="s">
        <v>9308</v>
      </c>
      <c r="C916" s="24" t="s">
        <v>3561</v>
      </c>
      <c r="D916" s="24" t="s">
        <v>9309</v>
      </c>
      <c r="E916" s="24" t="s">
        <v>29</v>
      </c>
      <c r="F916" s="24" t="s">
        <v>30</v>
      </c>
      <c r="G916" s="24" t="s">
        <v>31</v>
      </c>
      <c r="H916" s="24" t="s">
        <v>3563</v>
      </c>
      <c r="I916" s="24" t="s">
        <v>9310</v>
      </c>
      <c r="J916" s="24" t="s">
        <v>9311</v>
      </c>
      <c r="K916" s="24" t="s">
        <v>9312</v>
      </c>
      <c r="L916" s="24" t="s">
        <v>84</v>
      </c>
      <c r="M916" s="15"/>
      <c r="N916" s="15"/>
      <c r="O916" s="15"/>
      <c r="P916" s="15" t="s">
        <v>2416</v>
      </c>
      <c r="Q916" s="15" t="s">
        <v>9313</v>
      </c>
      <c r="R916" s="15" t="s">
        <v>9314</v>
      </c>
      <c r="S916" s="24" t="s">
        <v>39</v>
      </c>
      <c r="T916" s="24" t="s">
        <v>39</v>
      </c>
      <c r="U916" s="24" t="s">
        <v>39</v>
      </c>
      <c r="V916" s="24" t="s">
        <v>39</v>
      </c>
      <c r="W916" s="24"/>
      <c r="X916" s="24"/>
      <c r="Y916" s="15"/>
      <c r="Z916" s="15"/>
      <c r="AA916" s="24"/>
      <c r="AB916" s="24"/>
      <c r="AC916" s="24"/>
      <c r="AD916" s="24"/>
      <c r="AE916" s="24"/>
      <c r="AF916" s="24"/>
      <c r="AG916" s="24"/>
      <c r="AH916" s="24"/>
    </row>
    <row r="917" spans="1:34" ht="30" x14ac:dyDescent="0.25">
      <c r="A917" s="24" t="str">
        <f>HYPERLINK("https://www.cpso.on.ca/DoctorDetails/Jack-Mackenzie-Ellis/0028637-33460","Ellis, Jack Mackenzie")</f>
        <v>Ellis, Jack Mackenzie</v>
      </c>
      <c r="B917" s="25" t="s">
        <v>9315</v>
      </c>
      <c r="C917" s="24" t="s">
        <v>9316</v>
      </c>
      <c r="D917" s="24" t="s">
        <v>9317</v>
      </c>
      <c r="E917" s="24" t="s">
        <v>29</v>
      </c>
      <c r="F917" s="24" t="s">
        <v>30</v>
      </c>
      <c r="G917" s="24" t="s">
        <v>31</v>
      </c>
      <c r="H917" s="24" t="s">
        <v>9318</v>
      </c>
      <c r="I917" s="24" t="s">
        <v>9319</v>
      </c>
      <c r="J917" s="24" t="s">
        <v>9320</v>
      </c>
      <c r="K917" s="24" t="s">
        <v>9321</v>
      </c>
      <c r="L917" s="24" t="s">
        <v>36</v>
      </c>
      <c r="M917" s="15"/>
      <c r="N917" s="15"/>
      <c r="O917" s="15"/>
      <c r="P917" s="15" t="s">
        <v>3433</v>
      </c>
      <c r="Q917" s="15" t="s">
        <v>9322</v>
      </c>
      <c r="R917" s="15" t="s">
        <v>9323</v>
      </c>
      <c r="S917" s="24" t="s">
        <v>39</v>
      </c>
      <c r="T917" s="24" t="s">
        <v>39</v>
      </c>
      <c r="U917" s="24" t="s">
        <v>39</v>
      </c>
      <c r="V917" s="24" t="s">
        <v>39</v>
      </c>
      <c r="W917" s="24"/>
      <c r="X917" s="24"/>
      <c r="Y917" s="15"/>
      <c r="Z917" s="15"/>
      <c r="AA917" s="24"/>
      <c r="AB917" s="24"/>
      <c r="AC917" s="24"/>
      <c r="AD917" s="24"/>
      <c r="AE917" s="24"/>
      <c r="AF917" s="24"/>
      <c r="AG917" s="24"/>
      <c r="AH917" s="24"/>
    </row>
    <row r="918" spans="1:34" x14ac:dyDescent="0.25">
      <c r="A918" s="24" t="str">
        <f>HYPERLINK("https://www.cpso.on.ca/DoctorDetails/Jack-Solomon-Brandes/0016740-21525","Brandes, Jack Solomon")</f>
        <v>Brandes, Jack Solomon</v>
      </c>
      <c r="B918" s="25" t="s">
        <v>9324</v>
      </c>
      <c r="C918" s="24" t="s">
        <v>9325</v>
      </c>
      <c r="D918" s="24" t="s">
        <v>9326</v>
      </c>
      <c r="E918" s="24" t="s">
        <v>29</v>
      </c>
      <c r="F918" s="24" t="s">
        <v>30</v>
      </c>
      <c r="G918" s="24" t="s">
        <v>252</v>
      </c>
      <c r="H918" s="24" t="s">
        <v>9327</v>
      </c>
      <c r="I918" s="24" t="s">
        <v>9328</v>
      </c>
      <c r="J918" s="24" t="s">
        <v>9329</v>
      </c>
      <c r="K918" s="24" t="s">
        <v>9330</v>
      </c>
      <c r="L918" s="24" t="s">
        <v>52</v>
      </c>
      <c r="M918" s="15"/>
      <c r="N918" s="15"/>
      <c r="O918" s="15"/>
      <c r="P918" s="15" t="s">
        <v>5539</v>
      </c>
      <c r="Q918" s="15"/>
      <c r="R918" s="15" t="s">
        <v>9331</v>
      </c>
      <c r="S918" s="24" t="s">
        <v>39</v>
      </c>
      <c r="T918" s="24" t="s">
        <v>39</v>
      </c>
      <c r="U918" s="24" t="s">
        <v>39</v>
      </c>
      <c r="V918" s="24" t="s">
        <v>39</v>
      </c>
      <c r="W918" s="24" t="s">
        <v>9332</v>
      </c>
      <c r="X918" s="24" t="s">
        <v>9333</v>
      </c>
      <c r="Y918" s="15" t="s">
        <v>9334</v>
      </c>
      <c r="Z918" s="15" t="s">
        <v>9335</v>
      </c>
      <c r="AA918" s="24"/>
      <c r="AB918" s="24"/>
      <c r="AC918" s="24"/>
      <c r="AD918" s="24"/>
      <c r="AE918" s="24"/>
      <c r="AF918" s="24"/>
      <c r="AG918" s="24"/>
      <c r="AH918" s="24"/>
    </row>
    <row r="919" spans="1:34" x14ac:dyDescent="0.25">
      <c r="A919" s="24" t="str">
        <f>HYPERLINK("https://www.cpso.on.ca/DoctorDetails/Jack-Waserman/0039684-53660","Waserman, Jack")</f>
        <v>Waserman, Jack</v>
      </c>
      <c r="B919" s="25" t="s">
        <v>9336</v>
      </c>
      <c r="C919" s="24" t="s">
        <v>9337</v>
      </c>
      <c r="D919" s="24" t="s">
        <v>9338</v>
      </c>
      <c r="E919" s="24" t="s">
        <v>29</v>
      </c>
      <c r="F919" s="24" t="s">
        <v>30</v>
      </c>
      <c r="G919" s="24" t="s">
        <v>31</v>
      </c>
      <c r="H919" s="24" t="s">
        <v>2455</v>
      </c>
      <c r="I919" s="24" t="s">
        <v>9339</v>
      </c>
      <c r="J919" s="24" t="s">
        <v>9340</v>
      </c>
      <c r="K919" s="24" t="s">
        <v>9341</v>
      </c>
      <c r="L919" s="24" t="s">
        <v>52</v>
      </c>
      <c r="M919" s="15"/>
      <c r="N919" s="15"/>
      <c r="O919" s="15" t="s">
        <v>1784</v>
      </c>
      <c r="P919" s="15" t="s">
        <v>4936</v>
      </c>
      <c r="Q919" s="15"/>
      <c r="R919" s="15" t="s">
        <v>9342</v>
      </c>
      <c r="S919" s="24" t="s">
        <v>39</v>
      </c>
      <c r="T919" s="24" t="s">
        <v>39</v>
      </c>
      <c r="U919" s="24" t="s">
        <v>39</v>
      </c>
      <c r="V919" s="24" t="s">
        <v>39</v>
      </c>
      <c r="W919" s="24"/>
      <c r="X919" s="24"/>
      <c r="Y919" s="15"/>
      <c r="Z919" s="15"/>
      <c r="AA919" s="24"/>
      <c r="AB919" s="24"/>
      <c r="AC919" s="24"/>
      <c r="AD919" s="24"/>
      <c r="AE919" s="24"/>
      <c r="AF919" s="24"/>
      <c r="AG919" s="24"/>
      <c r="AH919" s="24"/>
    </row>
    <row r="920" spans="1:34" ht="45" x14ac:dyDescent="0.25">
      <c r="A920" s="24" t="str">
        <f>HYPERLINK("https://www.cpso.on.ca/DoctorDetails/Jacob-Abraham-Schrey-Vorstman/0321615-113948","Vorstman, Jacob Abraham Schrey")</f>
        <v>Vorstman, Jacob Abraham Schrey</v>
      </c>
      <c r="B920" s="25" t="s">
        <v>9343</v>
      </c>
      <c r="C920" s="24" t="s">
        <v>6095</v>
      </c>
      <c r="D920" s="24" t="s">
        <v>9344</v>
      </c>
      <c r="E920" s="24" t="s">
        <v>29</v>
      </c>
      <c r="F920" s="24" t="s">
        <v>30</v>
      </c>
      <c r="G920" s="24" t="s">
        <v>9345</v>
      </c>
      <c r="H920" s="24" t="s">
        <v>9346</v>
      </c>
      <c r="I920" s="24" t="s">
        <v>4235</v>
      </c>
      <c r="J920" s="24" t="s">
        <v>9347</v>
      </c>
      <c r="K920" s="24"/>
      <c r="L920" s="24" t="s">
        <v>52</v>
      </c>
      <c r="M920" s="15"/>
      <c r="N920" s="15" t="s">
        <v>9348</v>
      </c>
      <c r="O920" s="15"/>
      <c r="P920" s="15" t="s">
        <v>9349</v>
      </c>
      <c r="Q920" s="15"/>
      <c r="R920" s="15" t="s">
        <v>9350</v>
      </c>
      <c r="S920" s="24" t="s">
        <v>71</v>
      </c>
      <c r="T920" s="24" t="s">
        <v>39</v>
      </c>
      <c r="U920" s="24" t="s">
        <v>39</v>
      </c>
      <c r="V920" s="24" t="s">
        <v>39</v>
      </c>
      <c r="W920" s="24"/>
      <c r="X920" s="24"/>
      <c r="Y920" s="15"/>
      <c r="Z920" s="15"/>
      <c r="AA920" s="24"/>
      <c r="AB920" s="24"/>
      <c r="AC920" s="24"/>
      <c r="AD920" s="24"/>
      <c r="AE920" s="24"/>
      <c r="AF920" s="24"/>
      <c r="AG920" s="24"/>
      <c r="AH920" s="24"/>
    </row>
    <row r="921" spans="1:34" ht="30" x14ac:dyDescent="0.25">
      <c r="A921" s="24" t="str">
        <f>HYPERLINK("https://www.cpso.on.ca/DoctorDetails/Jacqueline-Eva-Masson/0037073-51049","Masson, Jacqueline Eva")</f>
        <v>Masson, Jacqueline Eva</v>
      </c>
      <c r="B921" s="25" t="s">
        <v>9351</v>
      </c>
      <c r="C921" s="24" t="s">
        <v>9352</v>
      </c>
      <c r="D921" s="24" t="s">
        <v>9353</v>
      </c>
      <c r="E921" s="24" t="s">
        <v>29</v>
      </c>
      <c r="F921" s="24" t="s">
        <v>47</v>
      </c>
      <c r="G921" s="24" t="s">
        <v>31</v>
      </c>
      <c r="H921" s="24" t="s">
        <v>1417</v>
      </c>
      <c r="I921" s="24" t="s">
        <v>9354</v>
      </c>
      <c r="J921" s="24" t="s">
        <v>9355</v>
      </c>
      <c r="K921" s="24"/>
      <c r="L921" s="24" t="s">
        <v>52</v>
      </c>
      <c r="M921" s="15" t="s">
        <v>9356</v>
      </c>
      <c r="N921" s="15"/>
      <c r="O921" s="15"/>
      <c r="P921" s="15" t="s">
        <v>3194</v>
      </c>
      <c r="Q921" s="15"/>
      <c r="R921" s="15" t="s">
        <v>9357</v>
      </c>
      <c r="S921" s="24" t="s">
        <v>39</v>
      </c>
      <c r="T921" s="24" t="s">
        <v>39</v>
      </c>
      <c r="U921" s="24" t="s">
        <v>39</v>
      </c>
      <c r="V921" s="24" t="s">
        <v>39</v>
      </c>
      <c r="W921" s="24" t="s">
        <v>9358</v>
      </c>
      <c r="X921" s="24" t="s">
        <v>9359</v>
      </c>
      <c r="Y921" s="15" t="s">
        <v>9360</v>
      </c>
      <c r="Z921" s="15" t="s">
        <v>9361</v>
      </c>
      <c r="AA921" s="24"/>
      <c r="AB921" s="24"/>
      <c r="AC921" s="24"/>
      <c r="AD921" s="24"/>
      <c r="AE921" s="24"/>
      <c r="AF921" s="24"/>
      <c r="AG921" s="24"/>
      <c r="AH921" s="24"/>
    </row>
    <row r="922" spans="1:34" ht="120" x14ac:dyDescent="0.25">
      <c r="A922" s="24" t="str">
        <f>HYPERLINK("https://www.cpso.on.ca/DoctorDetails/Jacqueline-Irene-Malcolm/0043239-57217","Malcolm, Jacqueline Irene")</f>
        <v>Malcolm, Jacqueline Irene</v>
      </c>
      <c r="B922" s="25" t="s">
        <v>9362</v>
      </c>
      <c r="C922" s="24" t="s">
        <v>801</v>
      </c>
      <c r="D922" s="24" t="s">
        <v>5625</v>
      </c>
      <c r="E922" s="24" t="s">
        <v>29</v>
      </c>
      <c r="F922" s="24" t="s">
        <v>47</v>
      </c>
      <c r="G922" s="24" t="s">
        <v>31</v>
      </c>
      <c r="H922" s="24" t="s">
        <v>9363</v>
      </c>
      <c r="I922" s="24" t="s">
        <v>5350</v>
      </c>
      <c r="J922" s="24" t="s">
        <v>5351</v>
      </c>
      <c r="K922" s="24"/>
      <c r="L922" s="24" t="s">
        <v>52</v>
      </c>
      <c r="M922" s="15"/>
      <c r="N922" s="15"/>
      <c r="O922" s="15"/>
      <c r="P922" s="15" t="s">
        <v>1007</v>
      </c>
      <c r="Q922" s="15" t="s">
        <v>9364</v>
      </c>
      <c r="R922" s="15" t="s">
        <v>9365</v>
      </c>
      <c r="S922" s="24" t="s">
        <v>39</v>
      </c>
      <c r="T922" s="24" t="s">
        <v>39</v>
      </c>
      <c r="U922" s="24" t="s">
        <v>39</v>
      </c>
      <c r="V922" s="24" t="s">
        <v>39</v>
      </c>
      <c r="W922" s="24"/>
      <c r="X922" s="24"/>
      <c r="Y922" s="15"/>
      <c r="Z922" s="15"/>
      <c r="AA922" s="24"/>
      <c r="AB922" s="24"/>
      <c r="AC922" s="24"/>
      <c r="AD922" s="24"/>
      <c r="AE922" s="24"/>
      <c r="AF922" s="24"/>
      <c r="AG922" s="24"/>
      <c r="AH922" s="24"/>
    </row>
    <row r="923" spans="1:34" ht="120" x14ac:dyDescent="0.25">
      <c r="A923" s="24" t="str">
        <f>HYPERLINK("https://www.cpso.on.ca/DoctorDetails/Jacqueline-Leah-Holiff/0273192-95704","Holiff, Jacqueline Leah")</f>
        <v>Holiff, Jacqueline Leah</v>
      </c>
      <c r="B923" s="25" t="s">
        <v>9366</v>
      </c>
      <c r="C923" s="24" t="s">
        <v>1266</v>
      </c>
      <c r="D923" s="24" t="s">
        <v>9367</v>
      </c>
      <c r="E923" s="24" t="s">
        <v>29</v>
      </c>
      <c r="F923" s="24" t="s">
        <v>47</v>
      </c>
      <c r="G923" s="24" t="s">
        <v>31</v>
      </c>
      <c r="H923" s="24" t="s">
        <v>4461</v>
      </c>
      <c r="I923" s="24" t="s">
        <v>9368</v>
      </c>
      <c r="J923" s="24" t="s">
        <v>9369</v>
      </c>
      <c r="K923" s="24"/>
      <c r="L923" s="24" t="s">
        <v>52</v>
      </c>
      <c r="M923" s="15"/>
      <c r="N923" s="15"/>
      <c r="O923" s="15"/>
      <c r="P923" s="15" t="s">
        <v>550</v>
      </c>
      <c r="Q923" s="15" t="s">
        <v>9370</v>
      </c>
      <c r="R923" s="15" t="s">
        <v>9371</v>
      </c>
      <c r="S923" s="24" t="s">
        <v>39</v>
      </c>
      <c r="T923" s="24" t="s">
        <v>39</v>
      </c>
      <c r="U923" s="24" t="s">
        <v>39</v>
      </c>
      <c r="V923" s="24" t="s">
        <v>39</v>
      </c>
      <c r="W923" s="24"/>
      <c r="X923" s="24"/>
      <c r="Y923" s="15"/>
      <c r="Z923" s="15"/>
      <c r="AA923" s="24"/>
      <c r="AB923" s="24"/>
      <c r="AC923" s="24"/>
      <c r="AD923" s="24"/>
      <c r="AE923" s="24"/>
      <c r="AF923" s="24"/>
      <c r="AG923" s="24"/>
      <c r="AH923" s="24"/>
    </row>
    <row r="924" spans="1:34" ht="60" x14ac:dyDescent="0.25">
      <c r="A924" s="24" t="str">
        <f>HYPERLINK("https://www.cpso.on.ca/DoctorDetails/Jacqueline-Mary-De-Lourdes-Duncan/0047676-61654","Duncan, Jacqueline Mary De Lourdes")</f>
        <v>Duncan, Jacqueline Mary De Lourdes</v>
      </c>
      <c r="B924" s="25" t="s">
        <v>9372</v>
      </c>
      <c r="C924" s="24" t="s">
        <v>9373</v>
      </c>
      <c r="D924" s="24" t="s">
        <v>9374</v>
      </c>
      <c r="E924" s="24" t="s">
        <v>29</v>
      </c>
      <c r="F924" s="24" t="s">
        <v>47</v>
      </c>
      <c r="G924" s="24" t="s">
        <v>31</v>
      </c>
      <c r="H924" s="24" t="s">
        <v>9375</v>
      </c>
      <c r="I924" s="24" t="s">
        <v>9376</v>
      </c>
      <c r="J924" s="24" t="s">
        <v>9377</v>
      </c>
      <c r="K924" s="24" t="s">
        <v>9378</v>
      </c>
      <c r="L924" s="24" t="s">
        <v>36</v>
      </c>
      <c r="M924" s="15"/>
      <c r="N924" s="15"/>
      <c r="O924" s="15" t="s">
        <v>1760</v>
      </c>
      <c r="P924" s="15" t="s">
        <v>6227</v>
      </c>
      <c r="Q924" s="15"/>
      <c r="R924" s="15" t="s">
        <v>9379</v>
      </c>
      <c r="S924" s="24" t="s">
        <v>39</v>
      </c>
      <c r="T924" s="24" t="s">
        <v>39</v>
      </c>
      <c r="U924" s="24" t="s">
        <v>39</v>
      </c>
      <c r="V924" s="24" t="s">
        <v>39</v>
      </c>
      <c r="W924" s="24" t="s">
        <v>9380</v>
      </c>
      <c r="X924" s="24" t="s">
        <v>9381</v>
      </c>
      <c r="Y924" s="15" t="s">
        <v>9382</v>
      </c>
      <c r="Z924" s="15" t="s">
        <v>9383</v>
      </c>
      <c r="AA924" s="24"/>
      <c r="AB924" s="24"/>
      <c r="AC924" s="24"/>
      <c r="AD924" s="24"/>
      <c r="AE924" s="24"/>
      <c r="AF924" s="24"/>
      <c r="AG924" s="24"/>
      <c r="AH924" s="24"/>
    </row>
    <row r="925" spans="1:34" x14ac:dyDescent="0.25">
      <c r="A925" s="24" t="str">
        <f>HYPERLINK("https://www.cpso.on.ca/DoctorDetails/Jacqueline-Rachel-Weiss/0300426-105671","Weiss, Jacqueline Rachel")</f>
        <v>Weiss, Jacqueline Rachel</v>
      </c>
      <c r="B925" s="25" t="s">
        <v>9384</v>
      </c>
      <c r="C925" s="24" t="s">
        <v>9385</v>
      </c>
      <c r="D925" s="24" t="s">
        <v>9386</v>
      </c>
      <c r="E925" s="24" t="s">
        <v>29</v>
      </c>
      <c r="F925" s="24" t="s">
        <v>47</v>
      </c>
      <c r="G925" s="24" t="s">
        <v>31</v>
      </c>
      <c r="H925" s="24" t="s">
        <v>1417</v>
      </c>
      <c r="I925" s="24" t="s">
        <v>6242</v>
      </c>
      <c r="J925" s="24" t="s">
        <v>9387</v>
      </c>
      <c r="K925" s="24" t="s">
        <v>9388</v>
      </c>
      <c r="L925" s="24" t="s">
        <v>52</v>
      </c>
      <c r="M925" s="15"/>
      <c r="N925" s="15"/>
      <c r="O925" s="15"/>
      <c r="P925" s="15" t="s">
        <v>2416</v>
      </c>
      <c r="Q925" s="15"/>
      <c r="R925" s="15" t="s">
        <v>9389</v>
      </c>
      <c r="S925" s="24" t="s">
        <v>39</v>
      </c>
      <c r="T925" s="24" t="s">
        <v>39</v>
      </c>
      <c r="U925" s="24" t="s">
        <v>39</v>
      </c>
      <c r="V925" s="24" t="s">
        <v>39</v>
      </c>
      <c r="W925" s="24"/>
      <c r="X925" s="24"/>
      <c r="Y925" s="15"/>
      <c r="Z925" s="15"/>
      <c r="AA925" s="24"/>
      <c r="AB925" s="24"/>
      <c r="AC925" s="24"/>
      <c r="AD925" s="24"/>
      <c r="AE925" s="24"/>
      <c r="AF925" s="24"/>
      <c r="AG925" s="24"/>
      <c r="AH925" s="24"/>
    </row>
    <row r="926" spans="1:34" ht="135" x14ac:dyDescent="0.25">
      <c r="A926" s="24" t="str">
        <f>HYPERLINK("https://www.cpso.on.ca/DoctorDetails/Jacqueline-Sarah-Kosta/0288986-100243","Kosta, Jacqueline Sarah")</f>
        <v>Kosta, Jacqueline Sarah</v>
      </c>
      <c r="B926" s="25" t="s">
        <v>9390</v>
      </c>
      <c r="C926" s="24" t="s">
        <v>9391</v>
      </c>
      <c r="D926" s="24" t="s">
        <v>9392</v>
      </c>
      <c r="E926" s="24" t="s">
        <v>29</v>
      </c>
      <c r="F926" s="24" t="s">
        <v>47</v>
      </c>
      <c r="G926" s="24" t="s">
        <v>31</v>
      </c>
      <c r="H926" s="24" t="s">
        <v>1893</v>
      </c>
      <c r="I926" s="24" t="s">
        <v>9393</v>
      </c>
      <c r="J926" s="24" t="s">
        <v>9394</v>
      </c>
      <c r="K926" s="24"/>
      <c r="L926" s="24" t="s">
        <v>52</v>
      </c>
      <c r="M926" s="15"/>
      <c r="N926" s="15"/>
      <c r="O926" s="15"/>
      <c r="P926" s="15" t="s">
        <v>9395</v>
      </c>
      <c r="Q926" s="15" t="s">
        <v>9396</v>
      </c>
      <c r="R926" s="15" t="s">
        <v>9397</v>
      </c>
      <c r="S926" s="24" t="s">
        <v>39</v>
      </c>
      <c r="T926" s="24" t="s">
        <v>39</v>
      </c>
      <c r="U926" s="24" t="s">
        <v>39</v>
      </c>
      <c r="V926" s="24" t="s">
        <v>39</v>
      </c>
      <c r="W926" s="24"/>
      <c r="X926" s="24"/>
      <c r="Y926" s="15"/>
      <c r="Z926" s="15"/>
      <c r="AA926" s="24"/>
      <c r="AB926" s="24"/>
      <c r="AC926" s="24"/>
      <c r="AD926" s="24"/>
      <c r="AE926" s="24"/>
      <c r="AF926" s="24"/>
      <c r="AG926" s="24"/>
      <c r="AH926" s="24"/>
    </row>
    <row r="927" spans="1:34" ht="75" x14ac:dyDescent="0.25">
      <c r="A927" s="24" t="str">
        <f>HYPERLINK("https://www.cpso.on.ca/DoctorDetails/Jacqueline-Yi-Ming-Sze/0233792-84711","Sze, Jacqueline Yi Ming")</f>
        <v>Sze, Jacqueline Yi Ming</v>
      </c>
      <c r="B927" s="25" t="s">
        <v>9398</v>
      </c>
      <c r="C927" s="24" t="s">
        <v>647</v>
      </c>
      <c r="D927" s="24" t="s">
        <v>648</v>
      </c>
      <c r="E927" s="24" t="s">
        <v>29</v>
      </c>
      <c r="F927" s="24" t="s">
        <v>47</v>
      </c>
      <c r="G927" s="24" t="s">
        <v>31</v>
      </c>
      <c r="H927" s="24" t="s">
        <v>649</v>
      </c>
      <c r="I927" s="24" t="s">
        <v>8700</v>
      </c>
      <c r="J927" s="24" t="s">
        <v>2303</v>
      </c>
      <c r="K927" s="24" t="s">
        <v>8701</v>
      </c>
      <c r="L927" s="24" t="s">
        <v>52</v>
      </c>
      <c r="M927" s="15"/>
      <c r="N927" s="15"/>
      <c r="O927" s="15" t="s">
        <v>5761</v>
      </c>
      <c r="P927" s="15" t="s">
        <v>654</v>
      </c>
      <c r="Q927" s="15" t="s">
        <v>9399</v>
      </c>
      <c r="R927" s="15" t="s">
        <v>656</v>
      </c>
      <c r="S927" s="24" t="s">
        <v>39</v>
      </c>
      <c r="T927" s="24" t="s">
        <v>39</v>
      </c>
      <c r="U927" s="24" t="s">
        <v>39</v>
      </c>
      <c r="V927" s="24" t="s">
        <v>39</v>
      </c>
      <c r="W927" s="24" t="s">
        <v>9400</v>
      </c>
      <c r="X927" s="24" t="s">
        <v>9401</v>
      </c>
      <c r="Y927" s="15" t="s">
        <v>9402</v>
      </c>
      <c r="Z927" s="15" t="s">
        <v>9403</v>
      </c>
      <c r="AA927" s="24"/>
      <c r="AB927" s="24"/>
      <c r="AC927" s="24"/>
      <c r="AD927" s="24"/>
      <c r="AE927" s="24"/>
      <c r="AF927" s="24"/>
      <c r="AG927" s="24"/>
      <c r="AH927" s="24"/>
    </row>
    <row r="928" spans="1:34" ht="120" x14ac:dyDescent="0.25">
      <c r="A928" s="24" t="str">
        <f>HYPERLINK("https://www.cpso.on.ca/DoctorDetails/Jacquelyn-Alexandra-Barron/0233702-84627","Barron, Jacquelyn Alexandra")</f>
        <v>Barron, Jacquelyn Alexandra</v>
      </c>
      <c r="B928" s="25" t="s">
        <v>9404</v>
      </c>
      <c r="C928" s="24" t="s">
        <v>9405</v>
      </c>
      <c r="D928" s="24" t="s">
        <v>8721</v>
      </c>
      <c r="E928" s="24" t="s">
        <v>29</v>
      </c>
      <c r="F928" s="24" t="s">
        <v>47</v>
      </c>
      <c r="G928" s="24" t="s">
        <v>31</v>
      </c>
      <c r="H928" s="24" t="s">
        <v>649</v>
      </c>
      <c r="I928" s="24" t="s">
        <v>9406</v>
      </c>
      <c r="J928" s="24" t="s">
        <v>9407</v>
      </c>
      <c r="K928" s="24" t="s">
        <v>1190</v>
      </c>
      <c r="L928" s="24" t="s">
        <v>52</v>
      </c>
      <c r="M928" s="15"/>
      <c r="N928" s="15"/>
      <c r="O928" s="15" t="s">
        <v>1191</v>
      </c>
      <c r="P928" s="15" t="s">
        <v>9408</v>
      </c>
      <c r="Q928" s="15" t="s">
        <v>9409</v>
      </c>
      <c r="R928" s="15" t="s">
        <v>9410</v>
      </c>
      <c r="S928" s="24" t="s">
        <v>39</v>
      </c>
      <c r="T928" s="24" t="s">
        <v>39</v>
      </c>
      <c r="U928" s="24" t="s">
        <v>39</v>
      </c>
      <c r="V928" s="24" t="s">
        <v>39</v>
      </c>
      <c r="W928" s="24"/>
      <c r="X928" s="24"/>
      <c r="Y928" s="15"/>
      <c r="Z928" s="15"/>
      <c r="AA928" s="24"/>
      <c r="AB928" s="24"/>
      <c r="AC928" s="24"/>
      <c r="AD928" s="24"/>
      <c r="AE928" s="24"/>
      <c r="AF928" s="24"/>
      <c r="AG928" s="24"/>
      <c r="AH928" s="24"/>
    </row>
    <row r="929" spans="1:34" x14ac:dyDescent="0.25">
      <c r="A929" s="24" t="str">
        <f>HYPERLINK("https://www.cpso.on.ca/DoctorDetails/Jacques-Bradwejn/0056930-68519","Bradwejn, Jacques")</f>
        <v>Bradwejn, Jacques</v>
      </c>
      <c r="B929" s="25" t="s">
        <v>9411</v>
      </c>
      <c r="C929" s="24" t="s">
        <v>9412</v>
      </c>
      <c r="D929" s="24" t="s">
        <v>9413</v>
      </c>
      <c r="E929" s="24" t="s">
        <v>29</v>
      </c>
      <c r="F929" s="24" t="s">
        <v>30</v>
      </c>
      <c r="G929" s="24" t="s">
        <v>813</v>
      </c>
      <c r="H929" s="24" t="s">
        <v>9414</v>
      </c>
      <c r="I929" s="24" t="s">
        <v>742</v>
      </c>
      <c r="J929" s="24" t="s">
        <v>992</v>
      </c>
      <c r="K929" s="24"/>
      <c r="L929" s="24" t="s">
        <v>84</v>
      </c>
      <c r="M929" s="15"/>
      <c r="N929" s="15" t="s">
        <v>710</v>
      </c>
      <c r="O929" s="15" t="s">
        <v>498</v>
      </c>
      <c r="P929" s="15" t="s">
        <v>8291</v>
      </c>
      <c r="Q929" s="15"/>
      <c r="R929" s="15" t="s">
        <v>9415</v>
      </c>
      <c r="S929" s="24" t="s">
        <v>39</v>
      </c>
      <c r="T929" s="24" t="s">
        <v>39</v>
      </c>
      <c r="U929" s="24" t="s">
        <v>39</v>
      </c>
      <c r="V929" s="24" t="s">
        <v>39</v>
      </c>
      <c r="W929" s="24"/>
      <c r="X929" s="24"/>
      <c r="Y929" s="15"/>
      <c r="Z929" s="15"/>
      <c r="AA929" s="24"/>
      <c r="AB929" s="24"/>
      <c r="AC929" s="24"/>
      <c r="AD929" s="24"/>
      <c r="AE929" s="24"/>
      <c r="AF929" s="24"/>
      <c r="AG929" s="24"/>
      <c r="AH929" s="24"/>
    </row>
    <row r="930" spans="1:34" x14ac:dyDescent="0.25">
      <c r="A930" s="24" t="str">
        <f>HYPERLINK("https://www.cpso.on.ca/DoctorDetails/Jacques-Buteau/0052016-65995","Buteau, Jacques")</f>
        <v>Buteau, Jacques</v>
      </c>
      <c r="B930" s="25" t="s">
        <v>9416</v>
      </c>
      <c r="C930" s="24" t="s">
        <v>9417</v>
      </c>
      <c r="D930" s="24" t="s">
        <v>9418</v>
      </c>
      <c r="E930" s="24" t="s">
        <v>29</v>
      </c>
      <c r="F930" s="24" t="s">
        <v>30</v>
      </c>
      <c r="G930" s="24" t="s">
        <v>813</v>
      </c>
      <c r="H930" s="24" t="s">
        <v>9419</v>
      </c>
      <c r="I930" s="24" t="s">
        <v>9420</v>
      </c>
      <c r="J930" s="24" t="s">
        <v>9421</v>
      </c>
      <c r="K930" s="24" t="s">
        <v>3781</v>
      </c>
      <c r="L930" s="24" t="s">
        <v>84</v>
      </c>
      <c r="M930" s="15"/>
      <c r="N930" s="15"/>
      <c r="O930" s="15"/>
      <c r="P930" s="15" t="s">
        <v>1723</v>
      </c>
      <c r="Q930" s="15" t="s">
        <v>9422</v>
      </c>
      <c r="R930" s="15" t="s">
        <v>9423</v>
      </c>
      <c r="S930" s="24" t="s">
        <v>39</v>
      </c>
      <c r="T930" s="24" t="s">
        <v>39</v>
      </c>
      <c r="U930" s="24" t="s">
        <v>39</v>
      </c>
      <c r="V930" s="24" t="s">
        <v>39</v>
      </c>
      <c r="W930" s="24" t="s">
        <v>3783</v>
      </c>
      <c r="X930" s="24" t="s">
        <v>3784</v>
      </c>
      <c r="Y930" s="15" t="s">
        <v>3785</v>
      </c>
      <c r="Z930" s="15" t="s">
        <v>3786</v>
      </c>
      <c r="AA930" s="24"/>
      <c r="AB930" s="24"/>
      <c r="AC930" s="24"/>
      <c r="AD930" s="24"/>
      <c r="AE930" s="24"/>
      <c r="AF930" s="24"/>
      <c r="AG930" s="24"/>
      <c r="AH930" s="24"/>
    </row>
    <row r="931" spans="1:34" ht="90" x14ac:dyDescent="0.25">
      <c r="A931" s="24" t="str">
        <f>HYPERLINK("https://www.cpso.on.ca/DoctorDetails/Jagdeesh-Kaur-Dhaliwal/0286409-100121","Dhaliwal, Jagdeesh Kaur")</f>
        <v>Dhaliwal, Jagdeesh Kaur</v>
      </c>
      <c r="B931" s="25" t="s">
        <v>9424</v>
      </c>
      <c r="C931" s="24" t="s">
        <v>9425</v>
      </c>
      <c r="D931" s="24" t="s">
        <v>9426</v>
      </c>
      <c r="E931" s="24" t="s">
        <v>29</v>
      </c>
      <c r="F931" s="24" t="s">
        <v>47</v>
      </c>
      <c r="G931" s="24" t="s">
        <v>3093</v>
      </c>
      <c r="H931" s="24" t="s">
        <v>9427</v>
      </c>
      <c r="I931" s="24" t="s">
        <v>9428</v>
      </c>
      <c r="J931" s="24" t="s">
        <v>588</v>
      </c>
      <c r="K931" s="24"/>
      <c r="L931" s="24" t="s">
        <v>36</v>
      </c>
      <c r="M931" s="15" t="s">
        <v>9429</v>
      </c>
      <c r="N931" s="15"/>
      <c r="O931" s="15" t="s">
        <v>9430</v>
      </c>
      <c r="P931" s="15" t="s">
        <v>2105</v>
      </c>
      <c r="Q931" s="15"/>
      <c r="R931" s="15" t="s">
        <v>9431</v>
      </c>
      <c r="S931" s="24" t="s">
        <v>71</v>
      </c>
      <c r="T931" s="24" t="s">
        <v>39</v>
      </c>
      <c r="U931" s="24" t="s">
        <v>39</v>
      </c>
      <c r="V931" s="24" t="s">
        <v>39</v>
      </c>
      <c r="W931" s="24" t="s">
        <v>9432</v>
      </c>
      <c r="X931" s="24" t="s">
        <v>7247</v>
      </c>
      <c r="Y931" s="15" t="s">
        <v>9433</v>
      </c>
      <c r="Z931" s="15" t="s">
        <v>9434</v>
      </c>
      <c r="AA931" s="24"/>
      <c r="AB931" s="24"/>
      <c r="AC931" s="24"/>
      <c r="AD931" s="24"/>
      <c r="AE931" s="24"/>
      <c r="AF931" s="24"/>
      <c r="AG931" s="24"/>
      <c r="AH931" s="24"/>
    </row>
    <row r="932" spans="1:34" x14ac:dyDescent="0.25">
      <c r="A932" s="24" t="str">
        <f>HYPERLINK("https://www.cpso.on.ca/DoctorDetails/Jagtaran-Singh-Dhaliwal/0043732-57710","Dhaliwal, Jagtaran Singh")</f>
        <v>Dhaliwal, Jagtaran Singh</v>
      </c>
      <c r="B932" s="25" t="s">
        <v>9435</v>
      </c>
      <c r="C932" s="24" t="s">
        <v>9436</v>
      </c>
      <c r="D932" s="24" t="s">
        <v>9437</v>
      </c>
      <c r="E932" s="24" t="s">
        <v>29</v>
      </c>
      <c r="F932" s="24" t="s">
        <v>30</v>
      </c>
      <c r="G932" s="24" t="s">
        <v>3093</v>
      </c>
      <c r="H932" s="24" t="s">
        <v>9438</v>
      </c>
      <c r="I932" s="24" t="s">
        <v>9439</v>
      </c>
      <c r="J932" s="24" t="s">
        <v>9440</v>
      </c>
      <c r="K932" s="24" t="s">
        <v>9441</v>
      </c>
      <c r="L932" s="24" t="s">
        <v>36</v>
      </c>
      <c r="M932" s="15"/>
      <c r="N932" s="15"/>
      <c r="O932" s="15"/>
      <c r="P932" s="15" t="s">
        <v>1947</v>
      </c>
      <c r="Q932" s="15"/>
      <c r="R932" s="15" t="s">
        <v>9442</v>
      </c>
      <c r="S932" s="24" t="s">
        <v>39</v>
      </c>
      <c r="T932" s="24" t="s">
        <v>39</v>
      </c>
      <c r="U932" s="24" t="s">
        <v>39</v>
      </c>
      <c r="V932" s="24" t="s">
        <v>39</v>
      </c>
      <c r="W932" s="24" t="s">
        <v>9443</v>
      </c>
      <c r="X932" s="24" t="s">
        <v>9444</v>
      </c>
      <c r="Y932" s="15" t="s">
        <v>9445</v>
      </c>
      <c r="Z932" s="15" t="s">
        <v>9446</v>
      </c>
      <c r="AA932" s="24"/>
      <c r="AB932" s="24"/>
      <c r="AC932" s="24"/>
      <c r="AD932" s="24"/>
      <c r="AE932" s="24"/>
      <c r="AF932" s="24"/>
      <c r="AG932" s="24"/>
      <c r="AH932" s="24"/>
    </row>
    <row r="933" spans="1:34" ht="45" x14ac:dyDescent="0.25">
      <c r="A933" s="24" t="str">
        <f>HYPERLINK("https://www.cpso.on.ca/DoctorDetails/Jakline-Maher-Yacoub-Yousef/0245956-87935","Yousef, Jakline Maher Yacoub")</f>
        <v>Yousef, Jakline Maher Yacoub</v>
      </c>
      <c r="B933" s="25" t="s">
        <v>9447</v>
      </c>
      <c r="C933" s="24" t="s">
        <v>9448</v>
      </c>
      <c r="D933" s="24" t="s">
        <v>9449</v>
      </c>
      <c r="E933" s="24" t="s">
        <v>29</v>
      </c>
      <c r="F933" s="24" t="s">
        <v>47</v>
      </c>
      <c r="G933" s="24" t="s">
        <v>105</v>
      </c>
      <c r="H933" s="24" t="s">
        <v>9450</v>
      </c>
      <c r="I933" s="24" t="s">
        <v>9451</v>
      </c>
      <c r="J933" s="24" t="s">
        <v>9452</v>
      </c>
      <c r="K933" s="24"/>
      <c r="L933" s="24" t="s">
        <v>52</v>
      </c>
      <c r="M933" s="15"/>
      <c r="N933" s="15"/>
      <c r="O933" s="15" t="s">
        <v>1784</v>
      </c>
      <c r="P933" s="15" t="s">
        <v>9453</v>
      </c>
      <c r="Q933" s="15" t="s">
        <v>9454</v>
      </c>
      <c r="R933" s="15" t="s">
        <v>9455</v>
      </c>
      <c r="S933" s="24" t="s">
        <v>39</v>
      </c>
      <c r="T933" s="24" t="s">
        <v>39</v>
      </c>
      <c r="U933" s="24" t="s">
        <v>39</v>
      </c>
      <c r="V933" s="24" t="s">
        <v>39</v>
      </c>
      <c r="W933" s="24"/>
      <c r="X933" s="24"/>
      <c r="Y933" s="15"/>
      <c r="Z933" s="15"/>
      <c r="AA933" s="24"/>
      <c r="AB933" s="24"/>
      <c r="AC933" s="24"/>
      <c r="AD933" s="24"/>
      <c r="AE933" s="24"/>
      <c r="AF933" s="24"/>
      <c r="AG933" s="24"/>
      <c r="AH933" s="24"/>
    </row>
    <row r="934" spans="1:34" ht="45" x14ac:dyDescent="0.25">
      <c r="A934" s="24" t="str">
        <f>HYPERLINK("https://www.cpso.on.ca/DoctorDetails/Jakov-Shlik/0199140-80197","Shlik, Jakov")</f>
        <v>Shlik, Jakov</v>
      </c>
      <c r="B934" s="25" t="s">
        <v>9456</v>
      </c>
      <c r="C934" s="24" t="s">
        <v>9457</v>
      </c>
      <c r="D934" s="24" t="s">
        <v>9458</v>
      </c>
      <c r="E934" s="24" t="s">
        <v>29</v>
      </c>
      <c r="F934" s="24" t="s">
        <v>30</v>
      </c>
      <c r="G934" s="24" t="s">
        <v>9459</v>
      </c>
      <c r="H934" s="24" t="s">
        <v>9460</v>
      </c>
      <c r="I934" s="24" t="s">
        <v>708</v>
      </c>
      <c r="J934" s="24" t="s">
        <v>9461</v>
      </c>
      <c r="K934" s="24" t="s">
        <v>9462</v>
      </c>
      <c r="L934" s="24" t="s">
        <v>84</v>
      </c>
      <c r="M934" s="15"/>
      <c r="N934" s="15"/>
      <c r="O934" s="15" t="s">
        <v>711</v>
      </c>
      <c r="P934" s="15" t="s">
        <v>9463</v>
      </c>
      <c r="Q934" s="15"/>
      <c r="R934" s="15" t="s">
        <v>9464</v>
      </c>
      <c r="S934" s="24" t="s">
        <v>39</v>
      </c>
      <c r="T934" s="24" t="s">
        <v>39</v>
      </c>
      <c r="U934" s="24" t="s">
        <v>39</v>
      </c>
      <c r="V934" s="24" t="s">
        <v>39</v>
      </c>
      <c r="W934" s="24" t="s">
        <v>9465</v>
      </c>
      <c r="X934" s="24" t="s">
        <v>9466</v>
      </c>
      <c r="Y934" s="15" t="s">
        <v>9467</v>
      </c>
      <c r="Z934" s="15" t="s">
        <v>718</v>
      </c>
      <c r="AA934" s="24"/>
      <c r="AB934" s="24"/>
      <c r="AC934" s="24"/>
      <c r="AD934" s="24"/>
      <c r="AE934" s="24"/>
      <c r="AF934" s="24"/>
      <c r="AG934" s="24"/>
      <c r="AH934" s="24"/>
    </row>
    <row r="935" spans="1:34" ht="75" x14ac:dyDescent="0.25">
      <c r="A935" s="24" t="str">
        <f>HYPERLINK("https://www.cpso.on.ca/DoctorDetails/James-Conrad-Lazowski/0043231-57209","Lazowski, James Conrad")</f>
        <v>Lazowski, James Conrad</v>
      </c>
      <c r="B935" s="25" t="s">
        <v>9468</v>
      </c>
      <c r="C935" s="24" t="s">
        <v>9469</v>
      </c>
      <c r="D935" s="24" t="s">
        <v>4957</v>
      </c>
      <c r="E935" s="24" t="s">
        <v>29</v>
      </c>
      <c r="F935" s="24" t="s">
        <v>30</v>
      </c>
      <c r="G935" s="24" t="s">
        <v>31</v>
      </c>
      <c r="H935" s="24" t="s">
        <v>9363</v>
      </c>
      <c r="I935" s="24" t="s">
        <v>9470</v>
      </c>
      <c r="J935" s="24" t="s">
        <v>9471</v>
      </c>
      <c r="K935" s="24" t="s">
        <v>9472</v>
      </c>
      <c r="L935" s="24" t="s">
        <v>84</v>
      </c>
      <c r="M935" s="15"/>
      <c r="N935" s="15"/>
      <c r="O935" s="15"/>
      <c r="P935" s="15" t="s">
        <v>1007</v>
      </c>
      <c r="Q935" s="15" t="s">
        <v>9473</v>
      </c>
      <c r="R935" s="15" t="s">
        <v>9474</v>
      </c>
      <c r="S935" s="24" t="s">
        <v>39</v>
      </c>
      <c r="T935" s="24" t="s">
        <v>39</v>
      </c>
      <c r="U935" s="24" t="s">
        <v>39</v>
      </c>
      <c r="V935" s="24" t="s">
        <v>39</v>
      </c>
      <c r="W935" s="24" t="s">
        <v>9475</v>
      </c>
      <c r="X935" s="24" t="s">
        <v>9476</v>
      </c>
      <c r="Y935" s="15" t="s">
        <v>9477</v>
      </c>
      <c r="Z935" s="15" t="s">
        <v>9478</v>
      </c>
      <c r="AA935" s="24"/>
      <c r="AB935" s="24"/>
      <c r="AC935" s="24"/>
      <c r="AD935" s="24"/>
      <c r="AE935" s="24"/>
      <c r="AF935" s="24"/>
      <c r="AG935" s="24"/>
      <c r="AH935" s="24"/>
    </row>
    <row r="936" spans="1:34" ht="30" x14ac:dyDescent="0.25">
      <c r="A936" s="24" t="str">
        <f>HYPERLINK("https://www.cpso.on.ca/DoctorDetails/James-Gordon-Mullin/0020876-25664","Mullin, James Gordon")</f>
        <v>Mullin, James Gordon</v>
      </c>
      <c r="B936" s="25" t="s">
        <v>9479</v>
      </c>
      <c r="C936" s="24" t="s">
        <v>9480</v>
      </c>
      <c r="D936" s="24" t="s">
        <v>9481</v>
      </c>
      <c r="E936" s="24" t="s">
        <v>29</v>
      </c>
      <c r="F936" s="24" t="s">
        <v>30</v>
      </c>
      <c r="G936" s="24" t="s">
        <v>31</v>
      </c>
      <c r="H936" s="24" t="s">
        <v>9482</v>
      </c>
      <c r="I936" s="24" t="s">
        <v>9483</v>
      </c>
      <c r="J936" s="24" t="s">
        <v>9484</v>
      </c>
      <c r="K936" s="24"/>
      <c r="L936" s="24" t="s">
        <v>84</v>
      </c>
      <c r="M936" s="15"/>
      <c r="N936" s="15"/>
      <c r="O936" s="15"/>
      <c r="P936" s="15" t="s">
        <v>4666</v>
      </c>
      <c r="Q936" s="15"/>
      <c r="R936" s="15" t="s">
        <v>9485</v>
      </c>
      <c r="S936" s="24" t="s">
        <v>39</v>
      </c>
      <c r="T936" s="24" t="s">
        <v>39</v>
      </c>
      <c r="U936" s="24" t="s">
        <v>39</v>
      </c>
      <c r="V936" s="24" t="s">
        <v>71</v>
      </c>
      <c r="W936" s="24"/>
      <c r="X936" s="24"/>
      <c r="Y936" s="15"/>
      <c r="Z936" s="15"/>
      <c r="AA936" s="24"/>
      <c r="AB936" s="24"/>
      <c r="AC936" s="24"/>
      <c r="AD936" s="24"/>
      <c r="AE936" s="24"/>
      <c r="AF936" s="24"/>
      <c r="AG936" s="24"/>
      <c r="AH936" s="24"/>
    </row>
    <row r="937" spans="1:34" ht="60" x14ac:dyDescent="0.25">
      <c r="A937" s="24" t="str">
        <f>HYPERLINK("https://www.cpso.on.ca/DoctorDetails/James-Joseph-Martin-ODoherty/0042466-56444","O'Doherty, James Joseph Martin")</f>
        <v>O'Doherty, James Joseph Martin</v>
      </c>
      <c r="B937" s="25" t="s">
        <v>9486</v>
      </c>
      <c r="C937" s="24" t="s">
        <v>9487</v>
      </c>
      <c r="D937" s="24" t="s">
        <v>9488</v>
      </c>
      <c r="E937" s="24" t="s">
        <v>29</v>
      </c>
      <c r="F937" s="24" t="s">
        <v>30</v>
      </c>
      <c r="G937" s="24" t="s">
        <v>31</v>
      </c>
      <c r="H937" s="24" t="s">
        <v>9489</v>
      </c>
      <c r="I937" s="24" t="s">
        <v>9490</v>
      </c>
      <c r="J937" s="24" t="s">
        <v>9491</v>
      </c>
      <c r="K937" s="24"/>
      <c r="L937" s="24" t="s">
        <v>152</v>
      </c>
      <c r="M937" s="15" t="s">
        <v>9492</v>
      </c>
      <c r="N937" s="15" t="s">
        <v>4171</v>
      </c>
      <c r="O937" s="15" t="s">
        <v>9493</v>
      </c>
      <c r="P937" s="15" t="s">
        <v>6038</v>
      </c>
      <c r="Q937" s="15"/>
      <c r="R937" s="15" t="s">
        <v>9494</v>
      </c>
      <c r="S937" s="24" t="s">
        <v>39</v>
      </c>
      <c r="T937" s="24" t="s">
        <v>39</v>
      </c>
      <c r="U937" s="24" t="s">
        <v>39</v>
      </c>
      <c r="V937" s="24" t="s">
        <v>39</v>
      </c>
      <c r="W937" s="24" t="s">
        <v>9495</v>
      </c>
      <c r="X937" s="24" t="s">
        <v>9496</v>
      </c>
      <c r="Y937" s="15" t="s">
        <v>9497</v>
      </c>
      <c r="Z937" s="15" t="s">
        <v>9498</v>
      </c>
      <c r="AA937" s="24"/>
      <c r="AB937" s="24"/>
      <c r="AC937" s="24"/>
      <c r="AD937" s="24"/>
      <c r="AE937" s="24"/>
      <c r="AF937" s="24"/>
      <c r="AG937" s="24"/>
      <c r="AH937" s="24"/>
    </row>
    <row r="938" spans="1:34" ht="30" x14ac:dyDescent="0.25">
      <c r="A938" s="24" t="str">
        <f>HYPERLINK("https://www.cpso.on.ca/DoctorDetails/James-Leslie-Karagianis/0209826-80478","Karagianis, James Leslie")</f>
        <v>Karagianis, James Leslie</v>
      </c>
      <c r="B938" s="25" t="s">
        <v>9499</v>
      </c>
      <c r="C938" s="24" t="s">
        <v>9500</v>
      </c>
      <c r="D938" s="24" t="s">
        <v>9501</v>
      </c>
      <c r="E938" s="24" t="s">
        <v>29</v>
      </c>
      <c r="F938" s="24" t="s">
        <v>30</v>
      </c>
      <c r="G938" s="24" t="s">
        <v>31</v>
      </c>
      <c r="H938" s="24" t="s">
        <v>9502</v>
      </c>
      <c r="I938" s="24" t="s">
        <v>9503</v>
      </c>
      <c r="J938" s="24" t="s">
        <v>9504</v>
      </c>
      <c r="K938" s="24" t="s">
        <v>9505</v>
      </c>
      <c r="L938" s="24" t="s">
        <v>36</v>
      </c>
      <c r="M938" s="15"/>
      <c r="N938" s="15"/>
      <c r="O938" s="15" t="s">
        <v>9506</v>
      </c>
      <c r="P938" s="15" t="s">
        <v>3232</v>
      </c>
      <c r="Q938" s="15"/>
      <c r="R938" s="15" t="s">
        <v>9507</v>
      </c>
      <c r="S938" s="24" t="s">
        <v>39</v>
      </c>
      <c r="T938" s="24" t="s">
        <v>39</v>
      </c>
      <c r="U938" s="24" t="s">
        <v>39</v>
      </c>
      <c r="V938" s="24" t="s">
        <v>39</v>
      </c>
      <c r="W938" s="24" t="s">
        <v>9508</v>
      </c>
      <c r="X938" s="24" t="s">
        <v>9509</v>
      </c>
      <c r="Y938" s="15" t="s">
        <v>9510</v>
      </c>
      <c r="Z938" s="15" t="s">
        <v>9511</v>
      </c>
      <c r="AA938" s="24"/>
      <c r="AB938" s="24"/>
      <c r="AC938" s="24"/>
      <c r="AD938" s="24"/>
      <c r="AE938" s="24"/>
      <c r="AF938" s="24"/>
      <c r="AG938" s="24"/>
      <c r="AH938" s="24"/>
    </row>
    <row r="939" spans="1:34" x14ac:dyDescent="0.25">
      <c r="A939" s="24" t="str">
        <f>HYPERLINK("https://www.cpso.on.ca/DoctorDetails/James-Lowery-Kennedy/0053243-67209","Kennedy, James Lowery")</f>
        <v>Kennedy, James Lowery</v>
      </c>
      <c r="B939" s="25" t="s">
        <v>9512</v>
      </c>
      <c r="C939" s="24" t="s">
        <v>9513</v>
      </c>
      <c r="D939" s="24" t="s">
        <v>9514</v>
      </c>
      <c r="E939" s="24" t="s">
        <v>29</v>
      </c>
      <c r="F939" s="24" t="s">
        <v>30</v>
      </c>
      <c r="G939" s="24" t="s">
        <v>31</v>
      </c>
      <c r="H939" s="24" t="s">
        <v>9515</v>
      </c>
      <c r="I939" s="24" t="s">
        <v>9516</v>
      </c>
      <c r="J939" s="24" t="s">
        <v>9517</v>
      </c>
      <c r="K939" s="24" t="s">
        <v>4990</v>
      </c>
      <c r="L939" s="24" t="s">
        <v>52</v>
      </c>
      <c r="M939" s="15"/>
      <c r="N939" s="15"/>
      <c r="O939" s="15" t="s">
        <v>793</v>
      </c>
      <c r="P939" s="15" t="s">
        <v>9518</v>
      </c>
      <c r="Q939" s="15"/>
      <c r="R939" s="15" t="s">
        <v>9519</v>
      </c>
      <c r="S939" s="24" t="s">
        <v>39</v>
      </c>
      <c r="T939" s="24" t="s">
        <v>39</v>
      </c>
      <c r="U939" s="24" t="s">
        <v>39</v>
      </c>
      <c r="V939" s="24" t="s">
        <v>39</v>
      </c>
      <c r="W939" s="24" t="s">
        <v>9520</v>
      </c>
      <c r="X939" s="24" t="s">
        <v>9521</v>
      </c>
      <c r="Y939" s="15" t="s">
        <v>9522</v>
      </c>
      <c r="Z939" s="15" t="s">
        <v>9523</v>
      </c>
      <c r="AA939" s="24"/>
      <c r="AB939" s="24"/>
      <c r="AC939" s="24"/>
      <c r="AD939" s="24"/>
      <c r="AE939" s="24"/>
      <c r="AF939" s="24"/>
      <c r="AG939" s="24"/>
      <c r="AH939" s="24"/>
    </row>
    <row r="940" spans="1:34" ht="30" x14ac:dyDescent="0.25">
      <c r="A940" s="24" t="str">
        <f>HYPERLINK("https://www.cpso.on.ca/DoctorDetails/James-McLaren-Hillen/0038673-52649","Hillen, James McLaren")</f>
        <v>Hillen, James McLaren</v>
      </c>
      <c r="B940" s="25" t="s">
        <v>9524</v>
      </c>
      <c r="C940" s="24" t="s">
        <v>6867</v>
      </c>
      <c r="D940" s="24" t="s">
        <v>9525</v>
      </c>
      <c r="E940" s="24" t="s">
        <v>29</v>
      </c>
      <c r="F940" s="24" t="s">
        <v>30</v>
      </c>
      <c r="G940" s="24" t="s">
        <v>31</v>
      </c>
      <c r="H940" s="24" t="s">
        <v>2003</v>
      </c>
      <c r="I940" s="24" t="s">
        <v>9526</v>
      </c>
      <c r="J940" s="24" t="s">
        <v>9527</v>
      </c>
      <c r="K940" s="24" t="s">
        <v>9528</v>
      </c>
      <c r="L940" s="24" t="s">
        <v>340</v>
      </c>
      <c r="M940" s="15" t="s">
        <v>9529</v>
      </c>
      <c r="N940" s="15"/>
      <c r="O940" s="15" t="s">
        <v>1914</v>
      </c>
      <c r="P940" s="15" t="s">
        <v>9530</v>
      </c>
      <c r="Q940" s="15" t="s">
        <v>9531</v>
      </c>
      <c r="R940" s="15" t="s">
        <v>9532</v>
      </c>
      <c r="S940" s="24" t="s">
        <v>39</v>
      </c>
      <c r="T940" s="24" t="s">
        <v>39</v>
      </c>
      <c r="U940" s="24" t="s">
        <v>39</v>
      </c>
      <c r="V940" s="24" t="s">
        <v>39</v>
      </c>
      <c r="W940" s="24" t="s">
        <v>9533</v>
      </c>
      <c r="X940" s="24" t="s">
        <v>9534</v>
      </c>
      <c r="Y940" s="15" t="s">
        <v>9535</v>
      </c>
      <c r="Z940" s="15" t="s">
        <v>9536</v>
      </c>
      <c r="AA940" s="24"/>
      <c r="AB940" s="24"/>
      <c r="AC940" s="24"/>
      <c r="AD940" s="24"/>
      <c r="AE940" s="24"/>
      <c r="AF940" s="24"/>
      <c r="AG940" s="24"/>
      <c r="AH940" s="24"/>
    </row>
    <row r="941" spans="1:34" ht="60" x14ac:dyDescent="0.25">
      <c r="A941" s="24" t="str">
        <f>HYPERLINK("https://www.cpso.on.ca/DoctorDetails/James-William-Deutsch/0038938-52914","Deutsch, James William")</f>
        <v>Deutsch, James William</v>
      </c>
      <c r="B941" s="25" t="s">
        <v>9537</v>
      </c>
      <c r="C941" s="24" t="s">
        <v>801</v>
      </c>
      <c r="D941" s="24" t="s">
        <v>9538</v>
      </c>
      <c r="E941" s="24" t="s">
        <v>29</v>
      </c>
      <c r="F941" s="24" t="s">
        <v>30</v>
      </c>
      <c r="G941" s="24" t="s">
        <v>31</v>
      </c>
      <c r="H941" s="24" t="s">
        <v>9539</v>
      </c>
      <c r="I941" s="24" t="s">
        <v>9540</v>
      </c>
      <c r="J941" s="24" t="s">
        <v>9541</v>
      </c>
      <c r="K941" s="24" t="s">
        <v>6244</v>
      </c>
      <c r="L941" s="24" t="s">
        <v>52</v>
      </c>
      <c r="M941" s="15"/>
      <c r="N941" s="15"/>
      <c r="O941" s="15" t="s">
        <v>121</v>
      </c>
      <c r="P941" s="15" t="s">
        <v>2640</v>
      </c>
      <c r="Q941" s="15"/>
      <c r="R941" s="15" t="s">
        <v>9542</v>
      </c>
      <c r="S941" s="24" t="s">
        <v>39</v>
      </c>
      <c r="T941" s="24" t="s">
        <v>39</v>
      </c>
      <c r="U941" s="24" t="s">
        <v>39</v>
      </c>
      <c r="V941" s="24" t="s">
        <v>39</v>
      </c>
      <c r="W941" s="24" t="s">
        <v>9543</v>
      </c>
      <c r="X941" s="24" t="s">
        <v>9544</v>
      </c>
      <c r="Y941" s="15" t="s">
        <v>9545</v>
      </c>
      <c r="Z941" s="15" t="s">
        <v>9546</v>
      </c>
      <c r="AA941" s="24"/>
      <c r="AB941" s="24"/>
      <c r="AC941" s="24"/>
      <c r="AD941" s="24"/>
      <c r="AE941" s="24"/>
      <c r="AF941" s="24"/>
      <c r="AG941" s="24"/>
      <c r="AH941" s="24"/>
    </row>
    <row r="942" spans="1:34" ht="45" x14ac:dyDescent="0.25">
      <c r="A942" s="24" t="str">
        <f>HYPERLINK("https://www.cpso.on.ca/DoctorDetails/James-William-Mackenzie-Ross/0249009-88247","Ross, James William Mackenzie")</f>
        <v>Ross, James William Mackenzie</v>
      </c>
      <c r="B942" s="25" t="s">
        <v>9547</v>
      </c>
      <c r="C942" s="24" t="s">
        <v>9548</v>
      </c>
      <c r="D942" s="24" t="s">
        <v>9549</v>
      </c>
      <c r="E942" s="24" t="s">
        <v>29</v>
      </c>
      <c r="F942" s="24" t="s">
        <v>30</v>
      </c>
      <c r="G942" s="24" t="s">
        <v>31</v>
      </c>
      <c r="H942" s="24" t="s">
        <v>7758</v>
      </c>
      <c r="I942" s="24" t="s">
        <v>9550</v>
      </c>
      <c r="J942" s="24" t="s">
        <v>9551</v>
      </c>
      <c r="K942" s="24" t="s">
        <v>6687</v>
      </c>
      <c r="L942" s="24" t="s">
        <v>135</v>
      </c>
      <c r="M942" s="15" t="s">
        <v>9552</v>
      </c>
      <c r="N942" s="15"/>
      <c r="O942" s="15" t="s">
        <v>8738</v>
      </c>
      <c r="P942" s="15" t="s">
        <v>55</v>
      </c>
      <c r="Q942" s="15" t="s">
        <v>9553</v>
      </c>
      <c r="R942" s="15" t="s">
        <v>9554</v>
      </c>
      <c r="S942" s="24" t="s">
        <v>39</v>
      </c>
      <c r="T942" s="24" t="s">
        <v>39</v>
      </c>
      <c r="U942" s="24" t="s">
        <v>39</v>
      </c>
      <c r="V942" s="24" t="s">
        <v>39</v>
      </c>
      <c r="W942" s="24"/>
      <c r="X942" s="24"/>
      <c r="Y942" s="15"/>
      <c r="Z942" s="15"/>
      <c r="AA942" s="24"/>
      <c r="AB942" s="24"/>
      <c r="AC942" s="24"/>
      <c r="AD942" s="24"/>
      <c r="AE942" s="24"/>
      <c r="AF942" s="24"/>
      <c r="AG942" s="24"/>
      <c r="AH942" s="24"/>
    </row>
    <row r="943" spans="1:34" ht="30" x14ac:dyDescent="0.25">
      <c r="A943" s="24" t="str">
        <f>HYPERLINK("https://www.cpso.on.ca/DoctorDetails/Jan-Ellen-Fleming/0038560-52536","Fleming, Jan Ellen")</f>
        <v>Fleming, Jan Ellen</v>
      </c>
      <c r="B943" s="25" t="s">
        <v>9555</v>
      </c>
      <c r="C943" s="24" t="s">
        <v>2000</v>
      </c>
      <c r="D943" s="24" t="s">
        <v>3186</v>
      </c>
      <c r="E943" s="24" t="s">
        <v>29</v>
      </c>
      <c r="F943" s="24" t="s">
        <v>47</v>
      </c>
      <c r="G943" s="24" t="s">
        <v>31</v>
      </c>
      <c r="H943" s="24" t="s">
        <v>3563</v>
      </c>
      <c r="I943" s="24" t="s">
        <v>9556</v>
      </c>
      <c r="J943" s="24" t="s">
        <v>9557</v>
      </c>
      <c r="K943" s="24"/>
      <c r="L943" s="24" t="s">
        <v>52</v>
      </c>
      <c r="M943" s="15"/>
      <c r="N943" s="15"/>
      <c r="O943" s="15"/>
      <c r="P943" s="15" t="s">
        <v>3194</v>
      </c>
      <c r="Q943" s="15"/>
      <c r="R943" s="15" t="s">
        <v>9558</v>
      </c>
      <c r="S943" s="24" t="s">
        <v>39</v>
      </c>
      <c r="T943" s="24" t="s">
        <v>39</v>
      </c>
      <c r="U943" s="24" t="s">
        <v>39</v>
      </c>
      <c r="V943" s="24" t="s">
        <v>39</v>
      </c>
      <c r="W943" s="24"/>
      <c r="X943" s="24"/>
      <c r="Y943" s="15"/>
      <c r="Z943" s="15"/>
      <c r="AA943" s="24"/>
      <c r="AB943" s="24"/>
      <c r="AC943" s="24"/>
      <c r="AD943" s="24"/>
      <c r="AE943" s="24"/>
      <c r="AF943" s="24"/>
      <c r="AG943" s="24"/>
      <c r="AH943" s="24"/>
    </row>
    <row r="944" spans="1:34" ht="90" x14ac:dyDescent="0.25">
      <c r="A944" s="24" t="str">
        <f>HYPERLINK("https://www.cpso.on.ca/DoctorDetails/Jan-Malat/0056344-67932","Malat, Jan")</f>
        <v>Malat, Jan</v>
      </c>
      <c r="B944" s="25" t="s">
        <v>9559</v>
      </c>
      <c r="C944" s="24" t="s">
        <v>1669</v>
      </c>
      <c r="D944" s="24" t="s">
        <v>1670</v>
      </c>
      <c r="E944" s="24" t="s">
        <v>29</v>
      </c>
      <c r="F944" s="24" t="s">
        <v>30</v>
      </c>
      <c r="G944" s="24" t="s">
        <v>8618</v>
      </c>
      <c r="H944" s="24" t="s">
        <v>1671</v>
      </c>
      <c r="I944" s="24" t="s">
        <v>9560</v>
      </c>
      <c r="J944" s="24" t="s">
        <v>9561</v>
      </c>
      <c r="K944" s="24" t="s">
        <v>9562</v>
      </c>
      <c r="L944" s="24" t="s">
        <v>52</v>
      </c>
      <c r="M944" s="15" t="s">
        <v>9563</v>
      </c>
      <c r="N944" s="15"/>
      <c r="O944" s="15" t="s">
        <v>3056</v>
      </c>
      <c r="P944" s="15" t="s">
        <v>1677</v>
      </c>
      <c r="Q944" s="15" t="s">
        <v>9564</v>
      </c>
      <c r="R944" s="15" t="s">
        <v>1679</v>
      </c>
      <c r="S944" s="24" t="s">
        <v>39</v>
      </c>
      <c r="T944" s="24" t="s">
        <v>39</v>
      </c>
      <c r="U944" s="24" t="s">
        <v>39</v>
      </c>
      <c r="V944" s="24" t="s">
        <v>39</v>
      </c>
      <c r="W944" s="24" t="s">
        <v>9565</v>
      </c>
      <c r="X944" s="24" t="s">
        <v>9566</v>
      </c>
      <c r="Y944" s="15" t="s">
        <v>9567</v>
      </c>
      <c r="Z944" s="15" t="s">
        <v>9568</v>
      </c>
      <c r="AA944" s="24"/>
      <c r="AB944" s="24"/>
      <c r="AC944" s="24"/>
      <c r="AD944" s="24"/>
      <c r="AE944" s="24"/>
      <c r="AF944" s="24"/>
      <c r="AG944" s="24"/>
      <c r="AH944" s="24"/>
    </row>
    <row r="945" spans="1:34" ht="75" x14ac:dyDescent="0.25">
      <c r="A945" s="24" t="str">
        <f>HYPERLINK("https://www.cpso.on.ca/DoctorDetails/Jan-Taliga/0287783-100823","Taliga, Jan")</f>
        <v>Taliga, Jan</v>
      </c>
      <c r="B945" s="25" t="s">
        <v>9569</v>
      </c>
      <c r="C945" s="24" t="s">
        <v>9570</v>
      </c>
      <c r="D945" s="24" t="s">
        <v>9571</v>
      </c>
      <c r="E945" s="24" t="s">
        <v>29</v>
      </c>
      <c r="F945" s="24" t="s">
        <v>30</v>
      </c>
      <c r="G945" s="24" t="s">
        <v>6879</v>
      </c>
      <c r="H945" s="24" t="s">
        <v>9572</v>
      </c>
      <c r="I945" s="24" t="s">
        <v>9573</v>
      </c>
      <c r="J945" s="24" t="s">
        <v>9574</v>
      </c>
      <c r="K945" s="24" t="s">
        <v>9575</v>
      </c>
      <c r="L945" s="24" t="s">
        <v>65</v>
      </c>
      <c r="M945" s="15" t="s">
        <v>9576</v>
      </c>
      <c r="N945" s="15" t="s">
        <v>66</v>
      </c>
      <c r="O945" s="15" t="s">
        <v>380</v>
      </c>
      <c r="P945" s="15" t="s">
        <v>9577</v>
      </c>
      <c r="Q945" s="15"/>
      <c r="R945" s="15" t="s">
        <v>9578</v>
      </c>
      <c r="S945" s="24" t="s">
        <v>71</v>
      </c>
      <c r="T945" s="24" t="s">
        <v>39</v>
      </c>
      <c r="U945" s="24" t="s">
        <v>39</v>
      </c>
      <c r="V945" s="24" t="s">
        <v>39</v>
      </c>
      <c r="W945" s="24" t="s">
        <v>9579</v>
      </c>
      <c r="X945" s="24" t="s">
        <v>9580</v>
      </c>
      <c r="Y945" s="15" t="s">
        <v>9581</v>
      </c>
      <c r="Z945" s="15" t="s">
        <v>9582</v>
      </c>
      <c r="AA945" s="24"/>
      <c r="AB945" s="24"/>
      <c r="AC945" s="24"/>
      <c r="AD945" s="24"/>
      <c r="AE945" s="24"/>
      <c r="AF945" s="24"/>
      <c r="AG945" s="24"/>
      <c r="AH945" s="24"/>
    </row>
    <row r="946" spans="1:34" x14ac:dyDescent="0.25">
      <c r="A946" s="24" t="str">
        <f>HYPERLINK("https://www.cpso.on.ca/DoctorDetails/Janaki-Srinivasan/0027199-32022","Srinivasan, Janaki")</f>
        <v>Srinivasan, Janaki</v>
      </c>
      <c r="B946" s="25" t="s">
        <v>9583</v>
      </c>
      <c r="C946" s="24" t="s">
        <v>9584</v>
      </c>
      <c r="D946" s="24" t="s">
        <v>9585</v>
      </c>
      <c r="E946" s="24" t="s">
        <v>29</v>
      </c>
      <c r="F946" s="24" t="s">
        <v>47</v>
      </c>
      <c r="G946" s="24" t="s">
        <v>9586</v>
      </c>
      <c r="H946" s="24" t="s">
        <v>9587</v>
      </c>
      <c r="I946" s="24" t="s">
        <v>9588</v>
      </c>
      <c r="J946" s="24" t="s">
        <v>9589</v>
      </c>
      <c r="K946" s="24" t="s">
        <v>9590</v>
      </c>
      <c r="L946" s="24" t="s">
        <v>52</v>
      </c>
      <c r="M946" s="15"/>
      <c r="N946" s="15"/>
      <c r="O946" s="15"/>
      <c r="P946" s="15" t="s">
        <v>5827</v>
      </c>
      <c r="Q946" s="15"/>
      <c r="R946" s="15" t="s">
        <v>9591</v>
      </c>
      <c r="S946" s="24" t="s">
        <v>39</v>
      </c>
      <c r="T946" s="24" t="s">
        <v>39</v>
      </c>
      <c r="U946" s="24" t="s">
        <v>39</v>
      </c>
      <c r="V946" s="24" t="s">
        <v>39</v>
      </c>
      <c r="W946" s="24"/>
      <c r="X946" s="24"/>
      <c r="Y946" s="15"/>
      <c r="Z946" s="15"/>
      <c r="AA946" s="24"/>
      <c r="AB946" s="24"/>
      <c r="AC946" s="24"/>
      <c r="AD946" s="24"/>
      <c r="AE946" s="24"/>
      <c r="AF946" s="24"/>
      <c r="AG946" s="24"/>
      <c r="AH946" s="24"/>
    </row>
    <row r="947" spans="1:34" ht="135" x14ac:dyDescent="0.25">
      <c r="A947" s="24" t="str">
        <f>HYPERLINK("https://www.cpso.on.ca/DoctorDetails/Jane-Ann-Morgan/0052721-66685","Morgan, Jane Ann")</f>
        <v>Morgan, Jane Ann</v>
      </c>
      <c r="B947" s="25" t="s">
        <v>9592</v>
      </c>
      <c r="C947" s="24" t="s">
        <v>9593</v>
      </c>
      <c r="D947" s="24" t="s">
        <v>9594</v>
      </c>
      <c r="E947" s="24" t="s">
        <v>29</v>
      </c>
      <c r="F947" s="24" t="s">
        <v>47</v>
      </c>
      <c r="G947" s="24" t="s">
        <v>31</v>
      </c>
      <c r="H947" s="24" t="s">
        <v>4768</v>
      </c>
      <c r="I947" s="24" t="s">
        <v>9595</v>
      </c>
      <c r="J947" s="24" t="s">
        <v>9596</v>
      </c>
      <c r="K947" s="24"/>
      <c r="L947" s="24" t="s">
        <v>184</v>
      </c>
      <c r="M947" s="15"/>
      <c r="N947" s="15"/>
      <c r="O947" s="15"/>
      <c r="P947" s="15" t="s">
        <v>9597</v>
      </c>
      <c r="Q947" s="15" t="s">
        <v>9598</v>
      </c>
      <c r="R947" s="15" t="s">
        <v>9599</v>
      </c>
      <c r="S947" s="24" t="s">
        <v>39</v>
      </c>
      <c r="T947" s="24" t="s">
        <v>39</v>
      </c>
      <c r="U947" s="24" t="s">
        <v>39</v>
      </c>
      <c r="V947" s="24" t="s">
        <v>39</v>
      </c>
      <c r="W947" s="24" t="s">
        <v>9600</v>
      </c>
      <c r="X947" s="24" t="s">
        <v>9601</v>
      </c>
      <c r="Y947" s="15" t="s">
        <v>9602</v>
      </c>
      <c r="Z947" s="15" t="s">
        <v>9603</v>
      </c>
      <c r="AA947" s="24"/>
      <c r="AB947" s="24"/>
      <c r="AC947" s="24"/>
      <c r="AD947" s="24"/>
      <c r="AE947" s="24"/>
      <c r="AF947" s="24"/>
      <c r="AG947" s="24"/>
      <c r="AH947" s="24"/>
    </row>
    <row r="948" spans="1:34" ht="45" x14ac:dyDescent="0.25">
      <c r="A948" s="24" t="str">
        <f>HYPERLINK("https://www.cpso.on.ca/DoctorDetails/Jane-Browning-Evans/0040170-54146","Evans, Jane Browning")</f>
        <v>Evans, Jane Browning</v>
      </c>
      <c r="B948" s="25" t="s">
        <v>9604</v>
      </c>
      <c r="C948" s="24" t="s">
        <v>8138</v>
      </c>
      <c r="D948" s="24" t="s">
        <v>9605</v>
      </c>
      <c r="E948" s="24" t="s">
        <v>29</v>
      </c>
      <c r="F948" s="24" t="s">
        <v>47</v>
      </c>
      <c r="G948" s="24" t="s">
        <v>31</v>
      </c>
      <c r="H948" s="24" t="s">
        <v>2526</v>
      </c>
      <c r="I948" s="24" t="s">
        <v>8827</v>
      </c>
      <c r="J948" s="24" t="s">
        <v>9606</v>
      </c>
      <c r="K948" s="24" t="s">
        <v>3287</v>
      </c>
      <c r="L948" s="24" t="s">
        <v>84</v>
      </c>
      <c r="M948" s="15"/>
      <c r="N948" s="15"/>
      <c r="O948" s="15"/>
      <c r="P948" s="15" t="s">
        <v>1984</v>
      </c>
      <c r="Q948" s="15" t="s">
        <v>9607</v>
      </c>
      <c r="R948" s="15" t="s">
        <v>9608</v>
      </c>
      <c r="S948" s="24" t="s">
        <v>39</v>
      </c>
      <c r="T948" s="24" t="s">
        <v>39</v>
      </c>
      <c r="U948" s="24" t="s">
        <v>39</v>
      </c>
      <c r="V948" s="24" t="s">
        <v>39</v>
      </c>
      <c r="W948" s="24" t="s">
        <v>9609</v>
      </c>
      <c r="X948" s="24" t="s">
        <v>9610</v>
      </c>
      <c r="Y948" s="15" t="s">
        <v>9611</v>
      </c>
      <c r="Z948" s="15" t="s">
        <v>9612</v>
      </c>
      <c r="AA948" s="24"/>
      <c r="AB948" s="24"/>
      <c r="AC948" s="24"/>
      <c r="AD948" s="24"/>
      <c r="AE948" s="24"/>
      <c r="AF948" s="24"/>
      <c r="AG948" s="24"/>
      <c r="AH948" s="24"/>
    </row>
    <row r="949" spans="1:34" ht="90" x14ac:dyDescent="0.25">
      <c r="A949" s="24" t="str">
        <f>HYPERLINK("https://www.cpso.on.ca/DoctorDetails/Jane-Catherine-Gilbert/0047285-61263","Gilbert, Jane Catherine")</f>
        <v>Gilbert, Jane Catherine</v>
      </c>
      <c r="B949" s="25" t="s">
        <v>9613</v>
      </c>
      <c r="C949" s="24" t="s">
        <v>3323</v>
      </c>
      <c r="D949" s="24" t="s">
        <v>9614</v>
      </c>
      <c r="E949" s="24" t="s">
        <v>29</v>
      </c>
      <c r="F949" s="24" t="s">
        <v>47</v>
      </c>
      <c r="G949" s="24" t="s">
        <v>31</v>
      </c>
      <c r="H949" s="24" t="s">
        <v>3325</v>
      </c>
      <c r="I949" s="24" t="s">
        <v>9615</v>
      </c>
      <c r="J949" s="24" t="s">
        <v>9616</v>
      </c>
      <c r="K949" s="24" t="s">
        <v>9617</v>
      </c>
      <c r="L949" s="24" t="s">
        <v>184</v>
      </c>
      <c r="M949" s="15"/>
      <c r="N949" s="15"/>
      <c r="O949" s="15"/>
      <c r="P949" s="15" t="s">
        <v>3954</v>
      </c>
      <c r="Q949" s="15" t="s">
        <v>9618</v>
      </c>
      <c r="R949" s="15" t="s">
        <v>9619</v>
      </c>
      <c r="S949" s="24" t="s">
        <v>71</v>
      </c>
      <c r="T949" s="24" t="s">
        <v>39</v>
      </c>
      <c r="U949" s="24" t="s">
        <v>71</v>
      </c>
      <c r="V949" s="24" t="s">
        <v>39</v>
      </c>
      <c r="W949" s="24"/>
      <c r="X949" s="24"/>
      <c r="Y949" s="15"/>
      <c r="Z949" s="15"/>
      <c r="AA949" s="24"/>
      <c r="AB949" s="24"/>
      <c r="AC949" s="24"/>
      <c r="AD949" s="24"/>
      <c r="AE949" s="24"/>
      <c r="AF949" s="24"/>
      <c r="AG949" s="24"/>
      <c r="AH949" s="24"/>
    </row>
    <row r="950" spans="1:34" x14ac:dyDescent="0.25">
      <c r="A950" s="24" t="str">
        <f>HYPERLINK("https://www.cpso.on.ca/DoctorDetails/Jane-Dianne-Dennis/0159415-73237","Dennis, Jane Dianne")</f>
        <v>Dennis, Jane Dianne</v>
      </c>
      <c r="B950" s="25" t="s">
        <v>9620</v>
      </c>
      <c r="C950" s="24" t="s">
        <v>9621</v>
      </c>
      <c r="D950" s="24" t="s">
        <v>9622</v>
      </c>
      <c r="E950" s="24" t="s">
        <v>29</v>
      </c>
      <c r="F950" s="24" t="s">
        <v>47</v>
      </c>
      <c r="G950" s="24" t="s">
        <v>31</v>
      </c>
      <c r="H950" s="24" t="s">
        <v>9623</v>
      </c>
      <c r="I950" s="24" t="s">
        <v>9624</v>
      </c>
      <c r="J950" s="24" t="s">
        <v>9625</v>
      </c>
      <c r="K950" s="24" t="s">
        <v>9626</v>
      </c>
      <c r="L950" s="24" t="s">
        <v>152</v>
      </c>
      <c r="M950" s="15" t="s">
        <v>9627</v>
      </c>
      <c r="N950" s="15"/>
      <c r="O950" s="15"/>
      <c r="P950" s="15" t="s">
        <v>6403</v>
      </c>
      <c r="Q950" s="15"/>
      <c r="R950" s="15" t="s">
        <v>9628</v>
      </c>
      <c r="S950" s="24" t="s">
        <v>39</v>
      </c>
      <c r="T950" s="24" t="s">
        <v>39</v>
      </c>
      <c r="U950" s="24" t="s">
        <v>39</v>
      </c>
      <c r="V950" s="24" t="s">
        <v>39</v>
      </c>
      <c r="W950" s="24"/>
      <c r="X950" s="24"/>
      <c r="Y950" s="15"/>
      <c r="Z950" s="15"/>
      <c r="AA950" s="24"/>
      <c r="AB950" s="24"/>
      <c r="AC950" s="24"/>
      <c r="AD950" s="24"/>
      <c r="AE950" s="24"/>
      <c r="AF950" s="24"/>
      <c r="AG950" s="24"/>
      <c r="AH950" s="24"/>
    </row>
    <row r="951" spans="1:34" ht="30" x14ac:dyDescent="0.25">
      <c r="A951" s="24" t="str">
        <f>HYPERLINK("https://www.cpso.on.ca/DoctorDetails/Jane-Marguerite-Barlow/0026189-31012","Barlow, Jane Marguerite")</f>
        <v>Barlow, Jane Marguerite</v>
      </c>
      <c r="B951" s="25" t="s">
        <v>9629</v>
      </c>
      <c r="C951" s="24" t="s">
        <v>5820</v>
      </c>
      <c r="D951" s="24" t="s">
        <v>9630</v>
      </c>
      <c r="E951" s="24" t="s">
        <v>29</v>
      </c>
      <c r="F951" s="24" t="s">
        <v>47</v>
      </c>
      <c r="G951" s="24" t="s">
        <v>31</v>
      </c>
      <c r="H951" s="24" t="s">
        <v>9631</v>
      </c>
      <c r="I951" s="24" t="s">
        <v>9632</v>
      </c>
      <c r="J951" s="24" t="s">
        <v>9633</v>
      </c>
      <c r="K951" s="24" t="s">
        <v>9634</v>
      </c>
      <c r="L951" s="24" t="s">
        <v>84</v>
      </c>
      <c r="M951" s="15"/>
      <c r="N951" s="15"/>
      <c r="O951" s="15"/>
      <c r="P951" s="15" t="s">
        <v>527</v>
      </c>
      <c r="Q951" s="15"/>
      <c r="R951" s="15" t="s">
        <v>9635</v>
      </c>
      <c r="S951" s="24" t="s">
        <v>39</v>
      </c>
      <c r="T951" s="24" t="s">
        <v>39</v>
      </c>
      <c r="U951" s="24" t="s">
        <v>39</v>
      </c>
      <c r="V951" s="24" t="s">
        <v>39</v>
      </c>
      <c r="W951" s="24"/>
      <c r="X951" s="24"/>
      <c r="Y951" s="15"/>
      <c r="Z951" s="15"/>
      <c r="AA951" s="24"/>
      <c r="AB951" s="24"/>
      <c r="AC951" s="24"/>
      <c r="AD951" s="24"/>
      <c r="AE951" s="24"/>
      <c r="AF951" s="24"/>
      <c r="AG951" s="24"/>
      <c r="AH951" s="24"/>
    </row>
    <row r="952" spans="1:34" ht="30" x14ac:dyDescent="0.25">
      <c r="A952" s="24" t="str">
        <f>HYPERLINK("https://www.cpso.on.ca/DoctorDetails/Jane-Mary-Howard/0026701-31524","Howard, Jane Mary")</f>
        <v>Howard, Jane Mary</v>
      </c>
      <c r="B952" s="25" t="s">
        <v>9636</v>
      </c>
      <c r="C952" s="24" t="s">
        <v>5820</v>
      </c>
      <c r="D952" s="24" t="s">
        <v>9637</v>
      </c>
      <c r="E952" s="24" t="s">
        <v>29</v>
      </c>
      <c r="F952" s="24" t="s">
        <v>47</v>
      </c>
      <c r="G952" s="24" t="s">
        <v>813</v>
      </c>
      <c r="H952" s="24" t="s">
        <v>9638</v>
      </c>
      <c r="I952" s="24" t="s">
        <v>9639</v>
      </c>
      <c r="J952" s="24" t="s">
        <v>9640</v>
      </c>
      <c r="K952" s="24"/>
      <c r="L952" s="24" t="s">
        <v>340</v>
      </c>
      <c r="M952" s="15" t="s">
        <v>9641</v>
      </c>
      <c r="N952" s="15"/>
      <c r="O952" s="15" t="s">
        <v>329</v>
      </c>
      <c r="P952" s="15" t="s">
        <v>5827</v>
      </c>
      <c r="Q952" s="15"/>
      <c r="R952" s="15" t="s">
        <v>9642</v>
      </c>
      <c r="S952" s="24" t="s">
        <v>39</v>
      </c>
      <c r="T952" s="24" t="s">
        <v>39</v>
      </c>
      <c r="U952" s="24" t="s">
        <v>39</v>
      </c>
      <c r="V952" s="24" t="s">
        <v>39</v>
      </c>
      <c r="W952" s="24"/>
      <c r="X952" s="24"/>
      <c r="Y952" s="15"/>
      <c r="Z952" s="15"/>
      <c r="AA952" s="24"/>
      <c r="AB952" s="24"/>
      <c r="AC952" s="24"/>
      <c r="AD952" s="24"/>
      <c r="AE952" s="24"/>
      <c r="AF952" s="24"/>
      <c r="AG952" s="24"/>
      <c r="AH952" s="24"/>
    </row>
    <row r="953" spans="1:34" ht="30" x14ac:dyDescent="0.25">
      <c r="A953" s="24" t="str">
        <f>HYPERLINK("https://www.cpso.on.ca/DoctorDetails/Jane-Susan-Baldock/0042483-56461","Baldock, Jane Susan")</f>
        <v>Baldock, Jane Susan</v>
      </c>
      <c r="B953" s="25" t="s">
        <v>9643</v>
      </c>
      <c r="C953" s="24" t="s">
        <v>9644</v>
      </c>
      <c r="D953" s="24" t="s">
        <v>9645</v>
      </c>
      <c r="E953" s="24" t="s">
        <v>29</v>
      </c>
      <c r="F953" s="24" t="s">
        <v>47</v>
      </c>
      <c r="G953" s="24" t="s">
        <v>31</v>
      </c>
      <c r="H953" s="24" t="s">
        <v>6831</v>
      </c>
      <c r="I953" s="24" t="s">
        <v>9646</v>
      </c>
      <c r="J953" s="24" t="s">
        <v>9647</v>
      </c>
      <c r="K953" s="24"/>
      <c r="L953" s="24" t="s">
        <v>340</v>
      </c>
      <c r="M953" s="15"/>
      <c r="N953" s="15" t="s">
        <v>398</v>
      </c>
      <c r="O953" s="15" t="s">
        <v>9648</v>
      </c>
      <c r="P953" s="15" t="s">
        <v>808</v>
      </c>
      <c r="Q953" s="15"/>
      <c r="R953" s="15" t="s">
        <v>9649</v>
      </c>
      <c r="S953" s="24" t="s">
        <v>39</v>
      </c>
      <c r="T953" s="24" t="s">
        <v>39</v>
      </c>
      <c r="U953" s="24" t="s">
        <v>39</v>
      </c>
      <c r="V953" s="24" t="s">
        <v>39</v>
      </c>
      <c r="W953" s="24" t="s">
        <v>9650</v>
      </c>
      <c r="X953" s="24" t="s">
        <v>9651</v>
      </c>
      <c r="Y953" s="15" t="s">
        <v>9652</v>
      </c>
      <c r="Z953" s="15" t="s">
        <v>6373</v>
      </c>
      <c r="AA953" s="24"/>
      <c r="AB953" s="24"/>
      <c r="AC953" s="24"/>
      <c r="AD953" s="24"/>
      <c r="AE953" s="24"/>
      <c r="AF953" s="24"/>
      <c r="AG953" s="24"/>
      <c r="AH953" s="24"/>
    </row>
    <row r="954" spans="1:34" ht="90" x14ac:dyDescent="0.25">
      <c r="A954" s="24" t="str">
        <f>HYPERLINK("https://www.cpso.on.ca/DoctorDetails/Jane-Thurley/0042906-56884","Thurley, Jane")</f>
        <v>Thurley, Jane</v>
      </c>
      <c r="B954" s="25" t="s">
        <v>9653</v>
      </c>
      <c r="C954" s="24" t="s">
        <v>3427</v>
      </c>
      <c r="D954" s="24" t="s">
        <v>9654</v>
      </c>
      <c r="E954" s="24" t="s">
        <v>29</v>
      </c>
      <c r="F954" s="24" t="s">
        <v>47</v>
      </c>
      <c r="G954" s="24" t="s">
        <v>31</v>
      </c>
      <c r="H954" s="24" t="s">
        <v>3429</v>
      </c>
      <c r="I954" s="24" t="s">
        <v>9655</v>
      </c>
      <c r="J954" s="24" t="s">
        <v>9656</v>
      </c>
      <c r="K954" s="24" t="s">
        <v>9657</v>
      </c>
      <c r="L954" s="24" t="s">
        <v>52</v>
      </c>
      <c r="M954" s="15" t="s">
        <v>9658</v>
      </c>
      <c r="N954" s="15"/>
      <c r="O954" s="15"/>
      <c r="P954" s="15" t="s">
        <v>1842</v>
      </c>
      <c r="Q954" s="15" t="s">
        <v>9659</v>
      </c>
      <c r="R954" s="15" t="s">
        <v>9660</v>
      </c>
      <c r="S954" s="24" t="s">
        <v>39</v>
      </c>
      <c r="T954" s="24" t="s">
        <v>39</v>
      </c>
      <c r="U954" s="24" t="s">
        <v>39</v>
      </c>
      <c r="V954" s="24" t="s">
        <v>39</v>
      </c>
      <c r="W954" s="24" t="s">
        <v>9661</v>
      </c>
      <c r="X954" s="24" t="s">
        <v>9662</v>
      </c>
      <c r="Y954" s="15" t="s">
        <v>9663</v>
      </c>
      <c r="Z954" s="15" t="s">
        <v>9664</v>
      </c>
      <c r="AA954" s="24"/>
      <c r="AB954" s="24"/>
      <c r="AC954" s="24"/>
      <c r="AD954" s="24"/>
      <c r="AE954" s="24"/>
      <c r="AF954" s="24"/>
      <c r="AG954" s="24"/>
      <c r="AH954" s="24"/>
    </row>
    <row r="955" spans="1:34" ht="75" x14ac:dyDescent="0.25">
      <c r="A955" s="24" t="str">
        <f>HYPERLINK("https://www.cpso.on.ca/DoctorDetails/Jane-Velia-Fogolin/0116665-70070","Fogolin, Jane Velia")</f>
        <v>Fogolin, Jane Velia</v>
      </c>
      <c r="B955" s="25" t="s">
        <v>9665</v>
      </c>
      <c r="C955" s="24" t="s">
        <v>2673</v>
      </c>
      <c r="D955" s="24" t="s">
        <v>2674</v>
      </c>
      <c r="E955" s="24" t="s">
        <v>29</v>
      </c>
      <c r="F955" s="24" t="s">
        <v>47</v>
      </c>
      <c r="G955" s="24" t="s">
        <v>31</v>
      </c>
      <c r="H955" s="24" t="s">
        <v>9666</v>
      </c>
      <c r="I955" s="24" t="s">
        <v>9667</v>
      </c>
      <c r="J955" s="24" t="s">
        <v>9668</v>
      </c>
      <c r="K955" s="24"/>
      <c r="L955" s="24" t="s">
        <v>3849</v>
      </c>
      <c r="M955" s="15" t="s">
        <v>9669</v>
      </c>
      <c r="N955" s="15"/>
      <c r="O955" s="15" t="s">
        <v>4262</v>
      </c>
      <c r="P955" s="15" t="s">
        <v>2678</v>
      </c>
      <c r="Q955" s="15" t="s">
        <v>9670</v>
      </c>
      <c r="R955" s="15" t="s">
        <v>2680</v>
      </c>
      <c r="S955" s="24" t="s">
        <v>39</v>
      </c>
      <c r="T955" s="24" t="s">
        <v>39</v>
      </c>
      <c r="U955" s="24" t="s">
        <v>39</v>
      </c>
      <c r="V955" s="24" t="s">
        <v>39</v>
      </c>
      <c r="W955" s="24"/>
      <c r="X955" s="24"/>
      <c r="Y955" s="15"/>
      <c r="Z955" s="15"/>
      <c r="AA955" s="24"/>
      <c r="AB955" s="24"/>
      <c r="AC955" s="24"/>
      <c r="AD955" s="24"/>
      <c r="AE955" s="24"/>
      <c r="AF955" s="24"/>
      <c r="AG955" s="24"/>
      <c r="AH955" s="24"/>
    </row>
    <row r="956" spans="1:34" ht="120" x14ac:dyDescent="0.25">
      <c r="A956" s="24" t="str">
        <f>HYPERLINK("https://www.cpso.on.ca/DoctorDetails/Janet-Alice-Patterson/0037681-51657","Patterson, Janet Alice")</f>
        <v>Patterson, Janet Alice</v>
      </c>
      <c r="B956" s="25" t="s">
        <v>9671</v>
      </c>
      <c r="C956" s="24" t="s">
        <v>9672</v>
      </c>
      <c r="D956" s="24" t="s">
        <v>9673</v>
      </c>
      <c r="E956" s="24" t="s">
        <v>29</v>
      </c>
      <c r="F956" s="24" t="s">
        <v>47</v>
      </c>
      <c r="G956" s="24" t="s">
        <v>31</v>
      </c>
      <c r="H956" s="24" t="s">
        <v>1874</v>
      </c>
      <c r="I956" s="24" t="s">
        <v>9674</v>
      </c>
      <c r="J956" s="24" t="s">
        <v>9675</v>
      </c>
      <c r="K956" s="24" t="s">
        <v>9676</v>
      </c>
      <c r="L956" s="24" t="s">
        <v>184</v>
      </c>
      <c r="M956" s="15"/>
      <c r="N956" s="15"/>
      <c r="O956" s="15" t="s">
        <v>1135</v>
      </c>
      <c r="P956" s="15" t="s">
        <v>3433</v>
      </c>
      <c r="Q956" s="15" t="s">
        <v>9677</v>
      </c>
      <c r="R956" s="15" t="s">
        <v>9678</v>
      </c>
      <c r="S956" s="24" t="s">
        <v>39</v>
      </c>
      <c r="T956" s="24" t="s">
        <v>39</v>
      </c>
      <c r="U956" s="24" t="s">
        <v>39</v>
      </c>
      <c r="V956" s="24" t="s">
        <v>39</v>
      </c>
      <c r="W956" s="24" t="s">
        <v>9679</v>
      </c>
      <c r="X956" s="24" t="s">
        <v>9680</v>
      </c>
      <c r="Y956" s="15" t="s">
        <v>9681</v>
      </c>
      <c r="Z956" s="15" t="s">
        <v>9682</v>
      </c>
      <c r="AA956" s="24"/>
      <c r="AB956" s="24"/>
      <c r="AC956" s="24"/>
      <c r="AD956" s="24"/>
      <c r="AE956" s="24"/>
      <c r="AF956" s="24"/>
      <c r="AG956" s="24"/>
      <c r="AH956" s="24"/>
    </row>
    <row r="957" spans="1:34" ht="75" x14ac:dyDescent="0.25">
      <c r="A957" s="24" t="str">
        <f>HYPERLINK("https://www.cpso.on.ca/DoctorDetails/Janet-Catherine-LeeEvoy/0288786-100682","Lee-Evoy, Janet Catherine")</f>
        <v>Lee-Evoy, Janet Catherine</v>
      </c>
      <c r="B957" s="25" t="s">
        <v>9683</v>
      </c>
      <c r="C957" s="24" t="s">
        <v>199</v>
      </c>
      <c r="D957" s="24" t="s">
        <v>200</v>
      </c>
      <c r="E957" s="24" t="s">
        <v>29</v>
      </c>
      <c r="F957" s="24" t="s">
        <v>47</v>
      </c>
      <c r="G957" s="24" t="s">
        <v>31</v>
      </c>
      <c r="H957" s="24" t="s">
        <v>201</v>
      </c>
      <c r="I957" s="24" t="s">
        <v>9684</v>
      </c>
      <c r="J957" s="24" t="s">
        <v>1262</v>
      </c>
      <c r="K957" s="24"/>
      <c r="L957" s="24" t="s">
        <v>52</v>
      </c>
      <c r="M957" s="15"/>
      <c r="N957" s="15"/>
      <c r="O957" s="15"/>
      <c r="P957" s="15" t="s">
        <v>205</v>
      </c>
      <c r="Q957" s="15" t="s">
        <v>206</v>
      </c>
      <c r="R957" s="15" t="s">
        <v>207</v>
      </c>
      <c r="S957" s="24" t="s">
        <v>39</v>
      </c>
      <c r="T957" s="24" t="s">
        <v>39</v>
      </c>
      <c r="U957" s="24" t="s">
        <v>39</v>
      </c>
      <c r="V957" s="24" t="s">
        <v>39</v>
      </c>
      <c r="W957" s="24"/>
      <c r="X957" s="24"/>
      <c r="Y957" s="15"/>
      <c r="Z957" s="15"/>
      <c r="AA957" s="24"/>
      <c r="AB957" s="24"/>
      <c r="AC957" s="24"/>
      <c r="AD957" s="24"/>
      <c r="AE957" s="24"/>
      <c r="AF957" s="24"/>
      <c r="AG957" s="24"/>
      <c r="AH957" s="24"/>
    </row>
    <row r="958" spans="1:34" x14ac:dyDescent="0.25">
      <c r="A958" s="24" t="str">
        <f>HYPERLINK("https://www.cpso.on.ca/DoctorDetails/Janet-Eileen-Crosby/0040500-54476","Crosby, Janet Eileen")</f>
        <v>Crosby, Janet Eileen</v>
      </c>
      <c r="B958" s="25" t="s">
        <v>9685</v>
      </c>
      <c r="C958" s="24" t="s">
        <v>9686</v>
      </c>
      <c r="D958" s="24" t="s">
        <v>3562</v>
      </c>
      <c r="E958" s="24" t="s">
        <v>29</v>
      </c>
      <c r="F958" s="24" t="s">
        <v>47</v>
      </c>
      <c r="G958" s="24" t="s">
        <v>31</v>
      </c>
      <c r="H958" s="24" t="s">
        <v>9687</v>
      </c>
      <c r="I958" s="24" t="s">
        <v>9688</v>
      </c>
      <c r="J958" s="24" t="s">
        <v>9689</v>
      </c>
      <c r="K958" s="24"/>
      <c r="L958" s="24" t="s">
        <v>184</v>
      </c>
      <c r="M958" s="15"/>
      <c r="N958" s="15"/>
      <c r="O958" s="15"/>
      <c r="P958" s="15" t="s">
        <v>9690</v>
      </c>
      <c r="Q958" s="15" t="s">
        <v>170</v>
      </c>
      <c r="R958" s="15" t="s">
        <v>9691</v>
      </c>
      <c r="S958" s="24" t="s">
        <v>39</v>
      </c>
      <c r="T958" s="24" t="s">
        <v>39</v>
      </c>
      <c r="U958" s="24" t="s">
        <v>39</v>
      </c>
      <c r="V958" s="24" t="s">
        <v>39</v>
      </c>
      <c r="W958" s="24"/>
      <c r="X958" s="24"/>
      <c r="Y958" s="15"/>
      <c r="Z958" s="15"/>
      <c r="AA958" s="24"/>
      <c r="AB958" s="24"/>
      <c r="AC958" s="24"/>
      <c r="AD958" s="24"/>
      <c r="AE958" s="24"/>
      <c r="AF958" s="24"/>
      <c r="AG958" s="24"/>
      <c r="AH958" s="24"/>
    </row>
    <row r="959" spans="1:34" x14ac:dyDescent="0.25">
      <c r="A959" s="24" t="str">
        <f>HYPERLINK("https://www.cpso.on.ca/DoctorDetails/Janet-Ritchie/0050574-64553","Ritchie, Janet")</f>
        <v>Ritchie, Janet</v>
      </c>
      <c r="B959" s="25" t="s">
        <v>9692</v>
      </c>
      <c r="C959" s="24" t="s">
        <v>9693</v>
      </c>
      <c r="D959" s="24" t="s">
        <v>9694</v>
      </c>
      <c r="E959" s="24" t="s">
        <v>29</v>
      </c>
      <c r="F959" s="24" t="s">
        <v>47</v>
      </c>
      <c r="G959" s="24" t="s">
        <v>813</v>
      </c>
      <c r="H959" s="24" t="s">
        <v>3892</v>
      </c>
      <c r="I959" s="24" t="s">
        <v>9695</v>
      </c>
      <c r="J959" s="24" t="s">
        <v>9696</v>
      </c>
      <c r="K959" s="24"/>
      <c r="L959" s="24"/>
      <c r="M959" s="15"/>
      <c r="N959" s="15" t="s">
        <v>710</v>
      </c>
      <c r="O959" s="15"/>
      <c r="P959" s="15" t="s">
        <v>169</v>
      </c>
      <c r="Q959" s="15"/>
      <c r="R959" s="15" t="s">
        <v>9697</v>
      </c>
      <c r="S959" s="24" t="s">
        <v>39</v>
      </c>
      <c r="T959" s="24" t="s">
        <v>39</v>
      </c>
      <c r="U959" s="24" t="s">
        <v>39</v>
      </c>
      <c r="V959" s="24" t="s">
        <v>39</v>
      </c>
      <c r="W959" s="24"/>
      <c r="X959" s="24"/>
      <c r="Y959" s="15"/>
      <c r="Z959" s="15"/>
      <c r="AA959" s="24"/>
      <c r="AB959" s="24"/>
      <c r="AC959" s="24"/>
      <c r="AD959" s="24"/>
      <c r="AE959" s="24"/>
      <c r="AF959" s="24"/>
      <c r="AG959" s="24"/>
      <c r="AH959" s="24"/>
    </row>
    <row r="960" spans="1:34" ht="75" x14ac:dyDescent="0.25">
      <c r="A960" s="24" t="str">
        <f>HYPERLINK("https://www.cpso.on.ca/DoctorDetails/Janet-Ruth-McCulloch/0038859-52835","McCulloch, Janet Ruth")</f>
        <v>McCulloch, Janet Ruth</v>
      </c>
      <c r="B960" s="25" t="s">
        <v>9698</v>
      </c>
      <c r="C960" s="24" t="s">
        <v>2000</v>
      </c>
      <c r="D960" s="24" t="s">
        <v>9699</v>
      </c>
      <c r="E960" s="24" t="s">
        <v>29</v>
      </c>
      <c r="F960" s="24" t="s">
        <v>47</v>
      </c>
      <c r="G960" s="24" t="s">
        <v>31</v>
      </c>
      <c r="H960" s="24" t="s">
        <v>7846</v>
      </c>
      <c r="I960" s="24" t="s">
        <v>9700</v>
      </c>
      <c r="J960" s="24" t="s">
        <v>9701</v>
      </c>
      <c r="K960" s="24" t="s">
        <v>9702</v>
      </c>
      <c r="L960" s="24" t="s">
        <v>340</v>
      </c>
      <c r="M960" s="15" t="s">
        <v>9703</v>
      </c>
      <c r="N960" s="15"/>
      <c r="O960" s="15"/>
      <c r="P960" s="15" t="s">
        <v>1251</v>
      </c>
      <c r="Q960" s="15" t="s">
        <v>9704</v>
      </c>
      <c r="R960" s="15" t="s">
        <v>9705</v>
      </c>
      <c r="S960" s="24" t="s">
        <v>39</v>
      </c>
      <c r="T960" s="24" t="s">
        <v>39</v>
      </c>
      <c r="U960" s="24" t="s">
        <v>39</v>
      </c>
      <c r="V960" s="24" t="s">
        <v>39</v>
      </c>
      <c r="W960" s="24" t="s">
        <v>9706</v>
      </c>
      <c r="X960" s="24" t="s">
        <v>9707</v>
      </c>
      <c r="Y960" s="15" t="s">
        <v>9708</v>
      </c>
      <c r="Z960" s="15" t="s">
        <v>9709</v>
      </c>
      <c r="AA960" s="24"/>
      <c r="AB960" s="24"/>
      <c r="AC960" s="24"/>
      <c r="AD960" s="24"/>
      <c r="AE960" s="24"/>
      <c r="AF960" s="24"/>
      <c r="AG960" s="24"/>
      <c r="AH960" s="24"/>
    </row>
    <row r="961" spans="1:34" ht="90" x14ac:dyDescent="0.25">
      <c r="A961" s="24" t="str">
        <f>HYPERLINK("https://www.cpso.on.ca/DoctorDetails/Janet-Winifred-Maude-Ellis/0232364-85103","Ellis, Janet Winifred Maude")</f>
        <v>Ellis, Janet Winifred Maude</v>
      </c>
      <c r="B961" s="25" t="s">
        <v>9710</v>
      </c>
      <c r="C961" s="24" t="s">
        <v>9711</v>
      </c>
      <c r="D961" s="24" t="s">
        <v>9712</v>
      </c>
      <c r="E961" s="24" t="s">
        <v>29</v>
      </c>
      <c r="F961" s="24" t="s">
        <v>47</v>
      </c>
      <c r="G961" s="24" t="s">
        <v>31</v>
      </c>
      <c r="H961" s="24" t="s">
        <v>9713</v>
      </c>
      <c r="I961" s="24" t="s">
        <v>9714</v>
      </c>
      <c r="J961" s="24" t="s">
        <v>1395</v>
      </c>
      <c r="K961" s="24"/>
      <c r="L961" s="24" t="s">
        <v>52</v>
      </c>
      <c r="M961" s="15"/>
      <c r="N961" s="15"/>
      <c r="O961" s="15" t="s">
        <v>1397</v>
      </c>
      <c r="P961" s="15" t="s">
        <v>2348</v>
      </c>
      <c r="Q961" s="15" t="s">
        <v>9715</v>
      </c>
      <c r="R961" s="15" t="s">
        <v>9716</v>
      </c>
      <c r="S961" s="24" t="s">
        <v>39</v>
      </c>
      <c r="T961" s="24" t="s">
        <v>39</v>
      </c>
      <c r="U961" s="24" t="s">
        <v>39</v>
      </c>
      <c r="V961" s="24" t="s">
        <v>39</v>
      </c>
      <c r="W961" s="24" t="s">
        <v>9717</v>
      </c>
      <c r="X961" s="24" t="s">
        <v>9718</v>
      </c>
      <c r="Y961" s="15" t="s">
        <v>9719</v>
      </c>
      <c r="Z961" s="15" t="s">
        <v>9720</v>
      </c>
      <c r="AA961" s="24"/>
      <c r="AB961" s="24"/>
      <c r="AC961" s="24"/>
      <c r="AD961" s="24"/>
      <c r="AE961" s="24"/>
      <c r="AF961" s="24"/>
      <c r="AG961" s="24"/>
      <c r="AH961" s="24"/>
    </row>
    <row r="962" spans="1:34" ht="60" x14ac:dyDescent="0.25">
      <c r="A962" s="24" t="str">
        <f>HYPERLINK("https://www.cpso.on.ca/DoctorDetails/Janice-Diane-Magar/0053304-67270","Magar, Janice Diane")</f>
        <v>Magar, Janice Diane</v>
      </c>
      <c r="B962" s="25" t="s">
        <v>9721</v>
      </c>
      <c r="C962" s="24" t="s">
        <v>9722</v>
      </c>
      <c r="D962" s="24" t="s">
        <v>9723</v>
      </c>
      <c r="E962" s="24" t="s">
        <v>9724</v>
      </c>
      <c r="F962" s="24" t="s">
        <v>47</v>
      </c>
      <c r="G962" s="24" t="s">
        <v>31</v>
      </c>
      <c r="H962" s="24" t="s">
        <v>7928</v>
      </c>
      <c r="I962" s="24" t="s">
        <v>9725</v>
      </c>
      <c r="J962" s="24" t="s">
        <v>9726</v>
      </c>
      <c r="K962" s="24"/>
      <c r="L962" s="24" t="s">
        <v>84</v>
      </c>
      <c r="M962" s="15"/>
      <c r="N962" s="15"/>
      <c r="O962" s="15"/>
      <c r="P962" s="15" t="s">
        <v>9727</v>
      </c>
      <c r="Q962" s="15" t="s">
        <v>9728</v>
      </c>
      <c r="R962" s="15" t="s">
        <v>9729</v>
      </c>
      <c r="S962" s="24" t="s">
        <v>39</v>
      </c>
      <c r="T962" s="24" t="s">
        <v>39</v>
      </c>
      <c r="U962" s="24" t="s">
        <v>39</v>
      </c>
      <c r="V962" s="24" t="s">
        <v>39</v>
      </c>
      <c r="W962" s="24" t="s">
        <v>9730</v>
      </c>
      <c r="X962" s="24" t="s">
        <v>9731</v>
      </c>
      <c r="Y962" s="15" t="s">
        <v>9732</v>
      </c>
      <c r="Z962" s="15" t="s">
        <v>9725</v>
      </c>
      <c r="AA962" s="24"/>
      <c r="AB962" s="24"/>
      <c r="AC962" s="24"/>
      <c r="AD962" s="24"/>
      <c r="AE962" s="24"/>
      <c r="AF962" s="24"/>
      <c r="AG962" s="24"/>
      <c r="AH962" s="24"/>
    </row>
    <row r="963" spans="1:34" ht="45" x14ac:dyDescent="0.25">
      <c r="A963" s="24" t="str">
        <f>HYPERLINK("https://www.cpso.on.ca/DoctorDetails/Janice-Rise-Halpern/0026686-31509","Halpern, Janice Rise")</f>
        <v>Halpern, Janice Rise</v>
      </c>
      <c r="B963" s="25" t="s">
        <v>9733</v>
      </c>
      <c r="C963" s="24" t="s">
        <v>9734</v>
      </c>
      <c r="D963" s="24" t="s">
        <v>9735</v>
      </c>
      <c r="E963" s="24" t="s">
        <v>29</v>
      </c>
      <c r="F963" s="24" t="s">
        <v>47</v>
      </c>
      <c r="G963" s="24" t="s">
        <v>31</v>
      </c>
      <c r="H963" s="24" t="s">
        <v>1216</v>
      </c>
      <c r="I963" s="24" t="s">
        <v>9736</v>
      </c>
      <c r="J963" s="24" t="s">
        <v>9737</v>
      </c>
      <c r="K963" s="24" t="s">
        <v>9738</v>
      </c>
      <c r="L963" s="24" t="s">
        <v>52</v>
      </c>
      <c r="M963" s="15"/>
      <c r="N963" s="15"/>
      <c r="O963" s="15" t="s">
        <v>1201</v>
      </c>
      <c r="P963" s="15" t="s">
        <v>3443</v>
      </c>
      <c r="Q963" s="15"/>
      <c r="R963" s="15" t="s">
        <v>9739</v>
      </c>
      <c r="S963" s="24" t="s">
        <v>39</v>
      </c>
      <c r="T963" s="24" t="s">
        <v>39</v>
      </c>
      <c r="U963" s="24" t="s">
        <v>39</v>
      </c>
      <c r="V963" s="24" t="s">
        <v>39</v>
      </c>
      <c r="W963" s="24" t="s">
        <v>9740</v>
      </c>
      <c r="X963" s="24" t="s">
        <v>9741</v>
      </c>
      <c r="Y963" s="15" t="s">
        <v>9742</v>
      </c>
      <c r="Z963" s="15" t="s">
        <v>9743</v>
      </c>
      <c r="AA963" s="24" t="s">
        <v>9744</v>
      </c>
      <c r="AB963" s="24" t="s">
        <v>9741</v>
      </c>
      <c r="AC963" s="24" t="s">
        <v>9742</v>
      </c>
      <c r="AD963" s="24" t="s">
        <v>9745</v>
      </c>
      <c r="AE963" s="24"/>
      <c r="AF963" s="24"/>
      <c r="AG963" s="24"/>
      <c r="AH963" s="24"/>
    </row>
    <row r="964" spans="1:34" ht="75" x14ac:dyDescent="0.25">
      <c r="A964" s="24" t="str">
        <f>HYPERLINK("https://www.cpso.on.ca/DoctorDetails/Janice-Yolande-Van-Kampen/0140189-71470","Van Kampen, Janice Yolande")</f>
        <v>Van Kampen, Janice Yolande</v>
      </c>
      <c r="B964" s="25" t="s">
        <v>9746</v>
      </c>
      <c r="C964" s="24" t="s">
        <v>1390</v>
      </c>
      <c r="D964" s="24" t="s">
        <v>1391</v>
      </c>
      <c r="E964" s="24" t="s">
        <v>29</v>
      </c>
      <c r="F964" s="24" t="s">
        <v>47</v>
      </c>
      <c r="G964" s="24" t="s">
        <v>31</v>
      </c>
      <c r="H964" s="24" t="s">
        <v>1393</v>
      </c>
      <c r="I964" s="24" t="s">
        <v>9747</v>
      </c>
      <c r="J964" s="24" t="s">
        <v>9748</v>
      </c>
      <c r="K964" s="24" t="s">
        <v>9749</v>
      </c>
      <c r="L964" s="24" t="s">
        <v>184</v>
      </c>
      <c r="M964" s="15"/>
      <c r="N964" s="15"/>
      <c r="O964" s="15" t="s">
        <v>9750</v>
      </c>
      <c r="P964" s="15" t="s">
        <v>1398</v>
      </c>
      <c r="Q964" s="15" t="s">
        <v>3693</v>
      </c>
      <c r="R964" s="15" t="s">
        <v>1400</v>
      </c>
      <c r="S964" s="24" t="s">
        <v>39</v>
      </c>
      <c r="T964" s="24" t="s">
        <v>39</v>
      </c>
      <c r="U964" s="24" t="s">
        <v>39</v>
      </c>
      <c r="V964" s="24" t="s">
        <v>39</v>
      </c>
      <c r="W964" s="24" t="s">
        <v>9751</v>
      </c>
      <c r="X964" s="24" t="s">
        <v>3784</v>
      </c>
      <c r="Y964" s="15" t="s">
        <v>9752</v>
      </c>
      <c r="Z964" s="15" t="s">
        <v>9753</v>
      </c>
      <c r="AA964" s="24"/>
      <c r="AB964" s="24"/>
      <c r="AC964" s="24"/>
      <c r="AD964" s="24"/>
      <c r="AE964" s="24"/>
      <c r="AF964" s="24"/>
      <c r="AG964" s="24"/>
      <c r="AH964" s="24"/>
    </row>
    <row r="965" spans="1:34" ht="120" x14ac:dyDescent="0.25">
      <c r="A965" s="24" t="str">
        <f>HYPERLINK("https://www.cpso.on.ca/DoctorDetails/Janine-Marie-Przysiezny/0161983-73497","Przysiezny, Janine Marie")</f>
        <v>Przysiezny, Janine Marie</v>
      </c>
      <c r="B965" s="25" t="s">
        <v>9754</v>
      </c>
      <c r="C965" s="24" t="s">
        <v>280</v>
      </c>
      <c r="D965" s="24" t="s">
        <v>9755</v>
      </c>
      <c r="E965" s="24" t="s">
        <v>9756</v>
      </c>
      <c r="F965" s="24" t="s">
        <v>47</v>
      </c>
      <c r="G965" s="24" t="s">
        <v>31</v>
      </c>
      <c r="H965" s="24" t="s">
        <v>9757</v>
      </c>
      <c r="I965" s="24" t="s">
        <v>9758</v>
      </c>
      <c r="J965" s="24" t="s">
        <v>9759</v>
      </c>
      <c r="K965" s="24" t="s">
        <v>7986</v>
      </c>
      <c r="L965" s="24" t="s">
        <v>135</v>
      </c>
      <c r="M965" s="15"/>
      <c r="N965" s="15"/>
      <c r="O965" s="15" t="s">
        <v>9760</v>
      </c>
      <c r="P965" s="15" t="s">
        <v>9761</v>
      </c>
      <c r="Q965" s="15" t="s">
        <v>9762</v>
      </c>
      <c r="R965" s="15" t="s">
        <v>9763</v>
      </c>
      <c r="S965" s="24" t="s">
        <v>39</v>
      </c>
      <c r="T965" s="24" t="s">
        <v>39</v>
      </c>
      <c r="U965" s="24" t="s">
        <v>39</v>
      </c>
      <c r="V965" s="24" t="s">
        <v>39</v>
      </c>
      <c r="W965" s="24" t="s">
        <v>9764</v>
      </c>
      <c r="X965" s="24" t="s">
        <v>9765</v>
      </c>
      <c r="Y965" s="15" t="s">
        <v>9766</v>
      </c>
      <c r="Z965" s="15" t="s">
        <v>9767</v>
      </c>
      <c r="AA965" s="24"/>
      <c r="AB965" s="24"/>
      <c r="AC965" s="24"/>
      <c r="AD965" s="24"/>
      <c r="AE965" s="24"/>
      <c r="AF965" s="24"/>
      <c r="AG965" s="24"/>
      <c r="AH965" s="24"/>
    </row>
    <row r="966" spans="1:34" ht="135" x14ac:dyDescent="0.25">
      <c r="A966" s="24" t="str">
        <f>HYPERLINK("https://www.cpso.on.ca/DoctorDetails/Janki-Butchey/0036347-50323","Butchey, Janki")</f>
        <v>Butchey, Janki</v>
      </c>
      <c r="B966" s="25" t="s">
        <v>9768</v>
      </c>
      <c r="C966" s="24" t="s">
        <v>9769</v>
      </c>
      <c r="D966" s="24" t="s">
        <v>8235</v>
      </c>
      <c r="E966" s="24" t="s">
        <v>29</v>
      </c>
      <c r="F966" s="24" t="s">
        <v>47</v>
      </c>
      <c r="G966" s="24" t="s">
        <v>1657</v>
      </c>
      <c r="H966" s="24" t="s">
        <v>9770</v>
      </c>
      <c r="I966" s="24" t="s">
        <v>9771</v>
      </c>
      <c r="J966" s="24" t="s">
        <v>9772</v>
      </c>
      <c r="K966" s="24" t="s">
        <v>9773</v>
      </c>
      <c r="L966" s="24" t="s">
        <v>135</v>
      </c>
      <c r="M966" s="15" t="s">
        <v>9774</v>
      </c>
      <c r="N966" s="15"/>
      <c r="O966" s="15"/>
      <c r="P966" s="15" t="s">
        <v>785</v>
      </c>
      <c r="Q966" s="15"/>
      <c r="R966" s="15" t="s">
        <v>9775</v>
      </c>
      <c r="S966" s="24" t="s">
        <v>71</v>
      </c>
      <c r="T966" s="24" t="s">
        <v>39</v>
      </c>
      <c r="U966" s="24" t="s">
        <v>39</v>
      </c>
      <c r="V966" s="24" t="s">
        <v>39</v>
      </c>
      <c r="W966" s="24" t="s">
        <v>9776</v>
      </c>
      <c r="X966" s="24" t="s">
        <v>9777</v>
      </c>
      <c r="Y966" s="15" t="s">
        <v>9778</v>
      </c>
      <c r="Z966" s="15" t="s">
        <v>9779</v>
      </c>
      <c r="AA966" s="24"/>
      <c r="AB966" s="24"/>
      <c r="AC966" s="24"/>
      <c r="AD966" s="24"/>
      <c r="AE966" s="24"/>
      <c r="AF966" s="24"/>
      <c r="AG966" s="24"/>
      <c r="AH966" s="24"/>
    </row>
    <row r="967" spans="1:34" ht="45" x14ac:dyDescent="0.25">
      <c r="A967" s="24" t="str">
        <f>HYPERLINK("https://www.cpso.on.ca/DoctorDetails/Janusz-Donat-Gawlik/0048027-62005","Gawlik, Janusz Donat")</f>
        <v>Gawlik, Janusz Donat</v>
      </c>
      <c r="B967" s="25" t="s">
        <v>9780</v>
      </c>
      <c r="C967" s="24" t="s">
        <v>9781</v>
      </c>
      <c r="D967" s="24" t="s">
        <v>9782</v>
      </c>
      <c r="E967" s="24" t="s">
        <v>29</v>
      </c>
      <c r="F967" s="24" t="s">
        <v>30</v>
      </c>
      <c r="G967" s="24" t="s">
        <v>1657</v>
      </c>
      <c r="H967" s="24" t="s">
        <v>9783</v>
      </c>
      <c r="I967" s="24" t="s">
        <v>9784</v>
      </c>
      <c r="J967" s="24" t="s">
        <v>9785</v>
      </c>
      <c r="K967" s="24" t="s">
        <v>9786</v>
      </c>
      <c r="L967" s="24" t="s">
        <v>84</v>
      </c>
      <c r="M967" s="15"/>
      <c r="N967" s="15"/>
      <c r="O967" s="15"/>
      <c r="P967" s="15" t="s">
        <v>1007</v>
      </c>
      <c r="Q967" s="15"/>
      <c r="R967" s="15" t="s">
        <v>9787</v>
      </c>
      <c r="S967" s="24" t="s">
        <v>39</v>
      </c>
      <c r="T967" s="24" t="s">
        <v>39</v>
      </c>
      <c r="U967" s="24" t="s">
        <v>39</v>
      </c>
      <c r="V967" s="24" t="s">
        <v>39</v>
      </c>
      <c r="W967" s="24" t="s">
        <v>9788</v>
      </c>
      <c r="X967" s="24" t="s">
        <v>5774</v>
      </c>
      <c r="Y967" s="15" t="s">
        <v>9789</v>
      </c>
      <c r="Z967" s="15" t="s">
        <v>9790</v>
      </c>
      <c r="AA967" s="24"/>
      <c r="AB967" s="24"/>
      <c r="AC967" s="24"/>
      <c r="AD967" s="24"/>
      <c r="AE967" s="24"/>
      <c r="AF967" s="24"/>
      <c r="AG967" s="24"/>
      <c r="AH967" s="24"/>
    </row>
    <row r="968" spans="1:34" x14ac:dyDescent="0.25">
      <c r="A968" s="24" t="str">
        <f>HYPERLINK("https://www.cpso.on.ca/DoctorDetails/Janusz-Romuald-Dukszta/0012664-17444","Dukszta, Janusz Romuald")</f>
        <v>Dukszta, Janusz Romuald</v>
      </c>
      <c r="B968" s="25" t="s">
        <v>9791</v>
      </c>
      <c r="C968" s="24" t="s">
        <v>9792</v>
      </c>
      <c r="D968" s="24" t="s">
        <v>9793</v>
      </c>
      <c r="E968" s="24" t="s">
        <v>29</v>
      </c>
      <c r="F968" s="24" t="s">
        <v>30</v>
      </c>
      <c r="G968" s="24" t="s">
        <v>1657</v>
      </c>
      <c r="H968" s="24" t="s">
        <v>9794</v>
      </c>
      <c r="I968" s="24" t="s">
        <v>9795</v>
      </c>
      <c r="J968" s="24" t="s">
        <v>9796</v>
      </c>
      <c r="K968" s="24"/>
      <c r="L968" s="24" t="s">
        <v>52</v>
      </c>
      <c r="M968" s="15"/>
      <c r="N968" s="15"/>
      <c r="O968" s="15"/>
      <c r="P968" s="15" t="s">
        <v>9797</v>
      </c>
      <c r="Q968" s="15"/>
      <c r="R968" s="15" t="s">
        <v>9798</v>
      </c>
      <c r="S968" s="24" t="s">
        <v>39</v>
      </c>
      <c r="T968" s="24" t="s">
        <v>39</v>
      </c>
      <c r="U968" s="24" t="s">
        <v>39</v>
      </c>
      <c r="V968" s="24" t="s">
        <v>39</v>
      </c>
      <c r="W968" s="24"/>
      <c r="X968" s="24"/>
      <c r="Y968" s="15"/>
      <c r="Z968" s="15"/>
      <c r="AA968" s="24"/>
      <c r="AB968" s="24"/>
      <c r="AC968" s="24"/>
      <c r="AD968" s="24"/>
      <c r="AE968" s="24"/>
      <c r="AF968" s="24"/>
      <c r="AG968" s="24"/>
      <c r="AH968" s="24"/>
    </row>
    <row r="969" spans="1:34" ht="30" x14ac:dyDescent="0.25">
      <c r="A969" s="24" t="str">
        <f>HYPERLINK("https://www.cpso.on.ca/DoctorDetails/Janusz-Stefan-Swierczek/0039242-53218","Swierczek, Janusz Stefan")</f>
        <v>Swierczek, Janusz Stefan</v>
      </c>
      <c r="B969" s="25" t="s">
        <v>9799</v>
      </c>
      <c r="C969" s="24" t="s">
        <v>2000</v>
      </c>
      <c r="D969" s="24" t="s">
        <v>7054</v>
      </c>
      <c r="E969" s="24" t="s">
        <v>29</v>
      </c>
      <c r="F969" s="24" t="s">
        <v>30</v>
      </c>
      <c r="G969" s="24" t="s">
        <v>1657</v>
      </c>
      <c r="H969" s="24" t="s">
        <v>9800</v>
      </c>
      <c r="I969" s="24" t="s">
        <v>9801</v>
      </c>
      <c r="J969" s="24" t="s">
        <v>9802</v>
      </c>
      <c r="K969" s="24" t="s">
        <v>9803</v>
      </c>
      <c r="L969" s="24" t="s">
        <v>52</v>
      </c>
      <c r="M969" s="15"/>
      <c r="N969" s="15"/>
      <c r="O969" s="15"/>
      <c r="P969" s="15" t="s">
        <v>4499</v>
      </c>
      <c r="Q969" s="15"/>
      <c r="R969" s="15" t="s">
        <v>9804</v>
      </c>
      <c r="S969" s="24" t="s">
        <v>39</v>
      </c>
      <c r="T969" s="24" t="s">
        <v>39</v>
      </c>
      <c r="U969" s="24" t="s">
        <v>39</v>
      </c>
      <c r="V969" s="24" t="s">
        <v>39</v>
      </c>
      <c r="W969" s="24" t="s">
        <v>9805</v>
      </c>
      <c r="X969" s="24" t="s">
        <v>9806</v>
      </c>
      <c r="Y969" s="15" t="s">
        <v>9807</v>
      </c>
      <c r="Z969" s="15" t="s">
        <v>9808</v>
      </c>
      <c r="AA969" s="24"/>
      <c r="AB969" s="24"/>
      <c r="AC969" s="24"/>
      <c r="AD969" s="24"/>
      <c r="AE969" s="24"/>
      <c r="AF969" s="24"/>
      <c r="AG969" s="24"/>
      <c r="AH969" s="24"/>
    </row>
    <row r="970" spans="1:34" ht="75" x14ac:dyDescent="0.25">
      <c r="A970" s="24" t="str">
        <f>HYPERLINK("https://www.cpso.on.ca/DoctorDetails/Jared-Paul-Risman/0139389-71238","Risman, Jared Paul")</f>
        <v>Risman, Jared Paul</v>
      </c>
      <c r="B970" s="25" t="s">
        <v>9809</v>
      </c>
      <c r="C970" s="24" t="s">
        <v>1390</v>
      </c>
      <c r="D970" s="24" t="s">
        <v>1391</v>
      </c>
      <c r="E970" s="24" t="s">
        <v>29</v>
      </c>
      <c r="F970" s="24" t="s">
        <v>30</v>
      </c>
      <c r="G970" s="24" t="s">
        <v>31</v>
      </c>
      <c r="H970" s="24" t="s">
        <v>242</v>
      </c>
      <c r="I970" s="24" t="s">
        <v>9810</v>
      </c>
      <c r="J970" s="24" t="s">
        <v>9811</v>
      </c>
      <c r="K970" s="24" t="s">
        <v>9812</v>
      </c>
      <c r="L970" s="24" t="s">
        <v>36</v>
      </c>
      <c r="M970" s="15" t="s">
        <v>9813</v>
      </c>
      <c r="N970" s="15"/>
      <c r="O970" s="15" t="s">
        <v>867</v>
      </c>
      <c r="P970" s="15" t="s">
        <v>1398</v>
      </c>
      <c r="Q970" s="15" t="s">
        <v>3693</v>
      </c>
      <c r="R970" s="15" t="s">
        <v>1400</v>
      </c>
      <c r="S970" s="24" t="s">
        <v>39</v>
      </c>
      <c r="T970" s="24" t="s">
        <v>39</v>
      </c>
      <c r="U970" s="24" t="s">
        <v>39</v>
      </c>
      <c r="V970" s="24" t="s">
        <v>39</v>
      </c>
      <c r="W970" s="24" t="s">
        <v>9814</v>
      </c>
      <c r="X970" s="24" t="s">
        <v>963</v>
      </c>
      <c r="Y970" s="15" t="s">
        <v>9815</v>
      </c>
      <c r="Z970" s="15" t="s">
        <v>9816</v>
      </c>
      <c r="AA970" s="24"/>
      <c r="AB970" s="24"/>
      <c r="AC970" s="24"/>
      <c r="AD970" s="24"/>
      <c r="AE970" s="24"/>
      <c r="AF970" s="24"/>
      <c r="AG970" s="24"/>
      <c r="AH970" s="24"/>
    </row>
    <row r="971" spans="1:34" ht="75" x14ac:dyDescent="0.25">
      <c r="A971" s="24" t="str">
        <f>HYPERLINK("https://www.cpso.on.ca/DoctorDetails/Jared-Richard-Peck/0210690-81062","Peck, Jared Richard")</f>
        <v>Peck, Jared Richard</v>
      </c>
      <c r="B971" s="25" t="s">
        <v>9817</v>
      </c>
      <c r="C971" s="24" t="s">
        <v>45</v>
      </c>
      <c r="D971" s="24" t="s">
        <v>46</v>
      </c>
      <c r="E971" s="24" t="s">
        <v>29</v>
      </c>
      <c r="F971" s="24" t="s">
        <v>30</v>
      </c>
      <c r="G971" s="24" t="s">
        <v>31</v>
      </c>
      <c r="H971" s="24" t="s">
        <v>1170</v>
      </c>
      <c r="I971" s="24" t="s">
        <v>9818</v>
      </c>
      <c r="J971" s="24" t="s">
        <v>9819</v>
      </c>
      <c r="K971" s="24" t="s">
        <v>1528</v>
      </c>
      <c r="L971" s="24" t="s">
        <v>52</v>
      </c>
      <c r="M971" s="15"/>
      <c r="N971" s="15"/>
      <c r="O971" s="15" t="s">
        <v>438</v>
      </c>
      <c r="P971" s="15" t="s">
        <v>55</v>
      </c>
      <c r="Q971" s="15" t="s">
        <v>56</v>
      </c>
      <c r="R971" s="15" t="s">
        <v>57</v>
      </c>
      <c r="S971" s="24" t="s">
        <v>39</v>
      </c>
      <c r="T971" s="24" t="s">
        <v>39</v>
      </c>
      <c r="U971" s="24" t="s">
        <v>39</v>
      </c>
      <c r="V971" s="24" t="s">
        <v>39</v>
      </c>
      <c r="W971" s="24"/>
      <c r="X971" s="24"/>
      <c r="Y971" s="15"/>
      <c r="Z971" s="15"/>
      <c r="AA971" s="24"/>
      <c r="AB971" s="24"/>
      <c r="AC971" s="24"/>
      <c r="AD971" s="24"/>
      <c r="AE971" s="24"/>
      <c r="AF971" s="24"/>
      <c r="AG971" s="24"/>
      <c r="AH971" s="24"/>
    </row>
    <row r="972" spans="1:34" ht="45" x14ac:dyDescent="0.25">
      <c r="A972" s="24" t="str">
        <f>HYPERLINK("https://www.cpso.on.ca/DoctorDetails/Jasjot-Kaur-Chadda/0048291-62269","Chadda, Jasjot Kaur")</f>
        <v>Chadda, Jasjot Kaur</v>
      </c>
      <c r="B972" s="25" t="s">
        <v>9820</v>
      </c>
      <c r="C972" s="24" t="s">
        <v>9821</v>
      </c>
      <c r="D972" s="24" t="s">
        <v>5853</v>
      </c>
      <c r="E972" s="24" t="s">
        <v>29</v>
      </c>
      <c r="F972" s="24" t="s">
        <v>47</v>
      </c>
      <c r="G972" s="24" t="s">
        <v>31</v>
      </c>
      <c r="H972" s="24" t="s">
        <v>5151</v>
      </c>
      <c r="I972" s="24" t="s">
        <v>9822</v>
      </c>
      <c r="J972" s="24" t="s">
        <v>9823</v>
      </c>
      <c r="K972" s="24" t="s">
        <v>7027</v>
      </c>
      <c r="L972" s="24" t="s">
        <v>52</v>
      </c>
      <c r="M972" s="15"/>
      <c r="N972" s="15"/>
      <c r="O972" s="15"/>
      <c r="P972" s="15" t="s">
        <v>2042</v>
      </c>
      <c r="Q972" s="15" t="s">
        <v>8938</v>
      </c>
      <c r="R972" s="15" t="s">
        <v>9824</v>
      </c>
      <c r="S972" s="24" t="s">
        <v>39</v>
      </c>
      <c r="T972" s="24" t="s">
        <v>39</v>
      </c>
      <c r="U972" s="24" t="s">
        <v>71</v>
      </c>
      <c r="V972" s="24" t="s">
        <v>39</v>
      </c>
      <c r="W972" s="24" t="s">
        <v>9825</v>
      </c>
      <c r="X972" s="24" t="s">
        <v>9826</v>
      </c>
      <c r="Y972" s="15" t="s">
        <v>9827</v>
      </c>
      <c r="Z972" s="15" t="s">
        <v>9828</v>
      </c>
      <c r="AA972" s="24"/>
      <c r="AB972" s="24"/>
      <c r="AC972" s="24"/>
      <c r="AD972" s="24"/>
      <c r="AE972" s="24"/>
      <c r="AF972" s="24"/>
      <c r="AG972" s="24"/>
      <c r="AH972" s="24"/>
    </row>
    <row r="973" spans="1:34" ht="90" x14ac:dyDescent="0.25">
      <c r="A973" s="24" t="str">
        <f>HYPERLINK("https://www.cpso.on.ca/DoctorDetails/Jasmine-Gandhi/0161954-73828","Gandhi, Jasmine")</f>
        <v>Gandhi, Jasmine</v>
      </c>
      <c r="B973" s="25" t="s">
        <v>9829</v>
      </c>
      <c r="C973" s="24" t="s">
        <v>9830</v>
      </c>
      <c r="D973" s="24" t="s">
        <v>9831</v>
      </c>
      <c r="E973" s="24" t="s">
        <v>29</v>
      </c>
      <c r="F973" s="24" t="s">
        <v>47</v>
      </c>
      <c r="G973" s="24" t="s">
        <v>31</v>
      </c>
      <c r="H973" s="24" t="s">
        <v>9832</v>
      </c>
      <c r="I973" s="24" t="s">
        <v>9833</v>
      </c>
      <c r="J973" s="24" t="s">
        <v>3977</v>
      </c>
      <c r="K973" s="24" t="s">
        <v>3978</v>
      </c>
      <c r="L973" s="24" t="s">
        <v>84</v>
      </c>
      <c r="M973" s="15"/>
      <c r="N973" s="15"/>
      <c r="O973" s="15" t="s">
        <v>1309</v>
      </c>
      <c r="P973" s="15" t="s">
        <v>4943</v>
      </c>
      <c r="Q973" s="15" t="s">
        <v>9834</v>
      </c>
      <c r="R973" s="15" t="s">
        <v>9835</v>
      </c>
      <c r="S973" s="24" t="s">
        <v>39</v>
      </c>
      <c r="T973" s="24" t="s">
        <v>39</v>
      </c>
      <c r="U973" s="24" t="s">
        <v>39</v>
      </c>
      <c r="V973" s="24" t="s">
        <v>39</v>
      </c>
      <c r="W973" s="24" t="s">
        <v>9836</v>
      </c>
      <c r="X973" s="24" t="s">
        <v>9837</v>
      </c>
      <c r="Y973" s="15" t="s">
        <v>9838</v>
      </c>
      <c r="Z973" s="15" t="s">
        <v>9839</v>
      </c>
      <c r="AA973" s="24"/>
      <c r="AB973" s="24"/>
      <c r="AC973" s="24"/>
      <c r="AD973" s="24"/>
      <c r="AE973" s="24"/>
      <c r="AF973" s="24"/>
      <c r="AG973" s="24"/>
      <c r="AH973" s="24"/>
    </row>
    <row r="974" spans="1:34" ht="75" x14ac:dyDescent="0.25">
      <c r="A974" s="24" t="str">
        <f>HYPERLINK("https://www.cpso.on.ca/DoctorDetails/Jason-Alexander-Joseph-Joannou/0232882-84926","Joannou, Jason Alexander Joseph")</f>
        <v>Joannou, Jason Alexander Joseph</v>
      </c>
      <c r="B974" s="25" t="s">
        <v>9840</v>
      </c>
      <c r="C974" s="24" t="s">
        <v>647</v>
      </c>
      <c r="D974" s="24" t="s">
        <v>648</v>
      </c>
      <c r="E974" s="24" t="s">
        <v>29</v>
      </c>
      <c r="F974" s="24" t="s">
        <v>30</v>
      </c>
      <c r="G974" s="24" t="s">
        <v>31</v>
      </c>
      <c r="H974" s="24" t="s">
        <v>649</v>
      </c>
      <c r="I974" s="24" t="s">
        <v>9841</v>
      </c>
      <c r="J974" s="24" t="s">
        <v>9842</v>
      </c>
      <c r="K974" s="24" t="s">
        <v>1585</v>
      </c>
      <c r="L974" s="24" t="s">
        <v>52</v>
      </c>
      <c r="M974" s="15"/>
      <c r="N974" s="15"/>
      <c r="O974" s="15" t="s">
        <v>793</v>
      </c>
      <c r="P974" s="15" t="s">
        <v>654</v>
      </c>
      <c r="Q974" s="15" t="s">
        <v>655</v>
      </c>
      <c r="R974" s="15" t="s">
        <v>656</v>
      </c>
      <c r="S974" s="24" t="s">
        <v>39</v>
      </c>
      <c r="T974" s="24" t="s">
        <v>39</v>
      </c>
      <c r="U974" s="24" t="s">
        <v>39</v>
      </c>
      <c r="V974" s="24" t="s">
        <v>39</v>
      </c>
      <c r="W974" s="24" t="s">
        <v>9843</v>
      </c>
      <c r="X974" s="24" t="s">
        <v>9844</v>
      </c>
      <c r="Y974" s="15" t="s">
        <v>9845</v>
      </c>
      <c r="Z974" s="15" t="s">
        <v>9846</v>
      </c>
      <c r="AA974" s="24" t="s">
        <v>9847</v>
      </c>
      <c r="AB974" s="24" t="s">
        <v>9844</v>
      </c>
      <c r="AC974" s="24" t="s">
        <v>9845</v>
      </c>
      <c r="AD974" s="24" t="s">
        <v>9848</v>
      </c>
      <c r="AE974" s="24"/>
      <c r="AF974" s="24"/>
      <c r="AG974" s="24"/>
      <c r="AH974" s="24"/>
    </row>
    <row r="975" spans="1:34" ht="75" x14ac:dyDescent="0.25">
      <c r="A975" s="24" t="str">
        <f>HYPERLINK("https://www.cpso.on.ca/DoctorDetails/Jason-Anthony-Bond/0291154-102359","Bond, Jason Anthony")</f>
        <v>Bond, Jason Anthony</v>
      </c>
      <c r="B975" s="25" t="s">
        <v>9849</v>
      </c>
      <c r="C975" s="24" t="s">
        <v>3585</v>
      </c>
      <c r="D975" s="24" t="s">
        <v>443</v>
      </c>
      <c r="E975" s="24" t="s">
        <v>29</v>
      </c>
      <c r="F975" s="24" t="s">
        <v>30</v>
      </c>
      <c r="G975" s="24" t="s">
        <v>813</v>
      </c>
      <c r="H975" s="24" t="s">
        <v>9850</v>
      </c>
      <c r="I975" s="24" t="s">
        <v>9851</v>
      </c>
      <c r="J975" s="24" t="s">
        <v>9852</v>
      </c>
      <c r="K975" s="24"/>
      <c r="L975" s="24"/>
      <c r="M975" s="15"/>
      <c r="N975" s="15" t="s">
        <v>710</v>
      </c>
      <c r="O975" s="15"/>
      <c r="P975" s="15" t="s">
        <v>9853</v>
      </c>
      <c r="Q975" s="15" t="s">
        <v>9854</v>
      </c>
      <c r="R975" s="15" t="s">
        <v>9855</v>
      </c>
      <c r="S975" s="24" t="s">
        <v>39</v>
      </c>
      <c r="T975" s="24" t="s">
        <v>39</v>
      </c>
      <c r="U975" s="24" t="s">
        <v>39</v>
      </c>
      <c r="V975" s="24" t="s">
        <v>39</v>
      </c>
      <c r="W975" s="24"/>
      <c r="X975" s="24"/>
      <c r="Y975" s="15"/>
      <c r="Z975" s="15"/>
      <c r="AA975" s="24"/>
      <c r="AB975" s="24"/>
      <c r="AC975" s="24"/>
      <c r="AD975" s="24"/>
      <c r="AE975" s="24"/>
      <c r="AF975" s="24"/>
      <c r="AG975" s="24"/>
      <c r="AH975" s="24"/>
    </row>
    <row r="976" spans="1:34" ht="90" x14ac:dyDescent="0.25">
      <c r="A976" s="24" t="str">
        <f>HYPERLINK("https://www.cpso.on.ca/DoctorDetails/Jason-James-Quinn/0280880-98341","Quinn, Jason James")</f>
        <v>Quinn, Jason James</v>
      </c>
      <c r="B976" s="25" t="s">
        <v>9856</v>
      </c>
      <c r="C976" s="24" t="s">
        <v>544</v>
      </c>
      <c r="D976" s="24" t="s">
        <v>9857</v>
      </c>
      <c r="E976" s="24" t="s">
        <v>29</v>
      </c>
      <c r="F976" s="24" t="s">
        <v>30</v>
      </c>
      <c r="G976" s="24" t="s">
        <v>31</v>
      </c>
      <c r="H976" s="24" t="s">
        <v>9858</v>
      </c>
      <c r="I976" s="24" t="s">
        <v>9859</v>
      </c>
      <c r="J976" s="24" t="s">
        <v>9860</v>
      </c>
      <c r="K976" s="24"/>
      <c r="L976" s="24" t="s">
        <v>135</v>
      </c>
      <c r="M976" s="15"/>
      <c r="N976" s="15"/>
      <c r="O976" s="15"/>
      <c r="P976" s="15" t="s">
        <v>550</v>
      </c>
      <c r="Q976" s="15" t="s">
        <v>9861</v>
      </c>
      <c r="R976" s="15" t="s">
        <v>9862</v>
      </c>
      <c r="S976" s="24" t="s">
        <v>39</v>
      </c>
      <c r="T976" s="24" t="s">
        <v>39</v>
      </c>
      <c r="U976" s="24" t="s">
        <v>39</v>
      </c>
      <c r="V976" s="24" t="s">
        <v>39</v>
      </c>
      <c r="W976" s="24"/>
      <c r="X976" s="24"/>
      <c r="Y976" s="15"/>
      <c r="Z976" s="15"/>
      <c r="AA976" s="24"/>
      <c r="AB976" s="24"/>
      <c r="AC976" s="24"/>
      <c r="AD976" s="24"/>
      <c r="AE976" s="24"/>
      <c r="AF976" s="24"/>
      <c r="AG976" s="24"/>
      <c r="AH976" s="24"/>
    </row>
    <row r="977" spans="1:34" ht="90" x14ac:dyDescent="0.25">
      <c r="A977" s="24" t="str">
        <f>HYPERLINK("https://www.cpso.on.ca/DoctorDetails/Jatinder-Takhar/0051780-65759","Takhar, Jatinder")</f>
        <v>Takhar, Jatinder</v>
      </c>
      <c r="B977" s="25" t="s">
        <v>9863</v>
      </c>
      <c r="C977" s="24" t="s">
        <v>9864</v>
      </c>
      <c r="D977" s="24" t="s">
        <v>8411</v>
      </c>
      <c r="E977" s="24" t="s">
        <v>29</v>
      </c>
      <c r="F977" s="24" t="s">
        <v>47</v>
      </c>
      <c r="G977" s="24" t="s">
        <v>691</v>
      </c>
      <c r="H977" s="24" t="s">
        <v>8224</v>
      </c>
      <c r="I977" s="24" t="s">
        <v>9865</v>
      </c>
      <c r="J977" s="24" t="s">
        <v>2716</v>
      </c>
      <c r="K977" s="24" t="s">
        <v>9866</v>
      </c>
      <c r="L977" s="24" t="s">
        <v>135</v>
      </c>
      <c r="M977" s="15"/>
      <c r="N977" s="15" t="s">
        <v>258</v>
      </c>
      <c r="O977" s="15" t="s">
        <v>4812</v>
      </c>
      <c r="P977" s="15" t="s">
        <v>3954</v>
      </c>
      <c r="Q977" s="15" t="s">
        <v>9867</v>
      </c>
      <c r="R977" s="15" t="s">
        <v>9868</v>
      </c>
      <c r="S977" s="24" t="s">
        <v>39</v>
      </c>
      <c r="T977" s="24" t="s">
        <v>39</v>
      </c>
      <c r="U977" s="24" t="s">
        <v>39</v>
      </c>
      <c r="V977" s="24" t="s">
        <v>39</v>
      </c>
      <c r="W977" s="24" t="s">
        <v>9869</v>
      </c>
      <c r="X977" s="24" t="s">
        <v>530</v>
      </c>
      <c r="Y977" s="15" t="s">
        <v>9870</v>
      </c>
      <c r="Z977" s="15" t="s">
        <v>9871</v>
      </c>
      <c r="AA977" s="24"/>
      <c r="AB977" s="24"/>
      <c r="AC977" s="24"/>
      <c r="AD977" s="24"/>
      <c r="AE977" s="24"/>
      <c r="AF977" s="24"/>
      <c r="AG977" s="24"/>
      <c r="AH977" s="24"/>
    </row>
    <row r="978" spans="1:34" ht="90" x14ac:dyDescent="0.25">
      <c r="A978" s="24" t="str">
        <f>HYPERLINK("https://www.cpso.on.ca/DoctorDetails/Javeed-Iqbal-Sukhera/0278705-98627","Sukhera, Javeed Iqbal")</f>
        <v>Sukhera, Javeed Iqbal</v>
      </c>
      <c r="B978" s="25" t="s">
        <v>9872</v>
      </c>
      <c r="C978" s="24" t="s">
        <v>9873</v>
      </c>
      <c r="D978" s="24" t="s">
        <v>9874</v>
      </c>
      <c r="E978" s="24" t="s">
        <v>29</v>
      </c>
      <c r="F978" s="24" t="s">
        <v>30</v>
      </c>
      <c r="G978" s="24" t="s">
        <v>79</v>
      </c>
      <c r="H978" s="24" t="s">
        <v>9875</v>
      </c>
      <c r="I978" s="24" t="s">
        <v>9876</v>
      </c>
      <c r="J978" s="24" t="s">
        <v>9877</v>
      </c>
      <c r="K978" s="24" t="s">
        <v>8519</v>
      </c>
      <c r="L978" s="24" t="s">
        <v>135</v>
      </c>
      <c r="M978" s="15"/>
      <c r="N978" s="15" t="s">
        <v>735</v>
      </c>
      <c r="O978" s="15" t="s">
        <v>4950</v>
      </c>
      <c r="P978" s="15" t="s">
        <v>9878</v>
      </c>
      <c r="Q978" s="15"/>
      <c r="R978" s="15" t="s">
        <v>9879</v>
      </c>
      <c r="S978" s="24" t="s">
        <v>71</v>
      </c>
      <c r="T978" s="24" t="s">
        <v>39</v>
      </c>
      <c r="U978" s="24" t="s">
        <v>39</v>
      </c>
      <c r="V978" s="24" t="s">
        <v>39</v>
      </c>
      <c r="W978" s="24" t="s">
        <v>9880</v>
      </c>
      <c r="X978" s="24" t="s">
        <v>9401</v>
      </c>
      <c r="Y978" s="15" t="s">
        <v>9881</v>
      </c>
      <c r="Z978" s="15" t="s">
        <v>9882</v>
      </c>
      <c r="AA978" s="24"/>
      <c r="AB978" s="24"/>
      <c r="AC978" s="24"/>
      <c r="AD978" s="24"/>
      <c r="AE978" s="24"/>
      <c r="AF978" s="24"/>
      <c r="AG978" s="24"/>
      <c r="AH978" s="24"/>
    </row>
    <row r="979" spans="1:34" ht="30" x14ac:dyDescent="0.25">
      <c r="A979" s="24" t="str">
        <f>HYPERLINK("https://www.cpso.on.ca/DoctorDetails/Jay-Anthony-Nathanson/0117290-88223","Nathanson, Jay Anthony")</f>
        <v>Nathanson, Jay Anthony</v>
      </c>
      <c r="B979" s="25" t="s">
        <v>9883</v>
      </c>
      <c r="C979" s="24" t="s">
        <v>9884</v>
      </c>
      <c r="D979" s="24" t="s">
        <v>9885</v>
      </c>
      <c r="E979" s="24" t="s">
        <v>29</v>
      </c>
      <c r="F979" s="24" t="s">
        <v>30</v>
      </c>
      <c r="G979" s="24" t="s">
        <v>31</v>
      </c>
      <c r="H979" s="24" t="s">
        <v>3814</v>
      </c>
      <c r="I979" s="24" t="s">
        <v>9886</v>
      </c>
      <c r="J979" s="24" t="s">
        <v>9887</v>
      </c>
      <c r="K979" s="24" t="s">
        <v>9888</v>
      </c>
      <c r="L979" s="24" t="s">
        <v>52</v>
      </c>
      <c r="M979" s="15"/>
      <c r="N979" s="15"/>
      <c r="O979" s="15" t="s">
        <v>9889</v>
      </c>
      <c r="P979" s="15" t="s">
        <v>5122</v>
      </c>
      <c r="Q979" s="15"/>
      <c r="R979" s="15" t="s">
        <v>9890</v>
      </c>
      <c r="S979" s="24" t="s">
        <v>39</v>
      </c>
      <c r="T979" s="24" t="s">
        <v>39</v>
      </c>
      <c r="U979" s="24" t="s">
        <v>39</v>
      </c>
      <c r="V979" s="24" t="s">
        <v>39</v>
      </c>
      <c r="W979" s="24"/>
      <c r="X979" s="24"/>
      <c r="Y979" s="15"/>
      <c r="Z979" s="15"/>
      <c r="AA979" s="24"/>
      <c r="AB979" s="24"/>
      <c r="AC979" s="24"/>
      <c r="AD979" s="24"/>
      <c r="AE979" s="24"/>
      <c r="AF979" s="24"/>
      <c r="AG979" s="24"/>
      <c r="AH979" s="24"/>
    </row>
    <row r="980" spans="1:34" ht="30" x14ac:dyDescent="0.25">
      <c r="A980" s="24" t="str">
        <f>HYPERLINK("https://www.cpso.on.ca/DoctorDetails/Jay-Jeffrey-Howard-Moss/0037280-51256","Moss, Jay Jeffrey Howard")</f>
        <v>Moss, Jay Jeffrey Howard</v>
      </c>
      <c r="B980" s="25" t="s">
        <v>9891</v>
      </c>
      <c r="C980" s="24" t="s">
        <v>3746</v>
      </c>
      <c r="D980" s="24" t="s">
        <v>9892</v>
      </c>
      <c r="E980" s="24" t="s">
        <v>29</v>
      </c>
      <c r="F980" s="24" t="s">
        <v>30</v>
      </c>
      <c r="G980" s="24" t="s">
        <v>31</v>
      </c>
      <c r="H980" s="24" t="s">
        <v>3737</v>
      </c>
      <c r="I980" s="24" t="s">
        <v>9893</v>
      </c>
      <c r="J980" s="24" t="s">
        <v>9894</v>
      </c>
      <c r="K980" s="24" t="s">
        <v>2124</v>
      </c>
      <c r="L980" s="24" t="s">
        <v>52</v>
      </c>
      <c r="M980" s="15"/>
      <c r="N980" s="15" t="s">
        <v>66</v>
      </c>
      <c r="O980" s="15" t="s">
        <v>1397</v>
      </c>
      <c r="P980" s="15" t="s">
        <v>5839</v>
      </c>
      <c r="Q980" s="15"/>
      <c r="R980" s="15" t="s">
        <v>9895</v>
      </c>
      <c r="S980" s="24" t="s">
        <v>39</v>
      </c>
      <c r="T980" s="24" t="s">
        <v>39</v>
      </c>
      <c r="U980" s="24" t="s">
        <v>39</v>
      </c>
      <c r="V980" s="24" t="s">
        <v>39</v>
      </c>
      <c r="W980" s="24" t="s">
        <v>9896</v>
      </c>
      <c r="X980" s="24" t="s">
        <v>9897</v>
      </c>
      <c r="Y980" s="15" t="s">
        <v>9898</v>
      </c>
      <c r="Z980" s="15" t="s">
        <v>9899</v>
      </c>
      <c r="AA980" s="24"/>
      <c r="AB980" s="24"/>
      <c r="AC980" s="24"/>
      <c r="AD980" s="24"/>
      <c r="AE980" s="24"/>
      <c r="AF980" s="24"/>
      <c r="AG980" s="24"/>
      <c r="AH980" s="24"/>
    </row>
    <row r="981" spans="1:34" ht="45" x14ac:dyDescent="0.25">
      <c r="A981" s="24" t="str">
        <f>HYPERLINK("https://www.cpso.on.ca/DoctorDetails/Jayasimha-Murti-Rao/0056129-67717","Rao, Jayasimha Murti")</f>
        <v>Rao, Jayasimha Murti</v>
      </c>
      <c r="B981" s="25" t="s">
        <v>9900</v>
      </c>
      <c r="C981" s="24" t="s">
        <v>9901</v>
      </c>
      <c r="D981" s="24" t="s">
        <v>9902</v>
      </c>
      <c r="E981" s="24" t="s">
        <v>29</v>
      </c>
      <c r="F981" s="24" t="s">
        <v>30</v>
      </c>
      <c r="G981" s="24" t="s">
        <v>8236</v>
      </c>
      <c r="H981" s="24" t="s">
        <v>9903</v>
      </c>
      <c r="I981" s="24" t="s">
        <v>9904</v>
      </c>
      <c r="J981" s="24" t="s">
        <v>9905</v>
      </c>
      <c r="K981" s="24" t="s">
        <v>9906</v>
      </c>
      <c r="L981" s="24" t="s">
        <v>135</v>
      </c>
      <c r="M981" s="15" t="s">
        <v>9907</v>
      </c>
      <c r="N981" s="15"/>
      <c r="O981" s="15" t="s">
        <v>9908</v>
      </c>
      <c r="P981" s="15" t="s">
        <v>902</v>
      </c>
      <c r="Q981" s="15"/>
      <c r="R981" s="15" t="s">
        <v>9909</v>
      </c>
      <c r="S981" s="24" t="s">
        <v>39</v>
      </c>
      <c r="T981" s="24" t="s">
        <v>39</v>
      </c>
      <c r="U981" s="24" t="s">
        <v>39</v>
      </c>
      <c r="V981" s="24" t="s">
        <v>39</v>
      </c>
      <c r="W981" s="24" t="s">
        <v>9910</v>
      </c>
      <c r="X981" s="24" t="s">
        <v>3210</v>
      </c>
      <c r="Y981" s="15" t="s">
        <v>9911</v>
      </c>
      <c r="Z981" s="15" t="s">
        <v>9912</v>
      </c>
      <c r="AA981" s="24"/>
      <c r="AB981" s="24"/>
      <c r="AC981" s="24"/>
      <c r="AD981" s="24"/>
      <c r="AE981" s="24"/>
      <c r="AF981" s="24"/>
      <c r="AG981" s="24"/>
      <c r="AH981" s="24"/>
    </row>
    <row r="982" spans="1:34" ht="90" x14ac:dyDescent="0.25">
      <c r="A982" s="24" t="str">
        <f>HYPERLINK("https://www.cpso.on.ca/DoctorDetails/Jean-Emmanuel-Augustin/0023276-28067","Augustin, Jean Emmanuel")</f>
        <v>Augustin, Jean Emmanuel</v>
      </c>
      <c r="B982" s="25" t="s">
        <v>9913</v>
      </c>
      <c r="C982" s="24" t="s">
        <v>9914</v>
      </c>
      <c r="D982" s="24" t="s">
        <v>9915</v>
      </c>
      <c r="E982" s="24" t="s">
        <v>29</v>
      </c>
      <c r="F982" s="24" t="s">
        <v>30</v>
      </c>
      <c r="G982" s="24" t="s">
        <v>813</v>
      </c>
      <c r="H982" s="24" t="s">
        <v>9916</v>
      </c>
      <c r="I982" s="24" t="s">
        <v>9917</v>
      </c>
      <c r="J982" s="24" t="s">
        <v>9918</v>
      </c>
      <c r="K982" s="24" t="s">
        <v>9919</v>
      </c>
      <c r="L982" s="24" t="s">
        <v>84</v>
      </c>
      <c r="M982" s="15" t="s">
        <v>9920</v>
      </c>
      <c r="N982" s="15"/>
      <c r="O982" s="15"/>
      <c r="P982" s="15" t="s">
        <v>9921</v>
      </c>
      <c r="Q982" s="15"/>
      <c r="R982" s="15" t="s">
        <v>9922</v>
      </c>
      <c r="S982" s="24" t="s">
        <v>39</v>
      </c>
      <c r="T982" s="24" t="s">
        <v>39</v>
      </c>
      <c r="U982" s="24" t="s">
        <v>39</v>
      </c>
      <c r="V982" s="24" t="s">
        <v>39</v>
      </c>
      <c r="W982" s="24"/>
      <c r="X982" s="24"/>
      <c r="Y982" s="15"/>
      <c r="Z982" s="15"/>
      <c r="AA982" s="24"/>
      <c r="AB982" s="24"/>
      <c r="AC982" s="24"/>
      <c r="AD982" s="24"/>
      <c r="AE982" s="24"/>
      <c r="AF982" s="24"/>
      <c r="AG982" s="24"/>
      <c r="AH982" s="24"/>
    </row>
    <row r="983" spans="1:34" ht="30" x14ac:dyDescent="0.25">
      <c r="A983" s="24" t="str">
        <f>HYPERLINK("https://www.cpso.on.ca/DoctorDetails/Jean-Evelyn-Porter/0016902-21687","Porter, Jean Evelyn")</f>
        <v>Porter, Jean Evelyn</v>
      </c>
      <c r="B983" s="25" t="s">
        <v>9923</v>
      </c>
      <c r="C983" s="24" t="s">
        <v>9924</v>
      </c>
      <c r="D983" s="24" t="s">
        <v>9925</v>
      </c>
      <c r="E983" s="24" t="s">
        <v>29</v>
      </c>
      <c r="F983" s="24" t="s">
        <v>47</v>
      </c>
      <c r="G983" s="24" t="s">
        <v>31</v>
      </c>
      <c r="H983" s="24" t="s">
        <v>5535</v>
      </c>
      <c r="I983" s="24" t="s">
        <v>9926</v>
      </c>
      <c r="J983" s="24" t="s">
        <v>9927</v>
      </c>
      <c r="K983" s="24" t="s">
        <v>9786</v>
      </c>
      <c r="L983" s="24" t="s">
        <v>84</v>
      </c>
      <c r="M983" s="15"/>
      <c r="N983" s="15"/>
      <c r="O983" s="15"/>
      <c r="P983" s="15" t="s">
        <v>6237</v>
      </c>
      <c r="Q983" s="15"/>
      <c r="R983" s="15" t="s">
        <v>9928</v>
      </c>
      <c r="S983" s="24" t="s">
        <v>39</v>
      </c>
      <c r="T983" s="24" t="s">
        <v>39</v>
      </c>
      <c r="U983" s="24" t="s">
        <v>39</v>
      </c>
      <c r="V983" s="24" t="s">
        <v>39</v>
      </c>
      <c r="W983" s="24" t="s">
        <v>9929</v>
      </c>
      <c r="X983" s="24" t="s">
        <v>9930</v>
      </c>
      <c r="Y983" s="15"/>
      <c r="Z983" s="15"/>
      <c r="AA983" s="24"/>
      <c r="AB983" s="24"/>
      <c r="AC983" s="24"/>
      <c r="AD983" s="24"/>
      <c r="AE983" s="24"/>
      <c r="AF983" s="24"/>
      <c r="AG983" s="24"/>
      <c r="AH983" s="24"/>
    </row>
    <row r="984" spans="1:34" x14ac:dyDescent="0.25">
      <c r="A984" s="24" t="str">
        <f>HYPERLINK("https://www.cpso.on.ca/DoctorDetails/Jean-Guy-Rene-Roberge/0039124-53100","Roberge, Jean Guy Rene")</f>
        <v>Roberge, Jean Guy Rene</v>
      </c>
      <c r="B984" s="25" t="s">
        <v>9931</v>
      </c>
      <c r="C984" s="24" t="s">
        <v>9932</v>
      </c>
      <c r="D984" s="24" t="s">
        <v>9933</v>
      </c>
      <c r="E984" s="24" t="s">
        <v>29</v>
      </c>
      <c r="F984" s="24" t="s">
        <v>30</v>
      </c>
      <c r="G984" s="24" t="s">
        <v>813</v>
      </c>
      <c r="H984" s="24" t="s">
        <v>9934</v>
      </c>
      <c r="I984" s="24" t="s">
        <v>9935</v>
      </c>
      <c r="J984" s="24" t="s">
        <v>9936</v>
      </c>
      <c r="K984" s="24" t="s">
        <v>9937</v>
      </c>
      <c r="L984" s="24" t="s">
        <v>65</v>
      </c>
      <c r="M984" s="15"/>
      <c r="N984" s="15"/>
      <c r="O984" s="15"/>
      <c r="P984" s="15" t="s">
        <v>169</v>
      </c>
      <c r="Q984" s="15" t="s">
        <v>9938</v>
      </c>
      <c r="R984" s="15" t="s">
        <v>9939</v>
      </c>
      <c r="S984" s="24" t="s">
        <v>39</v>
      </c>
      <c r="T984" s="24" t="s">
        <v>39</v>
      </c>
      <c r="U984" s="24" t="s">
        <v>39</v>
      </c>
      <c r="V984" s="24" t="s">
        <v>39</v>
      </c>
      <c r="W984" s="24" t="s">
        <v>9940</v>
      </c>
      <c r="X984" s="24" t="s">
        <v>9941</v>
      </c>
      <c r="Y984" s="15"/>
      <c r="Z984" s="15"/>
      <c r="AA984" s="24"/>
      <c r="AB984" s="24"/>
      <c r="AC984" s="24"/>
      <c r="AD984" s="24"/>
      <c r="AE984" s="24"/>
      <c r="AF984" s="24"/>
      <c r="AG984" s="24"/>
      <c r="AH984" s="24"/>
    </row>
    <row r="985" spans="1:34" ht="30" x14ac:dyDescent="0.25">
      <c r="A985" s="24" t="str">
        <f>HYPERLINK("https://www.cpso.on.ca/DoctorDetails/Jean-Louis-Gerard-Ouellette/0040921-54897","Ouellette, Jean Louis Gerard")</f>
        <v>Ouellette, Jean Louis Gerard</v>
      </c>
      <c r="B985" s="25" t="s">
        <v>9942</v>
      </c>
      <c r="C985" s="24" t="s">
        <v>9943</v>
      </c>
      <c r="D985" s="24" t="s">
        <v>9944</v>
      </c>
      <c r="E985" s="24" t="s">
        <v>29</v>
      </c>
      <c r="F985" s="24" t="s">
        <v>30</v>
      </c>
      <c r="G985" s="24" t="s">
        <v>813</v>
      </c>
      <c r="H985" s="24" t="s">
        <v>9945</v>
      </c>
      <c r="I985" s="24" t="s">
        <v>9946</v>
      </c>
      <c r="J985" s="24" t="s">
        <v>9947</v>
      </c>
      <c r="K985" s="24" t="s">
        <v>6008</v>
      </c>
      <c r="L985" s="24" t="s">
        <v>84</v>
      </c>
      <c r="M985" s="15" t="s">
        <v>9948</v>
      </c>
      <c r="N985" s="15" t="s">
        <v>710</v>
      </c>
      <c r="O985" s="15" t="s">
        <v>6010</v>
      </c>
      <c r="P985" s="15" t="s">
        <v>9949</v>
      </c>
      <c r="Q985" s="15"/>
      <c r="R985" s="15" t="s">
        <v>9950</v>
      </c>
      <c r="S985" s="24" t="s">
        <v>39</v>
      </c>
      <c r="T985" s="24" t="s">
        <v>39</v>
      </c>
      <c r="U985" s="24" t="s">
        <v>39</v>
      </c>
      <c r="V985" s="24" t="s">
        <v>39</v>
      </c>
      <c r="W985" s="24" t="s">
        <v>9951</v>
      </c>
      <c r="X985" s="24" t="s">
        <v>9952</v>
      </c>
      <c r="Y985" s="15"/>
      <c r="Z985" s="15"/>
      <c r="AA985" s="24"/>
      <c r="AB985" s="24"/>
      <c r="AC985" s="24"/>
      <c r="AD985" s="24"/>
      <c r="AE985" s="24"/>
      <c r="AF985" s="24"/>
      <c r="AG985" s="24"/>
      <c r="AH985" s="24"/>
    </row>
    <row r="986" spans="1:34" ht="90" x14ac:dyDescent="0.25">
      <c r="A986" s="24" t="str">
        <f>HYPERLINK("https://www.cpso.on.ca/DoctorDetails/Jean-Maria-Clinton/0036288-50264","Clinton, Jean Maria")</f>
        <v>Clinton, Jean Maria</v>
      </c>
      <c r="B986" s="25" t="s">
        <v>9953</v>
      </c>
      <c r="C986" s="24" t="s">
        <v>826</v>
      </c>
      <c r="D986" s="24" t="s">
        <v>9954</v>
      </c>
      <c r="E986" s="24" t="s">
        <v>29</v>
      </c>
      <c r="F986" s="24" t="s">
        <v>47</v>
      </c>
      <c r="G986" s="24" t="s">
        <v>31</v>
      </c>
      <c r="H986" s="24" t="s">
        <v>1176</v>
      </c>
      <c r="I986" s="24" t="s">
        <v>9955</v>
      </c>
      <c r="J986" s="24" t="s">
        <v>9956</v>
      </c>
      <c r="K986" s="24"/>
      <c r="L986" s="24" t="s">
        <v>184</v>
      </c>
      <c r="M986" s="15"/>
      <c r="N986" s="15"/>
      <c r="O986" s="15" t="s">
        <v>9957</v>
      </c>
      <c r="P986" s="15" t="s">
        <v>785</v>
      </c>
      <c r="Q986" s="15"/>
      <c r="R986" s="15" t="s">
        <v>9958</v>
      </c>
      <c r="S986" s="24" t="s">
        <v>39</v>
      </c>
      <c r="T986" s="24" t="s">
        <v>39</v>
      </c>
      <c r="U986" s="24" t="s">
        <v>39</v>
      </c>
      <c r="V986" s="24" t="s">
        <v>39</v>
      </c>
      <c r="W986" s="24" t="s">
        <v>9959</v>
      </c>
      <c r="X986" s="24" t="s">
        <v>9960</v>
      </c>
      <c r="Y986" s="15" t="s">
        <v>9961</v>
      </c>
      <c r="Z986" s="15" t="s">
        <v>9962</v>
      </c>
      <c r="AA986" s="24"/>
      <c r="AB986" s="24"/>
      <c r="AC986" s="24"/>
      <c r="AD986" s="24"/>
      <c r="AE986" s="24"/>
      <c r="AF986" s="24"/>
      <c r="AG986" s="24"/>
      <c r="AH986" s="24"/>
    </row>
    <row r="987" spans="1:34" ht="45" x14ac:dyDescent="0.25">
      <c r="A987" s="24" t="str">
        <f>HYPERLINK("https://www.cpso.on.ca/DoctorDetails/Jean-Victor-Paul-Wittenberg/0021860-26649","Wittenberg, Jean Victor Paul")</f>
        <v>Wittenberg, Jean Victor Paul</v>
      </c>
      <c r="B987" s="25" t="s">
        <v>9963</v>
      </c>
      <c r="C987" s="24" t="s">
        <v>9964</v>
      </c>
      <c r="D987" s="24" t="s">
        <v>9965</v>
      </c>
      <c r="E987" s="24" t="s">
        <v>29</v>
      </c>
      <c r="F987" s="24" t="s">
        <v>30</v>
      </c>
      <c r="G987" s="24" t="s">
        <v>813</v>
      </c>
      <c r="H987" s="24" t="s">
        <v>6455</v>
      </c>
      <c r="I987" s="24" t="s">
        <v>9966</v>
      </c>
      <c r="J987" s="24" t="s">
        <v>9967</v>
      </c>
      <c r="K987" s="24" t="s">
        <v>9968</v>
      </c>
      <c r="L987" s="24" t="s">
        <v>52</v>
      </c>
      <c r="M987" s="15" t="s">
        <v>9969</v>
      </c>
      <c r="N987" s="15"/>
      <c r="O987" s="15" t="s">
        <v>121</v>
      </c>
      <c r="P987" s="15" t="s">
        <v>8878</v>
      </c>
      <c r="Q987" s="15"/>
      <c r="R987" s="15" t="s">
        <v>9970</v>
      </c>
      <c r="S987" s="24" t="s">
        <v>39</v>
      </c>
      <c r="T987" s="24" t="s">
        <v>39</v>
      </c>
      <c r="U987" s="24" t="s">
        <v>39</v>
      </c>
      <c r="V987" s="24" t="s">
        <v>39</v>
      </c>
      <c r="W987" s="24"/>
      <c r="X987" s="24"/>
      <c r="Y987" s="15"/>
      <c r="Z987" s="15"/>
      <c r="AA987" s="24"/>
      <c r="AB987" s="24"/>
      <c r="AC987" s="24"/>
      <c r="AD987" s="24"/>
      <c r="AE987" s="24"/>
      <c r="AF987" s="24"/>
      <c r="AG987" s="24"/>
      <c r="AH987" s="24"/>
    </row>
    <row r="988" spans="1:34" ht="45" x14ac:dyDescent="0.25">
      <c r="A988" s="24" t="str">
        <f>HYPERLINK("https://www.cpso.on.ca/DoctorDetails/JeanGuy-Roland-Gagnon/0052023-66002","Gagnon, Jean-Guy Roland")</f>
        <v>Gagnon, Jean-Guy Roland</v>
      </c>
      <c r="B988" s="25" t="s">
        <v>9971</v>
      </c>
      <c r="C988" s="24" t="s">
        <v>9972</v>
      </c>
      <c r="D988" s="24" t="s">
        <v>9973</v>
      </c>
      <c r="E988" s="24" t="s">
        <v>29</v>
      </c>
      <c r="F988" s="24" t="s">
        <v>30</v>
      </c>
      <c r="G988" s="24" t="s">
        <v>813</v>
      </c>
      <c r="H988" s="24" t="s">
        <v>9974</v>
      </c>
      <c r="I988" s="24" t="s">
        <v>9975</v>
      </c>
      <c r="J988" s="24" t="s">
        <v>9976</v>
      </c>
      <c r="K988" s="24" t="s">
        <v>9977</v>
      </c>
      <c r="L988" s="24" t="s">
        <v>328</v>
      </c>
      <c r="M988" s="15" t="s">
        <v>9978</v>
      </c>
      <c r="N988" s="15"/>
      <c r="O988" s="15" t="s">
        <v>9979</v>
      </c>
      <c r="P988" s="15" t="s">
        <v>9980</v>
      </c>
      <c r="Q988" s="15"/>
      <c r="R988" s="15" t="s">
        <v>9981</v>
      </c>
      <c r="S988" s="24" t="s">
        <v>39</v>
      </c>
      <c r="T988" s="24" t="s">
        <v>39</v>
      </c>
      <c r="U988" s="24" t="s">
        <v>39</v>
      </c>
      <c r="V988" s="24" t="s">
        <v>39</v>
      </c>
      <c r="W988" s="24" t="s">
        <v>9982</v>
      </c>
      <c r="X988" s="24" t="s">
        <v>9983</v>
      </c>
      <c r="Y988" s="15" t="s">
        <v>9984</v>
      </c>
      <c r="Z988" s="15" t="s">
        <v>9985</v>
      </c>
      <c r="AA988" s="24"/>
      <c r="AB988" s="24"/>
      <c r="AC988" s="24"/>
      <c r="AD988" s="24"/>
      <c r="AE988" s="24"/>
      <c r="AF988" s="24"/>
      <c r="AG988" s="24"/>
      <c r="AH988" s="24"/>
    </row>
    <row r="989" spans="1:34" x14ac:dyDescent="0.25">
      <c r="A989" s="24" t="str">
        <f>HYPERLINK("https://www.cpso.on.ca/DoctorDetails/JeanPhilippe-Miron/0325738-115991","Miron, Jean-Philippe")</f>
        <v>Miron, Jean-Philippe</v>
      </c>
      <c r="B989" s="25" t="s">
        <v>9986</v>
      </c>
      <c r="C989" s="24" t="s">
        <v>1548</v>
      </c>
      <c r="D989" s="24" t="s">
        <v>200</v>
      </c>
      <c r="E989" s="24" t="s">
        <v>29</v>
      </c>
      <c r="F989" s="24" t="s">
        <v>30</v>
      </c>
      <c r="G989" s="24" t="s">
        <v>31</v>
      </c>
      <c r="H989" s="24" t="s">
        <v>1549</v>
      </c>
      <c r="I989" s="24" t="s">
        <v>9987</v>
      </c>
      <c r="J989" s="24"/>
      <c r="K989" s="24"/>
      <c r="L989" s="24" t="s">
        <v>52</v>
      </c>
      <c r="M989" s="15"/>
      <c r="N989" s="15"/>
      <c r="O989" s="15"/>
      <c r="P989" s="15" t="s">
        <v>205</v>
      </c>
      <c r="Q989" s="15" t="s">
        <v>9988</v>
      </c>
      <c r="R989" s="15" t="s">
        <v>1553</v>
      </c>
      <c r="S989" s="24" t="s">
        <v>39</v>
      </c>
      <c r="T989" s="24" t="s">
        <v>39</v>
      </c>
      <c r="U989" s="24" t="s">
        <v>39</v>
      </c>
      <c r="V989" s="24" t="s">
        <v>39</v>
      </c>
      <c r="W989" s="24"/>
      <c r="X989" s="24"/>
      <c r="Y989" s="15"/>
      <c r="Z989" s="15"/>
      <c r="AA989" s="24"/>
      <c r="AB989" s="24"/>
      <c r="AC989" s="24"/>
      <c r="AD989" s="24"/>
      <c r="AE989" s="24"/>
      <c r="AF989" s="24"/>
      <c r="AG989" s="24"/>
      <c r="AH989" s="24"/>
    </row>
    <row r="990" spans="1:34" x14ac:dyDescent="0.25">
      <c r="A990" s="24" t="str">
        <f>HYPERLINK("https://www.cpso.on.ca/DoctorDetails/JeanRene-Trudel/0038995-52971","Trudel, Jean-Rene")</f>
        <v>Trudel, Jean-Rene</v>
      </c>
      <c r="B990" s="25" t="s">
        <v>9989</v>
      </c>
      <c r="C990" s="24" t="s">
        <v>9990</v>
      </c>
      <c r="D990" s="24" t="s">
        <v>9991</v>
      </c>
      <c r="E990" s="24" t="s">
        <v>29</v>
      </c>
      <c r="F990" s="24" t="s">
        <v>30</v>
      </c>
      <c r="G990" s="24" t="s">
        <v>813</v>
      </c>
      <c r="H990" s="24" t="s">
        <v>9992</v>
      </c>
      <c r="I990" s="24" t="s">
        <v>9993</v>
      </c>
      <c r="J990" s="24" t="s">
        <v>9994</v>
      </c>
      <c r="K990" s="24" t="s">
        <v>9995</v>
      </c>
      <c r="L990" s="24" t="s">
        <v>84</v>
      </c>
      <c r="M990" s="15"/>
      <c r="N990" s="15" t="s">
        <v>710</v>
      </c>
      <c r="O990" s="15"/>
      <c r="P990" s="15" t="s">
        <v>2864</v>
      </c>
      <c r="Q990" s="15"/>
      <c r="R990" s="15" t="s">
        <v>9996</v>
      </c>
      <c r="S990" s="24" t="s">
        <v>39</v>
      </c>
      <c r="T990" s="24" t="s">
        <v>39</v>
      </c>
      <c r="U990" s="24" t="s">
        <v>39</v>
      </c>
      <c r="V990" s="24" t="s">
        <v>39</v>
      </c>
      <c r="W990" s="24" t="s">
        <v>9997</v>
      </c>
      <c r="X990" s="24" t="s">
        <v>9998</v>
      </c>
      <c r="Y990" s="15" t="s">
        <v>9999</v>
      </c>
      <c r="Z990" s="15" t="s">
        <v>10000</v>
      </c>
      <c r="AA990" s="24"/>
      <c r="AB990" s="24"/>
      <c r="AC990" s="24"/>
      <c r="AD990" s="24"/>
      <c r="AE990" s="24"/>
      <c r="AF990" s="24"/>
      <c r="AG990" s="24"/>
      <c r="AH990" s="24"/>
    </row>
    <row r="991" spans="1:34" ht="90" x14ac:dyDescent="0.25">
      <c r="A991" s="24" t="str">
        <f>HYPERLINK("https://www.cpso.on.ca/DoctorDetails/Jeanetta-Viljoen/0288888-101444","Viljoen, Jeanetta")</f>
        <v>Viljoen, Jeanetta</v>
      </c>
      <c r="B991" s="25" t="s">
        <v>10001</v>
      </c>
      <c r="C991" s="24" t="s">
        <v>199</v>
      </c>
      <c r="D991" s="24" t="s">
        <v>200</v>
      </c>
      <c r="E991" s="24" t="s">
        <v>29</v>
      </c>
      <c r="F991" s="24" t="s">
        <v>47</v>
      </c>
      <c r="G991" s="24" t="s">
        <v>31</v>
      </c>
      <c r="H991" s="24" t="s">
        <v>2604</v>
      </c>
      <c r="I991" s="24" t="s">
        <v>10002</v>
      </c>
      <c r="J991" s="24" t="s">
        <v>7257</v>
      </c>
      <c r="K991" s="24"/>
      <c r="L991" s="24" t="s">
        <v>184</v>
      </c>
      <c r="M991" s="15"/>
      <c r="N991" s="15"/>
      <c r="O991" s="15"/>
      <c r="P991" s="15" t="s">
        <v>205</v>
      </c>
      <c r="Q991" s="15" t="s">
        <v>10003</v>
      </c>
      <c r="R991" s="15" t="s">
        <v>1103</v>
      </c>
      <c r="S991" s="24" t="s">
        <v>39</v>
      </c>
      <c r="T991" s="24" t="s">
        <v>39</v>
      </c>
      <c r="U991" s="24" t="s">
        <v>39</v>
      </c>
      <c r="V991" s="24" t="s">
        <v>39</v>
      </c>
      <c r="W991" s="24"/>
      <c r="X991" s="24"/>
      <c r="Y991" s="15"/>
      <c r="Z991" s="15"/>
      <c r="AA991" s="24"/>
      <c r="AB991" s="24"/>
      <c r="AC991" s="24"/>
      <c r="AD991" s="24"/>
      <c r="AE991" s="24"/>
      <c r="AF991" s="24"/>
      <c r="AG991" s="24"/>
      <c r="AH991" s="24"/>
    </row>
    <row r="992" spans="1:34" ht="45" x14ac:dyDescent="0.25">
      <c r="A992" s="24" t="str">
        <f>HYPERLINK("https://www.cpso.on.ca/DoctorDetails/Jeanne-Davida-Talbot/0053096-67060","Talbot, Jeanne Davida")</f>
        <v>Talbot, Jeanne Davida</v>
      </c>
      <c r="B992" s="25" t="s">
        <v>10004</v>
      </c>
      <c r="C992" s="24" t="s">
        <v>10005</v>
      </c>
      <c r="D992" s="24" t="s">
        <v>10006</v>
      </c>
      <c r="E992" s="24" t="s">
        <v>29</v>
      </c>
      <c r="F992" s="24" t="s">
        <v>47</v>
      </c>
      <c r="G992" s="24" t="s">
        <v>813</v>
      </c>
      <c r="H992" s="24" t="s">
        <v>10007</v>
      </c>
      <c r="I992" s="24" t="s">
        <v>10008</v>
      </c>
      <c r="J992" s="24" t="s">
        <v>10009</v>
      </c>
      <c r="K992" s="24" t="s">
        <v>10010</v>
      </c>
      <c r="L992" s="24" t="s">
        <v>84</v>
      </c>
      <c r="M992" s="15" t="s">
        <v>10011</v>
      </c>
      <c r="N992" s="15" t="s">
        <v>710</v>
      </c>
      <c r="O992" s="15" t="s">
        <v>498</v>
      </c>
      <c r="P992" s="15" t="s">
        <v>10012</v>
      </c>
      <c r="Q992" s="15" t="s">
        <v>10013</v>
      </c>
      <c r="R992" s="15" t="s">
        <v>10014</v>
      </c>
      <c r="S992" s="24" t="s">
        <v>39</v>
      </c>
      <c r="T992" s="24" t="s">
        <v>39</v>
      </c>
      <c r="U992" s="24" t="s">
        <v>39</v>
      </c>
      <c r="V992" s="24" t="s">
        <v>39</v>
      </c>
      <c r="W992" s="24"/>
      <c r="X992" s="24"/>
      <c r="Y992" s="15"/>
      <c r="Z992" s="15"/>
      <c r="AA992" s="24"/>
      <c r="AB992" s="24"/>
      <c r="AC992" s="24"/>
      <c r="AD992" s="24"/>
      <c r="AE992" s="24"/>
      <c r="AF992" s="24"/>
      <c r="AG992" s="24"/>
      <c r="AH992" s="24"/>
    </row>
    <row r="993" spans="1:34" ht="45" x14ac:dyDescent="0.25">
      <c r="A993" s="24" t="str">
        <f>HYPERLINK("https://www.cpso.on.ca/DoctorDetails/Jedrin-Ngungu/0315860-111630","Ngungu, Jedrin")</f>
        <v>Ngungu, Jedrin</v>
      </c>
      <c r="B993" s="25" t="s">
        <v>10015</v>
      </c>
      <c r="C993" s="24" t="s">
        <v>10016</v>
      </c>
      <c r="D993" s="24" t="s">
        <v>10017</v>
      </c>
      <c r="E993" s="24" t="s">
        <v>29</v>
      </c>
      <c r="F993" s="24" t="s">
        <v>30</v>
      </c>
      <c r="G993" s="24" t="s">
        <v>31</v>
      </c>
      <c r="H993" s="24" t="s">
        <v>10018</v>
      </c>
      <c r="I993" s="24" t="s">
        <v>10019</v>
      </c>
      <c r="J993" s="24" t="s">
        <v>4115</v>
      </c>
      <c r="K993" s="24"/>
      <c r="L993" s="24" t="s">
        <v>135</v>
      </c>
      <c r="M993" s="15"/>
      <c r="N993" s="15"/>
      <c r="O993" s="15" t="s">
        <v>10020</v>
      </c>
      <c r="P993" s="15" t="s">
        <v>10021</v>
      </c>
      <c r="Q993" s="15"/>
      <c r="R993" s="15" t="s">
        <v>10022</v>
      </c>
      <c r="S993" s="24" t="s">
        <v>71</v>
      </c>
      <c r="T993" s="24" t="s">
        <v>39</v>
      </c>
      <c r="U993" s="24" t="s">
        <v>39</v>
      </c>
      <c r="V993" s="24" t="s">
        <v>39</v>
      </c>
      <c r="W993" s="24"/>
      <c r="X993" s="24"/>
      <c r="Y993" s="15"/>
      <c r="Z993" s="15"/>
      <c r="AA993" s="24"/>
      <c r="AB993" s="24"/>
      <c r="AC993" s="24"/>
      <c r="AD993" s="24"/>
      <c r="AE993" s="24"/>
      <c r="AF993" s="24"/>
      <c r="AG993" s="24"/>
      <c r="AH993" s="24"/>
    </row>
    <row r="994" spans="1:34" ht="30" x14ac:dyDescent="0.25">
      <c r="A994" s="24" t="str">
        <f>HYPERLINK("https://www.cpso.on.ca/DoctorDetails/Jeffrey-Howard-Ennis/0045393-59371","Ennis, Jeffrey Howard")</f>
        <v>Ennis, Jeffrey Howard</v>
      </c>
      <c r="B994" s="25" t="s">
        <v>10023</v>
      </c>
      <c r="C994" s="24" t="s">
        <v>3463</v>
      </c>
      <c r="D994" s="24" t="s">
        <v>10024</v>
      </c>
      <c r="E994" s="24" t="s">
        <v>29</v>
      </c>
      <c r="F994" s="24" t="s">
        <v>30</v>
      </c>
      <c r="G994" s="24" t="s">
        <v>31</v>
      </c>
      <c r="H994" s="24" t="s">
        <v>6839</v>
      </c>
      <c r="I994" s="24" t="s">
        <v>10025</v>
      </c>
      <c r="J994" s="24" t="s">
        <v>10026</v>
      </c>
      <c r="K994" s="24" t="s">
        <v>10027</v>
      </c>
      <c r="L994" s="24" t="s">
        <v>184</v>
      </c>
      <c r="M994" s="15"/>
      <c r="N994" s="15" t="s">
        <v>1370</v>
      </c>
      <c r="O994" s="15" t="s">
        <v>4002</v>
      </c>
      <c r="P994" s="15" t="s">
        <v>10028</v>
      </c>
      <c r="Q994" s="15"/>
      <c r="R994" s="15" t="s">
        <v>10029</v>
      </c>
      <c r="S994" s="24" t="s">
        <v>39</v>
      </c>
      <c r="T994" s="24" t="s">
        <v>39</v>
      </c>
      <c r="U994" s="24" t="s">
        <v>39</v>
      </c>
      <c r="V994" s="24" t="s">
        <v>39</v>
      </c>
      <c r="W994" s="24"/>
      <c r="X994" s="24"/>
      <c r="Y994" s="15"/>
      <c r="Z994" s="15"/>
      <c r="AA994" s="24"/>
      <c r="AB994" s="24"/>
      <c r="AC994" s="24"/>
      <c r="AD994" s="24"/>
      <c r="AE994" s="24"/>
      <c r="AF994" s="24"/>
      <c r="AG994" s="24"/>
      <c r="AH994" s="24"/>
    </row>
    <row r="995" spans="1:34" ht="105" x14ac:dyDescent="0.25">
      <c r="A995" s="24" t="str">
        <f>HYPERLINK("https://www.cpso.on.ca/DoctorDetails/Jeffrey-Hugh-Meyer/0052667-66631","Meyer, Jeffrey Hugh")</f>
        <v>Meyer, Jeffrey Hugh</v>
      </c>
      <c r="B995" s="25" t="s">
        <v>10030</v>
      </c>
      <c r="C995" s="24" t="s">
        <v>10031</v>
      </c>
      <c r="D995" s="24" t="s">
        <v>10032</v>
      </c>
      <c r="E995" s="24" t="s">
        <v>29</v>
      </c>
      <c r="F995" s="24" t="s">
        <v>30</v>
      </c>
      <c r="G995" s="24" t="s">
        <v>31</v>
      </c>
      <c r="H995" s="24" t="s">
        <v>838</v>
      </c>
      <c r="I995" s="24" t="s">
        <v>10033</v>
      </c>
      <c r="J995" s="24" t="s">
        <v>10034</v>
      </c>
      <c r="K995" s="24" t="s">
        <v>10035</v>
      </c>
      <c r="L995" s="24" t="s">
        <v>52</v>
      </c>
      <c r="M995" s="15" t="s">
        <v>10036</v>
      </c>
      <c r="N995" s="15"/>
      <c r="O995" s="15" t="s">
        <v>793</v>
      </c>
      <c r="P995" s="15" t="s">
        <v>303</v>
      </c>
      <c r="Q995" s="15" t="s">
        <v>10037</v>
      </c>
      <c r="R995" s="15" t="s">
        <v>10038</v>
      </c>
      <c r="S995" s="24" t="s">
        <v>39</v>
      </c>
      <c r="T995" s="24" t="s">
        <v>39</v>
      </c>
      <c r="U995" s="24" t="s">
        <v>39</v>
      </c>
      <c r="V995" s="24" t="s">
        <v>39</v>
      </c>
      <c r="W995" s="24"/>
      <c r="X995" s="24"/>
      <c r="Y995" s="15"/>
      <c r="Z995" s="15"/>
      <c r="AA995" s="24"/>
      <c r="AB995" s="24"/>
      <c r="AC995" s="24"/>
      <c r="AD995" s="24"/>
      <c r="AE995" s="24"/>
      <c r="AF995" s="24"/>
      <c r="AG995" s="24"/>
      <c r="AH995" s="24"/>
    </row>
    <row r="996" spans="1:34" ht="75" x14ac:dyDescent="0.25">
      <c r="A996" s="24" t="str">
        <f>HYPERLINK("https://www.cpso.on.ca/DoctorDetails/Jeffrey-John-Howard-Van-Impe/0220022-82520","Van Impe, Jeffrey John Howard")</f>
        <v>Van Impe, Jeffrey John Howard</v>
      </c>
      <c r="B996" s="25" t="s">
        <v>10039</v>
      </c>
      <c r="C996" s="24" t="s">
        <v>2342</v>
      </c>
      <c r="D996" s="24" t="s">
        <v>2343</v>
      </c>
      <c r="E996" s="24" t="s">
        <v>29</v>
      </c>
      <c r="F996" s="24" t="s">
        <v>30</v>
      </c>
      <c r="G996" s="24" t="s">
        <v>31</v>
      </c>
      <c r="H996" s="24" t="s">
        <v>2344</v>
      </c>
      <c r="I996" s="24" t="s">
        <v>10040</v>
      </c>
      <c r="J996" s="24" t="s">
        <v>1841</v>
      </c>
      <c r="K996" s="24" t="s">
        <v>10041</v>
      </c>
      <c r="L996" s="24" t="s">
        <v>36</v>
      </c>
      <c r="M996" s="15" t="s">
        <v>10042</v>
      </c>
      <c r="N996" s="15"/>
      <c r="O996" s="15" t="s">
        <v>7032</v>
      </c>
      <c r="P996" s="15" t="s">
        <v>10043</v>
      </c>
      <c r="Q996" s="15" t="s">
        <v>3662</v>
      </c>
      <c r="R996" s="15" t="s">
        <v>2350</v>
      </c>
      <c r="S996" s="24" t="s">
        <v>39</v>
      </c>
      <c r="T996" s="24" t="s">
        <v>39</v>
      </c>
      <c r="U996" s="24" t="s">
        <v>39</v>
      </c>
      <c r="V996" s="24" t="s">
        <v>39</v>
      </c>
      <c r="W996" s="24" t="s">
        <v>10044</v>
      </c>
      <c r="X996" s="24" t="s">
        <v>10045</v>
      </c>
      <c r="Y996" s="15" t="s">
        <v>10046</v>
      </c>
      <c r="Z996" s="15" t="s">
        <v>10047</v>
      </c>
      <c r="AA996" s="24"/>
      <c r="AB996" s="24"/>
      <c r="AC996" s="24"/>
      <c r="AD996" s="24"/>
      <c r="AE996" s="24"/>
      <c r="AF996" s="24"/>
      <c r="AG996" s="24"/>
      <c r="AH996" s="24"/>
    </row>
    <row r="997" spans="1:34" x14ac:dyDescent="0.25">
      <c r="A997" s="24" t="str">
        <f>HYPERLINK("https://www.cpso.on.ca/DoctorDetails/Jeffrey-Lee-Genik/0039623-53599","Genik, Jeffrey Lee")</f>
        <v>Genik, Jeffrey Lee</v>
      </c>
      <c r="B997" s="25" t="s">
        <v>10048</v>
      </c>
      <c r="C997" s="24" t="s">
        <v>10049</v>
      </c>
      <c r="D997" s="24" t="s">
        <v>10050</v>
      </c>
      <c r="E997" s="24" t="s">
        <v>29</v>
      </c>
      <c r="F997" s="24" t="s">
        <v>30</v>
      </c>
      <c r="G997" s="24" t="s">
        <v>31</v>
      </c>
      <c r="H997" s="24" t="s">
        <v>2861</v>
      </c>
      <c r="I997" s="24" t="s">
        <v>10051</v>
      </c>
      <c r="J997" s="24" t="s">
        <v>10052</v>
      </c>
      <c r="K997" s="24"/>
      <c r="L997" s="24" t="s">
        <v>52</v>
      </c>
      <c r="M997" s="15"/>
      <c r="N997" s="15"/>
      <c r="O997" s="15"/>
      <c r="P997" s="15" t="s">
        <v>1007</v>
      </c>
      <c r="Q997" s="15" t="s">
        <v>3397</v>
      </c>
      <c r="R997" s="15" t="s">
        <v>10053</v>
      </c>
      <c r="S997" s="24" t="s">
        <v>39</v>
      </c>
      <c r="T997" s="24" t="s">
        <v>39</v>
      </c>
      <c r="U997" s="24" t="s">
        <v>39</v>
      </c>
      <c r="V997" s="24" t="s">
        <v>39</v>
      </c>
      <c r="W997" s="24" t="s">
        <v>10054</v>
      </c>
      <c r="X997" s="24" t="s">
        <v>10055</v>
      </c>
      <c r="Y997" s="15" t="s">
        <v>10056</v>
      </c>
      <c r="Z997" s="15" t="s">
        <v>10057</v>
      </c>
      <c r="AA997" s="24"/>
      <c r="AB997" s="24"/>
      <c r="AC997" s="24"/>
      <c r="AD997" s="24"/>
      <c r="AE997" s="24"/>
      <c r="AF997" s="24"/>
      <c r="AG997" s="24"/>
      <c r="AH997" s="24"/>
    </row>
    <row r="998" spans="1:34" ht="45" x14ac:dyDescent="0.25">
      <c r="A998" s="24" t="str">
        <f>HYPERLINK("https://www.cpso.on.ca/DoctorDetails/Jeffrey-Perry-Reiss/0252369-89675","Reiss, Jeffrey Perry")</f>
        <v>Reiss, Jeffrey Perry</v>
      </c>
      <c r="B998" s="25" t="s">
        <v>10058</v>
      </c>
      <c r="C998" s="24" t="s">
        <v>10059</v>
      </c>
      <c r="D998" s="24" t="s">
        <v>10060</v>
      </c>
      <c r="E998" s="24" t="s">
        <v>29</v>
      </c>
      <c r="F998" s="24" t="s">
        <v>30</v>
      </c>
      <c r="G998" s="24" t="s">
        <v>31</v>
      </c>
      <c r="H998" s="24" t="s">
        <v>6822</v>
      </c>
      <c r="I998" s="24" t="s">
        <v>10061</v>
      </c>
      <c r="J998" s="24" t="s">
        <v>10062</v>
      </c>
      <c r="K998" s="24" t="s">
        <v>6261</v>
      </c>
      <c r="L998" s="24" t="s">
        <v>135</v>
      </c>
      <c r="M998" s="15"/>
      <c r="N998" s="15"/>
      <c r="O998" s="15" t="s">
        <v>2389</v>
      </c>
      <c r="P998" s="15" t="s">
        <v>3443</v>
      </c>
      <c r="Q998" s="15"/>
      <c r="R998" s="15" t="s">
        <v>10063</v>
      </c>
      <c r="S998" s="24" t="s">
        <v>39</v>
      </c>
      <c r="T998" s="24" t="s">
        <v>39</v>
      </c>
      <c r="U998" s="24" t="s">
        <v>39</v>
      </c>
      <c r="V998" s="24" t="s">
        <v>39</v>
      </c>
      <c r="W998" s="24" t="s">
        <v>10064</v>
      </c>
      <c r="X998" s="24" t="s">
        <v>10065</v>
      </c>
      <c r="Y998" s="15" t="s">
        <v>10066</v>
      </c>
      <c r="Z998" s="15" t="s">
        <v>10067</v>
      </c>
      <c r="AA998" s="24"/>
      <c r="AB998" s="24"/>
      <c r="AC998" s="24"/>
      <c r="AD998" s="24"/>
      <c r="AE998" s="24"/>
      <c r="AF998" s="24"/>
      <c r="AG998" s="24"/>
      <c r="AH998" s="24"/>
    </row>
    <row r="999" spans="1:34" ht="75" x14ac:dyDescent="0.25">
      <c r="A999" s="24" t="str">
        <f>HYPERLINK("https://www.cpso.on.ca/DoctorDetails/Jeffry-James-McMaster/0056672-68260","McMaster, Jeffry James")</f>
        <v>McMaster, Jeffry James</v>
      </c>
      <c r="B999" s="25" t="s">
        <v>10068</v>
      </c>
      <c r="C999" s="24" t="s">
        <v>1669</v>
      </c>
      <c r="D999" s="24" t="s">
        <v>1670</v>
      </c>
      <c r="E999" s="24" t="s">
        <v>29</v>
      </c>
      <c r="F999" s="24" t="s">
        <v>30</v>
      </c>
      <c r="G999" s="24" t="s">
        <v>31</v>
      </c>
      <c r="H999" s="24" t="s">
        <v>10069</v>
      </c>
      <c r="I999" s="24" t="s">
        <v>10070</v>
      </c>
      <c r="J999" s="24" t="s">
        <v>10071</v>
      </c>
      <c r="K999" s="24" t="s">
        <v>10072</v>
      </c>
      <c r="L999" s="24" t="s">
        <v>52</v>
      </c>
      <c r="M999" s="15" t="s">
        <v>10073</v>
      </c>
      <c r="N999" s="15"/>
      <c r="O999" s="15" t="s">
        <v>842</v>
      </c>
      <c r="P999" s="15" t="s">
        <v>1677</v>
      </c>
      <c r="Q999" s="15" t="s">
        <v>1678</v>
      </c>
      <c r="R999" s="15" t="s">
        <v>1679</v>
      </c>
      <c r="S999" s="24" t="s">
        <v>39</v>
      </c>
      <c r="T999" s="24" t="s">
        <v>39</v>
      </c>
      <c r="U999" s="24" t="s">
        <v>39</v>
      </c>
      <c r="V999" s="24" t="s">
        <v>39</v>
      </c>
      <c r="W999" s="24" t="s">
        <v>10074</v>
      </c>
      <c r="X999" s="24" t="s">
        <v>7288</v>
      </c>
      <c r="Y999" s="15" t="s">
        <v>10075</v>
      </c>
      <c r="Z999" s="15" t="s">
        <v>10076</v>
      </c>
      <c r="AA999" s="24"/>
      <c r="AB999" s="24"/>
      <c r="AC999" s="24"/>
      <c r="AD999" s="24"/>
      <c r="AE999" s="24"/>
      <c r="AF999" s="24"/>
      <c r="AG999" s="24"/>
      <c r="AH999" s="24"/>
    </row>
    <row r="1000" spans="1:34" ht="45" x14ac:dyDescent="0.25">
      <c r="A1000" s="24" t="str">
        <f>HYPERLINK("https://www.cpso.on.ca/DoctorDetails/Jegapathy-Rajendra/0047336-61314","Rajendra, Jegapathy")</f>
        <v>Rajendra, Jegapathy</v>
      </c>
      <c r="B1000" s="25" t="s">
        <v>10077</v>
      </c>
      <c r="C1000" s="24" t="s">
        <v>10078</v>
      </c>
      <c r="D1000" s="24" t="s">
        <v>10079</v>
      </c>
      <c r="E1000" s="24" t="s">
        <v>29</v>
      </c>
      <c r="F1000" s="24" t="s">
        <v>30</v>
      </c>
      <c r="G1000" s="24" t="s">
        <v>2255</v>
      </c>
      <c r="H1000" s="24" t="s">
        <v>2478</v>
      </c>
      <c r="I1000" s="24" t="s">
        <v>10080</v>
      </c>
      <c r="J1000" s="24" t="s">
        <v>5760</v>
      </c>
      <c r="K1000" s="24" t="s">
        <v>9018</v>
      </c>
      <c r="L1000" s="24" t="s">
        <v>52</v>
      </c>
      <c r="M1000" s="15" t="s">
        <v>10081</v>
      </c>
      <c r="N1000" s="15"/>
      <c r="O1000" s="15" t="s">
        <v>5449</v>
      </c>
      <c r="P1000" s="15" t="s">
        <v>4499</v>
      </c>
      <c r="Q1000" s="15"/>
      <c r="R1000" s="15" t="s">
        <v>10082</v>
      </c>
      <c r="S1000" s="24" t="s">
        <v>39</v>
      </c>
      <c r="T1000" s="24" t="s">
        <v>39</v>
      </c>
      <c r="U1000" s="24" t="s">
        <v>39</v>
      </c>
      <c r="V1000" s="24" t="s">
        <v>39</v>
      </c>
      <c r="W1000" s="24" t="s">
        <v>10083</v>
      </c>
      <c r="X1000" s="24" t="s">
        <v>10084</v>
      </c>
      <c r="Y1000" s="15" t="s">
        <v>10085</v>
      </c>
      <c r="Z1000" s="15" t="s">
        <v>10086</v>
      </c>
      <c r="AA1000" s="24"/>
      <c r="AB1000" s="24"/>
      <c r="AC1000" s="24"/>
      <c r="AD1000" s="24"/>
      <c r="AE1000" s="24"/>
      <c r="AF1000" s="24"/>
      <c r="AG1000" s="24"/>
      <c r="AH1000" s="24"/>
    </row>
    <row r="1001" spans="1:34" ht="60" x14ac:dyDescent="0.25">
      <c r="A1001" s="24" t="str">
        <f>HYPERLINK("https://www.cpso.on.ca/DoctorDetails/Jelena-Mesaros/0030418-42398","Mesaros, Jelena")</f>
        <v>Mesaros, Jelena</v>
      </c>
      <c r="B1001" s="25" t="s">
        <v>10087</v>
      </c>
      <c r="C1001" s="24" t="s">
        <v>10088</v>
      </c>
      <c r="D1001" s="24" t="s">
        <v>10089</v>
      </c>
      <c r="E1001" s="24" t="s">
        <v>29</v>
      </c>
      <c r="F1001" s="24" t="s">
        <v>47</v>
      </c>
      <c r="G1001" s="24" t="s">
        <v>10090</v>
      </c>
      <c r="H1001" s="24" t="s">
        <v>10091</v>
      </c>
      <c r="I1001" s="24" t="s">
        <v>10092</v>
      </c>
      <c r="J1001" s="24" t="s">
        <v>10093</v>
      </c>
      <c r="K1001" s="24" t="s">
        <v>1190</v>
      </c>
      <c r="L1001" s="24" t="s">
        <v>52</v>
      </c>
      <c r="M1001" s="15"/>
      <c r="N1001" s="15"/>
      <c r="O1001" s="15" t="s">
        <v>1191</v>
      </c>
      <c r="P1001" s="15" t="s">
        <v>3299</v>
      </c>
      <c r="Q1001" s="15"/>
      <c r="R1001" s="15" t="s">
        <v>10094</v>
      </c>
      <c r="S1001" s="24" t="s">
        <v>39</v>
      </c>
      <c r="T1001" s="24" t="s">
        <v>39</v>
      </c>
      <c r="U1001" s="24" t="s">
        <v>39</v>
      </c>
      <c r="V1001" s="24" t="s">
        <v>39</v>
      </c>
      <c r="W1001" s="24" t="s">
        <v>10095</v>
      </c>
      <c r="X1001" s="24" t="s">
        <v>10096</v>
      </c>
      <c r="Y1001" s="15" t="s">
        <v>10097</v>
      </c>
      <c r="Z1001" s="15" t="s">
        <v>10098</v>
      </c>
      <c r="AA1001" s="24"/>
      <c r="AB1001" s="24"/>
      <c r="AC1001" s="24"/>
      <c r="AD1001" s="24"/>
      <c r="AE1001" s="24"/>
      <c r="AF1001" s="24"/>
      <c r="AG1001" s="24"/>
      <c r="AH1001" s="24"/>
    </row>
    <row r="1002" spans="1:34" ht="120" x14ac:dyDescent="0.25">
      <c r="A1002" s="24" t="str">
        <f>HYPERLINK("https://www.cpso.on.ca/DoctorDetails/Jen-Chyang-Lai/0251230-91611","Lai, Jen Chyang")</f>
        <v>Lai, Jen Chyang</v>
      </c>
      <c r="B1002" s="25" t="s">
        <v>10099</v>
      </c>
      <c r="C1002" s="24" t="s">
        <v>10100</v>
      </c>
      <c r="D1002" s="24" t="s">
        <v>10101</v>
      </c>
      <c r="E1002" s="24" t="s">
        <v>29</v>
      </c>
      <c r="F1002" s="24" t="s">
        <v>30</v>
      </c>
      <c r="G1002" s="24" t="s">
        <v>9242</v>
      </c>
      <c r="H1002" s="24" t="s">
        <v>2714</v>
      </c>
      <c r="I1002" s="24" t="s">
        <v>10102</v>
      </c>
      <c r="J1002" s="24" t="s">
        <v>10103</v>
      </c>
      <c r="K1002" s="24"/>
      <c r="L1002" s="24" t="s">
        <v>36</v>
      </c>
      <c r="M1002" s="15"/>
      <c r="N1002" s="15"/>
      <c r="O1002" s="15" t="s">
        <v>867</v>
      </c>
      <c r="P1002" s="15" t="s">
        <v>10104</v>
      </c>
      <c r="Q1002" s="15" t="s">
        <v>10105</v>
      </c>
      <c r="R1002" s="15" t="s">
        <v>10106</v>
      </c>
      <c r="S1002" s="24" t="s">
        <v>71</v>
      </c>
      <c r="T1002" s="24" t="s">
        <v>39</v>
      </c>
      <c r="U1002" s="24" t="s">
        <v>39</v>
      </c>
      <c r="V1002" s="24" t="s">
        <v>39</v>
      </c>
      <c r="W1002" s="24" t="s">
        <v>10107</v>
      </c>
      <c r="X1002" s="24" t="s">
        <v>10108</v>
      </c>
      <c r="Y1002" s="15" t="s">
        <v>10109</v>
      </c>
      <c r="Z1002" s="15" t="s">
        <v>10110</v>
      </c>
      <c r="AA1002" s="24"/>
      <c r="AB1002" s="24"/>
      <c r="AC1002" s="24"/>
      <c r="AD1002" s="24"/>
      <c r="AE1002" s="24"/>
      <c r="AF1002" s="24"/>
      <c r="AG1002" s="24"/>
      <c r="AH1002" s="24"/>
    </row>
    <row r="1003" spans="1:34" x14ac:dyDescent="0.25">
      <c r="A1003" s="24" t="str">
        <f>HYPERLINK("https://www.cpso.on.ca/DoctorDetails/Jennifer-Anne-Garnham/0047852-61830","Garnham, Jennifer Anne")</f>
        <v>Garnham, Jennifer Anne</v>
      </c>
      <c r="B1003" s="25" t="s">
        <v>10111</v>
      </c>
      <c r="C1003" s="24" t="s">
        <v>10112</v>
      </c>
      <c r="D1003" s="24" t="s">
        <v>10113</v>
      </c>
      <c r="E1003" s="24" t="s">
        <v>29</v>
      </c>
      <c r="F1003" s="24" t="s">
        <v>47</v>
      </c>
      <c r="G1003" s="24" t="s">
        <v>31</v>
      </c>
      <c r="H1003" s="24" t="s">
        <v>1176</v>
      </c>
      <c r="I1003" s="24" t="s">
        <v>10114</v>
      </c>
      <c r="J1003" s="24" t="s">
        <v>10115</v>
      </c>
      <c r="K1003" s="24" t="s">
        <v>10116</v>
      </c>
      <c r="L1003" s="24" t="s">
        <v>84</v>
      </c>
      <c r="M1003" s="15"/>
      <c r="N1003" s="15"/>
      <c r="O1003" s="15"/>
      <c r="P1003" s="15" t="s">
        <v>4499</v>
      </c>
      <c r="Q1003" s="15"/>
      <c r="R1003" s="15" t="s">
        <v>10117</v>
      </c>
      <c r="S1003" s="24" t="s">
        <v>39</v>
      </c>
      <c r="T1003" s="24" t="s">
        <v>39</v>
      </c>
      <c r="U1003" s="24" t="s">
        <v>39</v>
      </c>
      <c r="V1003" s="24" t="s">
        <v>39</v>
      </c>
      <c r="W1003" s="24"/>
      <c r="X1003" s="24"/>
      <c r="Y1003" s="15"/>
      <c r="Z1003" s="15"/>
      <c r="AA1003" s="24"/>
      <c r="AB1003" s="24"/>
      <c r="AC1003" s="24"/>
      <c r="AD1003" s="24"/>
      <c r="AE1003" s="24"/>
      <c r="AF1003" s="24"/>
      <c r="AG1003" s="24"/>
      <c r="AH1003" s="24"/>
    </row>
    <row r="1004" spans="1:34" ht="30" x14ac:dyDescent="0.25">
      <c r="A1004" s="24" t="str">
        <f>HYPERLINK("https://www.cpso.on.ca/DoctorDetails/Jennifer-Barr/0251068-88254","Barr, Jennifer")</f>
        <v>Barr, Jennifer</v>
      </c>
      <c r="B1004" s="25" t="s">
        <v>10118</v>
      </c>
      <c r="C1004" s="24" t="s">
        <v>10119</v>
      </c>
      <c r="D1004" s="24" t="s">
        <v>872</v>
      </c>
      <c r="E1004" s="24" t="s">
        <v>29</v>
      </c>
      <c r="F1004" s="24" t="s">
        <v>47</v>
      </c>
      <c r="G1004" s="24" t="s">
        <v>31</v>
      </c>
      <c r="H1004" s="24" t="s">
        <v>10120</v>
      </c>
      <c r="I1004" s="24" t="s">
        <v>10121</v>
      </c>
      <c r="J1004" s="24" t="s">
        <v>10122</v>
      </c>
      <c r="K1004" s="24" t="s">
        <v>10123</v>
      </c>
      <c r="L1004" s="24" t="s">
        <v>135</v>
      </c>
      <c r="M1004" s="15" t="s">
        <v>10124</v>
      </c>
      <c r="N1004" s="15"/>
      <c r="O1004" s="15"/>
      <c r="P1004" s="15" t="s">
        <v>880</v>
      </c>
      <c r="Q1004" s="15" t="s">
        <v>10125</v>
      </c>
      <c r="R1004" s="15" t="s">
        <v>10126</v>
      </c>
      <c r="S1004" s="24" t="s">
        <v>39</v>
      </c>
      <c r="T1004" s="24" t="s">
        <v>39</v>
      </c>
      <c r="U1004" s="24" t="s">
        <v>39</v>
      </c>
      <c r="V1004" s="24" t="s">
        <v>39</v>
      </c>
      <c r="W1004" s="24"/>
      <c r="X1004" s="24"/>
      <c r="Y1004" s="15"/>
      <c r="Z1004" s="15"/>
      <c r="AA1004" s="24"/>
      <c r="AB1004" s="24"/>
      <c r="AC1004" s="24"/>
      <c r="AD1004" s="24"/>
      <c r="AE1004" s="24"/>
      <c r="AF1004" s="24"/>
      <c r="AG1004" s="24"/>
      <c r="AH1004" s="24"/>
    </row>
    <row r="1005" spans="1:34" ht="75" x14ac:dyDescent="0.25">
      <c r="A1005" s="24" t="str">
        <f>HYPERLINK("https://www.cpso.on.ca/DoctorDetails/Jennifer-Eve-Hirsch/0250468-88710","Hirsch, Jennifer Eve")</f>
        <v>Hirsch, Jennifer Eve</v>
      </c>
      <c r="B1005" s="25" t="s">
        <v>10127</v>
      </c>
      <c r="C1005" s="24" t="s">
        <v>846</v>
      </c>
      <c r="D1005" s="24" t="s">
        <v>600</v>
      </c>
      <c r="E1005" s="24" t="s">
        <v>29</v>
      </c>
      <c r="F1005" s="24" t="s">
        <v>47</v>
      </c>
      <c r="G1005" s="24" t="s">
        <v>31</v>
      </c>
      <c r="H1005" s="24" t="s">
        <v>10128</v>
      </c>
      <c r="I1005" s="24" t="s">
        <v>10129</v>
      </c>
      <c r="J1005" s="24" t="s">
        <v>6543</v>
      </c>
      <c r="K1005" s="24"/>
      <c r="L1005" s="24" t="s">
        <v>52</v>
      </c>
      <c r="M1005" s="15" t="s">
        <v>10130</v>
      </c>
      <c r="N1005" s="15"/>
      <c r="O1005" s="15" t="s">
        <v>438</v>
      </c>
      <c r="P1005" s="15" t="s">
        <v>272</v>
      </c>
      <c r="Q1005" s="15" t="s">
        <v>273</v>
      </c>
      <c r="R1005" s="15" t="s">
        <v>853</v>
      </c>
      <c r="S1005" s="24" t="s">
        <v>39</v>
      </c>
      <c r="T1005" s="24" t="s">
        <v>39</v>
      </c>
      <c r="U1005" s="24" t="s">
        <v>39</v>
      </c>
      <c r="V1005" s="24" t="s">
        <v>39</v>
      </c>
      <c r="W1005" s="24" t="s">
        <v>10131</v>
      </c>
      <c r="X1005" s="24" t="s">
        <v>10132</v>
      </c>
      <c r="Y1005" s="15" t="s">
        <v>10133</v>
      </c>
      <c r="Z1005" s="15" t="s">
        <v>10134</v>
      </c>
      <c r="AA1005" s="24"/>
      <c r="AB1005" s="24"/>
      <c r="AC1005" s="24"/>
      <c r="AD1005" s="24"/>
      <c r="AE1005" s="24"/>
      <c r="AF1005" s="24"/>
      <c r="AG1005" s="24"/>
      <c r="AH1005" s="24"/>
    </row>
    <row r="1006" spans="1:34" ht="75" x14ac:dyDescent="0.25">
      <c r="A1006" s="24" t="str">
        <f>HYPERLINK("https://www.cpso.on.ca/DoctorDetails/Jennifer-Laura-Couturier/0158610-73654","Couturier, Jennifer Laura")</f>
        <v>Couturier, Jennifer Laura</v>
      </c>
      <c r="B1006" s="25" t="s">
        <v>10135</v>
      </c>
      <c r="C1006" s="24" t="s">
        <v>10136</v>
      </c>
      <c r="D1006" s="24" t="s">
        <v>10137</v>
      </c>
      <c r="E1006" s="24" t="s">
        <v>29</v>
      </c>
      <c r="F1006" s="24" t="s">
        <v>47</v>
      </c>
      <c r="G1006" s="24" t="s">
        <v>31</v>
      </c>
      <c r="H1006" s="24" t="s">
        <v>2515</v>
      </c>
      <c r="I1006" s="24" t="s">
        <v>10138</v>
      </c>
      <c r="J1006" s="24" t="s">
        <v>10139</v>
      </c>
      <c r="K1006" s="24"/>
      <c r="L1006" s="24" t="s">
        <v>184</v>
      </c>
      <c r="M1006" s="15"/>
      <c r="N1006" s="15"/>
      <c r="O1006" s="15" t="s">
        <v>4002</v>
      </c>
      <c r="P1006" s="15" t="s">
        <v>288</v>
      </c>
      <c r="Q1006" s="15" t="s">
        <v>10140</v>
      </c>
      <c r="R1006" s="15" t="s">
        <v>10141</v>
      </c>
      <c r="S1006" s="24" t="s">
        <v>39</v>
      </c>
      <c r="T1006" s="24" t="s">
        <v>39</v>
      </c>
      <c r="U1006" s="24" t="s">
        <v>39</v>
      </c>
      <c r="V1006" s="24" t="s">
        <v>39</v>
      </c>
      <c r="W1006" s="24" t="s">
        <v>10142</v>
      </c>
      <c r="X1006" s="24" t="s">
        <v>10143</v>
      </c>
      <c r="Y1006" s="15" t="s">
        <v>10144</v>
      </c>
      <c r="Z1006" s="15" t="s">
        <v>10145</v>
      </c>
      <c r="AA1006" s="24"/>
      <c r="AB1006" s="24"/>
      <c r="AC1006" s="24"/>
      <c r="AD1006" s="24"/>
      <c r="AE1006" s="24"/>
      <c r="AF1006" s="24"/>
      <c r="AG1006" s="24"/>
      <c r="AH1006" s="24"/>
    </row>
    <row r="1007" spans="1:34" ht="105" x14ac:dyDescent="0.25">
      <c r="A1007" s="24" t="str">
        <f>HYPERLINK("https://www.cpso.on.ca/DoctorDetails/Jennifer-Leah-Fink/0250297-89207","Fink, Jennifer Leah")</f>
        <v>Fink, Jennifer Leah</v>
      </c>
      <c r="B1007" s="25" t="s">
        <v>10146</v>
      </c>
      <c r="C1007" s="24" t="s">
        <v>10147</v>
      </c>
      <c r="D1007" s="24" t="s">
        <v>10148</v>
      </c>
      <c r="E1007" s="24" t="s">
        <v>29</v>
      </c>
      <c r="F1007" s="24" t="s">
        <v>47</v>
      </c>
      <c r="G1007" s="24" t="s">
        <v>31</v>
      </c>
      <c r="H1007" s="24" t="s">
        <v>3864</v>
      </c>
      <c r="I1007" s="24" t="s">
        <v>5327</v>
      </c>
      <c r="J1007" s="24" t="s">
        <v>10149</v>
      </c>
      <c r="K1007" s="24" t="s">
        <v>6842</v>
      </c>
      <c r="L1007" s="24" t="s">
        <v>52</v>
      </c>
      <c r="M1007" s="15"/>
      <c r="N1007" s="15"/>
      <c r="O1007" s="15"/>
      <c r="P1007" s="15" t="s">
        <v>629</v>
      </c>
      <c r="Q1007" s="15" t="s">
        <v>10150</v>
      </c>
      <c r="R1007" s="15" t="s">
        <v>10151</v>
      </c>
      <c r="S1007" s="24" t="s">
        <v>39</v>
      </c>
      <c r="T1007" s="24" t="s">
        <v>39</v>
      </c>
      <c r="U1007" s="24" t="s">
        <v>39</v>
      </c>
      <c r="V1007" s="24" t="s">
        <v>39</v>
      </c>
      <c r="W1007" s="24" t="s">
        <v>10152</v>
      </c>
      <c r="X1007" s="24" t="s">
        <v>10153</v>
      </c>
      <c r="Y1007" s="15" t="s">
        <v>10154</v>
      </c>
      <c r="Z1007" s="15" t="s">
        <v>10155</v>
      </c>
      <c r="AA1007" s="24"/>
      <c r="AB1007" s="24"/>
      <c r="AC1007" s="24"/>
      <c r="AD1007" s="24"/>
      <c r="AE1007" s="24"/>
      <c r="AF1007" s="24"/>
      <c r="AG1007" s="24"/>
      <c r="AH1007" s="24"/>
    </row>
    <row r="1008" spans="1:34" ht="120" x14ac:dyDescent="0.25">
      <c r="A1008" s="24" t="str">
        <f>HYPERLINK("https://www.cpso.on.ca/DoctorDetails/Jennifer-Lyndsey-Ford/0250400-88709","Ford, Jennifer Lyndsey")</f>
        <v>Ford, Jennifer Lyndsey</v>
      </c>
      <c r="B1008" s="25" t="s">
        <v>10156</v>
      </c>
      <c r="C1008" s="24" t="s">
        <v>846</v>
      </c>
      <c r="D1008" s="24" t="s">
        <v>10157</v>
      </c>
      <c r="E1008" s="24" t="s">
        <v>29</v>
      </c>
      <c r="F1008" s="24" t="s">
        <v>47</v>
      </c>
      <c r="G1008" s="24" t="s">
        <v>31</v>
      </c>
      <c r="H1008" s="24" t="s">
        <v>10128</v>
      </c>
      <c r="I1008" s="24" t="s">
        <v>10158</v>
      </c>
      <c r="J1008" s="24" t="s">
        <v>10159</v>
      </c>
      <c r="K1008" s="24"/>
      <c r="L1008" s="24" t="s">
        <v>184</v>
      </c>
      <c r="M1008" s="15"/>
      <c r="N1008" s="15"/>
      <c r="O1008" s="15" t="s">
        <v>6565</v>
      </c>
      <c r="P1008" s="15" t="s">
        <v>10160</v>
      </c>
      <c r="Q1008" s="15" t="s">
        <v>10161</v>
      </c>
      <c r="R1008" s="15" t="s">
        <v>10162</v>
      </c>
      <c r="S1008" s="24" t="s">
        <v>39</v>
      </c>
      <c r="T1008" s="24" t="s">
        <v>39</v>
      </c>
      <c r="U1008" s="24" t="s">
        <v>39</v>
      </c>
      <c r="V1008" s="24" t="s">
        <v>39</v>
      </c>
      <c r="W1008" s="24" t="s">
        <v>10163</v>
      </c>
      <c r="X1008" s="24" t="s">
        <v>10164</v>
      </c>
      <c r="Y1008" s="15" t="s">
        <v>10165</v>
      </c>
      <c r="Z1008" s="15" t="s">
        <v>10158</v>
      </c>
      <c r="AA1008" s="24"/>
      <c r="AB1008" s="24"/>
      <c r="AC1008" s="24"/>
      <c r="AD1008" s="24"/>
      <c r="AE1008" s="24"/>
      <c r="AF1008" s="24"/>
      <c r="AG1008" s="24"/>
      <c r="AH1008" s="24"/>
    </row>
    <row r="1009" spans="1:34" ht="90" x14ac:dyDescent="0.25">
      <c r="A1009" s="24" t="str">
        <f>HYPERLINK("https://www.cpso.on.ca/DoctorDetails/Jennifer-Lynn-Marie-Brault/0243157-87305","Brault, Jennifer Lynn Marie")</f>
        <v>Brault, Jennifer Lynn Marie</v>
      </c>
      <c r="B1009" s="25" t="s">
        <v>10166</v>
      </c>
      <c r="C1009" s="24" t="s">
        <v>1115</v>
      </c>
      <c r="D1009" s="24" t="s">
        <v>10167</v>
      </c>
      <c r="E1009" s="24" t="s">
        <v>29</v>
      </c>
      <c r="F1009" s="24" t="s">
        <v>47</v>
      </c>
      <c r="G1009" s="24" t="s">
        <v>813</v>
      </c>
      <c r="H1009" s="24" t="s">
        <v>4717</v>
      </c>
      <c r="I1009" s="24" t="s">
        <v>107</v>
      </c>
      <c r="J1009" s="24"/>
      <c r="K1009" s="24"/>
      <c r="L1009" s="24"/>
      <c r="M1009" s="15"/>
      <c r="N1009" s="15"/>
      <c r="O1009" s="15" t="s">
        <v>10168</v>
      </c>
      <c r="P1009" s="15" t="s">
        <v>10169</v>
      </c>
      <c r="Q1009" s="15" t="s">
        <v>10170</v>
      </c>
      <c r="R1009" s="15" t="s">
        <v>10171</v>
      </c>
      <c r="S1009" s="24" t="s">
        <v>39</v>
      </c>
      <c r="T1009" s="24" t="s">
        <v>39</v>
      </c>
      <c r="U1009" s="24" t="s">
        <v>39</v>
      </c>
      <c r="V1009" s="24" t="s">
        <v>39</v>
      </c>
      <c r="W1009" s="24"/>
      <c r="X1009" s="24"/>
      <c r="Y1009" s="15"/>
      <c r="Z1009" s="15"/>
      <c r="AA1009" s="24"/>
      <c r="AB1009" s="24"/>
      <c r="AC1009" s="24"/>
      <c r="AD1009" s="24"/>
      <c r="AE1009" s="24"/>
      <c r="AF1009" s="24"/>
      <c r="AG1009" s="24"/>
      <c r="AH1009" s="24"/>
    </row>
    <row r="1010" spans="1:34" ht="105" x14ac:dyDescent="0.25">
      <c r="A1010" s="24" t="str">
        <f>HYPERLINK("https://www.cpso.on.ca/DoctorDetails/Jennifer-Marie-Hensel/0250298-88809","Hensel, Jennifer Marie")</f>
        <v>Hensel, Jennifer Marie</v>
      </c>
      <c r="B1010" s="25" t="s">
        <v>10172</v>
      </c>
      <c r="C1010" s="24" t="s">
        <v>846</v>
      </c>
      <c r="D1010" s="24" t="s">
        <v>600</v>
      </c>
      <c r="E1010" s="24" t="s">
        <v>29</v>
      </c>
      <c r="F1010" s="24" t="s">
        <v>47</v>
      </c>
      <c r="G1010" s="24" t="s">
        <v>31</v>
      </c>
      <c r="H1010" s="24" t="s">
        <v>3864</v>
      </c>
      <c r="I1010" s="24" t="s">
        <v>10173</v>
      </c>
      <c r="J1010" s="24" t="s">
        <v>50</v>
      </c>
      <c r="K1010" s="24" t="s">
        <v>51</v>
      </c>
      <c r="L1010" s="24" t="s">
        <v>52</v>
      </c>
      <c r="M1010" s="15"/>
      <c r="N1010" s="15" t="s">
        <v>10174</v>
      </c>
      <c r="O1010" s="15"/>
      <c r="P1010" s="15" t="s">
        <v>272</v>
      </c>
      <c r="Q1010" s="15" t="s">
        <v>10175</v>
      </c>
      <c r="R1010" s="15" t="s">
        <v>853</v>
      </c>
      <c r="S1010" s="24" t="s">
        <v>39</v>
      </c>
      <c r="T1010" s="24" t="s">
        <v>39</v>
      </c>
      <c r="U1010" s="24" t="s">
        <v>39</v>
      </c>
      <c r="V1010" s="24" t="s">
        <v>39</v>
      </c>
      <c r="W1010" s="24" t="s">
        <v>10176</v>
      </c>
      <c r="X1010" s="24" t="s">
        <v>10177</v>
      </c>
      <c r="Y1010" s="15" t="s">
        <v>10178</v>
      </c>
      <c r="Z1010" s="15" t="s">
        <v>10179</v>
      </c>
      <c r="AA1010" s="24"/>
      <c r="AB1010" s="24"/>
      <c r="AC1010" s="24"/>
      <c r="AD1010" s="24"/>
      <c r="AE1010" s="24"/>
      <c r="AF1010" s="24"/>
      <c r="AG1010" s="24"/>
      <c r="AH1010" s="24"/>
    </row>
    <row r="1011" spans="1:34" ht="90" x14ac:dyDescent="0.25">
      <c r="A1011" s="24" t="str">
        <f>HYPERLINK("https://www.cpso.on.ca/DoctorDetails/Jennifer-Monique-Pytyck/0242840-86485","Pytyck, Jennifer Monique")</f>
        <v>Pytyck, Jennifer Monique</v>
      </c>
      <c r="B1011" s="25" t="s">
        <v>10180</v>
      </c>
      <c r="C1011" s="24" t="s">
        <v>10181</v>
      </c>
      <c r="D1011" s="24" t="s">
        <v>10182</v>
      </c>
      <c r="E1011" s="24" t="s">
        <v>29</v>
      </c>
      <c r="F1011" s="24" t="s">
        <v>47</v>
      </c>
      <c r="G1011" s="24" t="s">
        <v>31</v>
      </c>
      <c r="H1011" s="24" t="s">
        <v>847</v>
      </c>
      <c r="I1011" s="24" t="s">
        <v>10183</v>
      </c>
      <c r="J1011" s="24" t="s">
        <v>8690</v>
      </c>
      <c r="K1011" s="24"/>
      <c r="L1011" s="24" t="s">
        <v>36</v>
      </c>
      <c r="M1011" s="15"/>
      <c r="N1011" s="15"/>
      <c r="O1011" s="15" t="s">
        <v>3590</v>
      </c>
      <c r="P1011" s="15" t="s">
        <v>1074</v>
      </c>
      <c r="Q1011" s="15" t="s">
        <v>10184</v>
      </c>
      <c r="R1011" s="15" t="s">
        <v>10185</v>
      </c>
      <c r="S1011" s="24" t="s">
        <v>39</v>
      </c>
      <c r="T1011" s="24" t="s">
        <v>39</v>
      </c>
      <c r="U1011" s="24" t="s">
        <v>39</v>
      </c>
      <c r="V1011" s="24" t="s">
        <v>39</v>
      </c>
      <c r="W1011" s="24" t="s">
        <v>10186</v>
      </c>
      <c r="X1011" s="24" t="s">
        <v>10187</v>
      </c>
      <c r="Y1011" s="15" t="s">
        <v>10188</v>
      </c>
      <c r="Z1011" s="15" t="s">
        <v>10189</v>
      </c>
      <c r="AA1011" s="24"/>
      <c r="AB1011" s="24"/>
      <c r="AC1011" s="24"/>
      <c r="AD1011" s="24"/>
      <c r="AE1011" s="24"/>
      <c r="AF1011" s="24"/>
      <c r="AG1011" s="24"/>
      <c r="AH1011" s="24"/>
    </row>
    <row r="1012" spans="1:34" ht="105" x14ac:dyDescent="0.25">
      <c r="A1012" s="24" t="str">
        <f>HYPERLINK("https://www.cpso.on.ca/DoctorDetails/Jennifer-Natalie-Martins/0288479-100270","Martins, Jennifer Natalie")</f>
        <v>Martins, Jennifer Natalie</v>
      </c>
      <c r="B1012" s="25" t="s">
        <v>10190</v>
      </c>
      <c r="C1012" s="24" t="s">
        <v>1548</v>
      </c>
      <c r="D1012" s="24" t="s">
        <v>200</v>
      </c>
      <c r="E1012" s="24" t="s">
        <v>29</v>
      </c>
      <c r="F1012" s="24" t="s">
        <v>47</v>
      </c>
      <c r="G1012" s="24" t="s">
        <v>31</v>
      </c>
      <c r="H1012" s="24" t="s">
        <v>10191</v>
      </c>
      <c r="I1012" s="24" t="s">
        <v>10192</v>
      </c>
      <c r="J1012" s="24" t="s">
        <v>6387</v>
      </c>
      <c r="K1012" s="24" t="s">
        <v>10193</v>
      </c>
      <c r="L1012" s="24" t="s">
        <v>340</v>
      </c>
      <c r="M1012" s="15" t="s">
        <v>10194</v>
      </c>
      <c r="N1012" s="15"/>
      <c r="O1012" s="15" t="s">
        <v>10195</v>
      </c>
      <c r="P1012" s="15" t="s">
        <v>205</v>
      </c>
      <c r="Q1012" s="15" t="s">
        <v>10196</v>
      </c>
      <c r="R1012" s="15" t="s">
        <v>10197</v>
      </c>
      <c r="S1012" s="24" t="s">
        <v>39</v>
      </c>
      <c r="T1012" s="24" t="s">
        <v>39</v>
      </c>
      <c r="U1012" s="24" t="s">
        <v>39</v>
      </c>
      <c r="V1012" s="24" t="s">
        <v>39</v>
      </c>
      <c r="W1012" s="24"/>
      <c r="X1012" s="24"/>
      <c r="Y1012" s="15"/>
      <c r="Z1012" s="15"/>
      <c r="AA1012" s="24"/>
      <c r="AB1012" s="24"/>
      <c r="AC1012" s="24"/>
      <c r="AD1012" s="24"/>
      <c r="AE1012" s="24"/>
      <c r="AF1012" s="24"/>
      <c r="AG1012" s="24"/>
      <c r="AH1012" s="24"/>
    </row>
    <row r="1013" spans="1:34" ht="75" x14ac:dyDescent="0.25">
      <c r="A1013" s="24" t="str">
        <f>HYPERLINK("https://www.cpso.on.ca/DoctorDetails/Jennifer-Nguyen/0157655-82868","Nguyen, Jennifer")</f>
        <v>Nguyen, Jennifer</v>
      </c>
      <c r="B1013" s="25" t="s">
        <v>10198</v>
      </c>
      <c r="C1013" s="24" t="s">
        <v>2342</v>
      </c>
      <c r="D1013" s="24" t="s">
        <v>2343</v>
      </c>
      <c r="E1013" s="24" t="s">
        <v>29</v>
      </c>
      <c r="F1013" s="24" t="s">
        <v>47</v>
      </c>
      <c r="G1013" s="24" t="s">
        <v>31</v>
      </c>
      <c r="H1013" s="24" t="s">
        <v>10199</v>
      </c>
      <c r="I1013" s="24" t="s">
        <v>10200</v>
      </c>
      <c r="J1013" s="24" t="s">
        <v>10201</v>
      </c>
      <c r="K1013" s="24" t="s">
        <v>10202</v>
      </c>
      <c r="L1013" s="24" t="s">
        <v>52</v>
      </c>
      <c r="M1013" s="15"/>
      <c r="N1013" s="15"/>
      <c r="O1013" s="15" t="s">
        <v>981</v>
      </c>
      <c r="P1013" s="15" t="s">
        <v>2348</v>
      </c>
      <c r="Q1013" s="15" t="s">
        <v>2349</v>
      </c>
      <c r="R1013" s="15" t="s">
        <v>2350</v>
      </c>
      <c r="S1013" s="24" t="s">
        <v>39</v>
      </c>
      <c r="T1013" s="24" t="s">
        <v>39</v>
      </c>
      <c r="U1013" s="24" t="s">
        <v>39</v>
      </c>
      <c r="V1013" s="24" t="s">
        <v>39</v>
      </c>
      <c r="W1013" s="24" t="s">
        <v>10203</v>
      </c>
      <c r="X1013" s="24" t="s">
        <v>10204</v>
      </c>
      <c r="Y1013" s="15" t="s">
        <v>10205</v>
      </c>
      <c r="Z1013" s="15" t="s">
        <v>10206</v>
      </c>
      <c r="AA1013" s="24"/>
      <c r="AB1013" s="24"/>
      <c r="AC1013" s="24"/>
      <c r="AD1013" s="24"/>
      <c r="AE1013" s="24"/>
      <c r="AF1013" s="24"/>
      <c r="AG1013" s="24"/>
      <c r="AH1013" s="24"/>
    </row>
    <row r="1014" spans="1:34" ht="120" x14ac:dyDescent="0.25">
      <c r="A1014" s="24" t="str">
        <f>HYPERLINK("https://www.cpso.on.ca/DoctorDetails/Jennifer-Robin-Shaw/0039944-53920","Shaw, Jennifer Robin")</f>
        <v>Shaw, Jennifer Robin</v>
      </c>
      <c r="B1014" s="25" t="s">
        <v>10207</v>
      </c>
      <c r="C1014" s="24" t="s">
        <v>3450</v>
      </c>
      <c r="D1014" s="24" t="s">
        <v>10208</v>
      </c>
      <c r="E1014" s="24" t="s">
        <v>29</v>
      </c>
      <c r="F1014" s="24" t="s">
        <v>47</v>
      </c>
      <c r="G1014" s="24" t="s">
        <v>31</v>
      </c>
      <c r="H1014" s="24" t="s">
        <v>3412</v>
      </c>
      <c r="I1014" s="24" t="s">
        <v>10209</v>
      </c>
      <c r="J1014" s="24" t="s">
        <v>10210</v>
      </c>
      <c r="K1014" s="24"/>
      <c r="L1014" s="24"/>
      <c r="M1014" s="15"/>
      <c r="N1014" s="15" t="s">
        <v>10211</v>
      </c>
      <c r="O1014" s="15"/>
      <c r="P1014" s="15" t="s">
        <v>1033</v>
      </c>
      <c r="Q1014" s="15" t="s">
        <v>10212</v>
      </c>
      <c r="R1014" s="15" t="s">
        <v>10213</v>
      </c>
      <c r="S1014" s="24" t="s">
        <v>39</v>
      </c>
      <c r="T1014" s="24" t="s">
        <v>39</v>
      </c>
      <c r="U1014" s="24" t="s">
        <v>39</v>
      </c>
      <c r="V1014" s="24" t="s">
        <v>39</v>
      </c>
      <c r="W1014" s="24"/>
      <c r="X1014" s="24"/>
      <c r="Y1014" s="15"/>
      <c r="Z1014" s="15"/>
      <c r="AA1014" s="24"/>
      <c r="AB1014" s="24"/>
      <c r="AC1014" s="24"/>
      <c r="AD1014" s="24"/>
      <c r="AE1014" s="24"/>
      <c r="AF1014" s="24"/>
      <c r="AG1014" s="24"/>
      <c r="AH1014" s="24"/>
    </row>
    <row r="1015" spans="1:34" ht="105" x14ac:dyDescent="0.25">
      <c r="A1015" s="24" t="str">
        <f>HYPERLINK("https://www.cpso.on.ca/DoctorDetails/Jennifer-Robyn-Braverman/0210942-80831","Braverman, Jennifer Robyn")</f>
        <v>Braverman, Jennifer Robyn</v>
      </c>
      <c r="B1015" s="25" t="s">
        <v>10214</v>
      </c>
      <c r="C1015" s="24" t="s">
        <v>10215</v>
      </c>
      <c r="D1015" s="24" t="s">
        <v>10216</v>
      </c>
      <c r="E1015" s="24" t="s">
        <v>29</v>
      </c>
      <c r="F1015" s="24" t="s">
        <v>47</v>
      </c>
      <c r="G1015" s="24" t="s">
        <v>31</v>
      </c>
      <c r="H1015" s="24" t="s">
        <v>908</v>
      </c>
      <c r="I1015" s="24" t="s">
        <v>10217</v>
      </c>
      <c r="J1015" s="24" t="s">
        <v>10218</v>
      </c>
      <c r="K1015" s="24" t="s">
        <v>486</v>
      </c>
      <c r="L1015" s="24" t="s">
        <v>52</v>
      </c>
      <c r="M1015" s="15"/>
      <c r="N1015" s="15"/>
      <c r="O1015" s="15" t="s">
        <v>1867</v>
      </c>
      <c r="P1015" s="15" t="s">
        <v>55</v>
      </c>
      <c r="Q1015" s="15" t="s">
        <v>10219</v>
      </c>
      <c r="R1015" s="15" t="s">
        <v>10220</v>
      </c>
      <c r="S1015" s="24" t="s">
        <v>39</v>
      </c>
      <c r="T1015" s="24" t="s">
        <v>39</v>
      </c>
      <c r="U1015" s="24" t="s">
        <v>39</v>
      </c>
      <c r="V1015" s="24" t="s">
        <v>39</v>
      </c>
      <c r="W1015" s="24"/>
      <c r="X1015" s="24"/>
      <c r="Y1015" s="15"/>
      <c r="Z1015" s="15"/>
      <c r="AA1015" s="24"/>
      <c r="AB1015" s="24"/>
      <c r="AC1015" s="24"/>
      <c r="AD1015" s="24"/>
      <c r="AE1015" s="24"/>
      <c r="AF1015" s="24"/>
      <c r="AG1015" s="24"/>
      <c r="AH1015" s="24"/>
    </row>
    <row r="1016" spans="1:34" ht="75" x14ac:dyDescent="0.25">
      <c r="A1016" s="24" t="str">
        <f>HYPERLINK("https://www.cpso.on.ca/DoctorDetails/Jennifer-Susan-Brasch/0049708-63686","Brasch, Jennifer Susan")</f>
        <v>Brasch, Jennifer Susan</v>
      </c>
      <c r="B1016" s="25" t="s">
        <v>10221</v>
      </c>
      <c r="C1016" s="24" t="s">
        <v>10222</v>
      </c>
      <c r="D1016" s="24" t="s">
        <v>10223</v>
      </c>
      <c r="E1016" s="24" t="s">
        <v>29</v>
      </c>
      <c r="F1016" s="24" t="s">
        <v>47</v>
      </c>
      <c r="G1016" s="24" t="s">
        <v>31</v>
      </c>
      <c r="H1016" s="24" t="s">
        <v>10224</v>
      </c>
      <c r="I1016" s="24" t="s">
        <v>10225</v>
      </c>
      <c r="J1016" s="24" t="s">
        <v>10226</v>
      </c>
      <c r="K1016" s="24" t="s">
        <v>10227</v>
      </c>
      <c r="L1016" s="24" t="s">
        <v>184</v>
      </c>
      <c r="M1016" s="15" t="s">
        <v>10228</v>
      </c>
      <c r="N1016" s="15"/>
      <c r="O1016" s="15" t="s">
        <v>10229</v>
      </c>
      <c r="P1016" s="15" t="s">
        <v>3954</v>
      </c>
      <c r="Q1016" s="15" t="s">
        <v>10230</v>
      </c>
      <c r="R1016" s="15" t="s">
        <v>10231</v>
      </c>
      <c r="S1016" s="24" t="s">
        <v>39</v>
      </c>
      <c r="T1016" s="24" t="s">
        <v>39</v>
      </c>
      <c r="U1016" s="24" t="s">
        <v>39</v>
      </c>
      <c r="V1016" s="24" t="s">
        <v>39</v>
      </c>
      <c r="W1016" s="24" t="s">
        <v>10232</v>
      </c>
      <c r="X1016" s="24" t="s">
        <v>10233</v>
      </c>
      <c r="Y1016" s="15" t="s">
        <v>10234</v>
      </c>
      <c r="Z1016" s="15" t="s">
        <v>10235</v>
      </c>
      <c r="AA1016" s="24"/>
      <c r="AB1016" s="24"/>
      <c r="AC1016" s="24"/>
      <c r="AD1016" s="24"/>
      <c r="AE1016" s="24"/>
      <c r="AF1016" s="24"/>
      <c r="AG1016" s="24"/>
      <c r="AH1016" s="24"/>
    </row>
    <row r="1017" spans="1:34" ht="90" x14ac:dyDescent="0.25">
      <c r="A1017" s="24" t="str">
        <f>HYPERLINK("https://www.cpso.on.ca/DoctorDetails/Jennifer-Tiffney/0250830-88432","Tiffney, Jennifer")</f>
        <v>Tiffney, Jennifer</v>
      </c>
      <c r="B1017" s="25" t="s">
        <v>10236</v>
      </c>
      <c r="C1017" s="24" t="s">
        <v>10237</v>
      </c>
      <c r="D1017" s="24" t="s">
        <v>10238</v>
      </c>
      <c r="E1017" s="24" t="s">
        <v>29</v>
      </c>
      <c r="F1017" s="24" t="s">
        <v>47</v>
      </c>
      <c r="G1017" s="24" t="s">
        <v>31</v>
      </c>
      <c r="H1017" s="24" t="s">
        <v>8722</v>
      </c>
      <c r="I1017" s="24" t="s">
        <v>10239</v>
      </c>
      <c r="J1017" s="24" t="s">
        <v>10240</v>
      </c>
      <c r="K1017" s="24" t="s">
        <v>6762</v>
      </c>
      <c r="L1017" s="24" t="s">
        <v>184</v>
      </c>
      <c r="M1017" s="15" t="s">
        <v>10241</v>
      </c>
      <c r="N1017" s="15"/>
      <c r="O1017" s="15" t="s">
        <v>1662</v>
      </c>
      <c r="P1017" s="15" t="s">
        <v>10242</v>
      </c>
      <c r="Q1017" s="15" t="s">
        <v>10243</v>
      </c>
      <c r="R1017" s="15" t="s">
        <v>10244</v>
      </c>
      <c r="S1017" s="24" t="s">
        <v>39</v>
      </c>
      <c r="T1017" s="24" t="s">
        <v>39</v>
      </c>
      <c r="U1017" s="24" t="s">
        <v>39</v>
      </c>
      <c r="V1017" s="24" t="s">
        <v>39</v>
      </c>
      <c r="W1017" s="24" t="s">
        <v>10245</v>
      </c>
      <c r="X1017" s="24" t="s">
        <v>10246</v>
      </c>
      <c r="Y1017" s="15" t="s">
        <v>10247</v>
      </c>
      <c r="Z1017" s="15" t="s">
        <v>10248</v>
      </c>
      <c r="AA1017" s="24"/>
      <c r="AB1017" s="24"/>
      <c r="AC1017" s="24"/>
      <c r="AD1017" s="24"/>
      <c r="AE1017" s="24"/>
      <c r="AF1017" s="24"/>
      <c r="AG1017" s="24"/>
      <c r="AH1017" s="24"/>
    </row>
    <row r="1018" spans="1:34" ht="75" x14ac:dyDescent="0.25">
      <c r="A1018" s="24" t="str">
        <f>HYPERLINK("https://www.cpso.on.ca/DoctorDetails/Jeremy-Johnathon-RivaCambrin/0273292-96109","Riva-Cambrin, Jeremy Johnathon")</f>
        <v>Riva-Cambrin, Jeremy Johnathon</v>
      </c>
      <c r="B1018" s="25" t="s">
        <v>10249</v>
      </c>
      <c r="C1018" s="24" t="s">
        <v>10250</v>
      </c>
      <c r="D1018" s="24" t="s">
        <v>10251</v>
      </c>
      <c r="E1018" s="24" t="s">
        <v>29</v>
      </c>
      <c r="F1018" s="24" t="s">
        <v>30</v>
      </c>
      <c r="G1018" s="24" t="s">
        <v>31</v>
      </c>
      <c r="H1018" s="24" t="s">
        <v>10252</v>
      </c>
      <c r="I1018" s="24" t="s">
        <v>10253</v>
      </c>
      <c r="J1018" s="24" t="s">
        <v>10254</v>
      </c>
      <c r="K1018" s="24"/>
      <c r="L1018" s="24" t="s">
        <v>52</v>
      </c>
      <c r="M1018" s="15" t="s">
        <v>10255</v>
      </c>
      <c r="N1018" s="15"/>
      <c r="O1018" s="15" t="s">
        <v>3482</v>
      </c>
      <c r="P1018" s="15" t="s">
        <v>973</v>
      </c>
      <c r="Q1018" s="15" t="s">
        <v>4058</v>
      </c>
      <c r="R1018" s="15" t="s">
        <v>10256</v>
      </c>
      <c r="S1018" s="24" t="s">
        <v>39</v>
      </c>
      <c r="T1018" s="24" t="s">
        <v>39</v>
      </c>
      <c r="U1018" s="24" t="s">
        <v>39</v>
      </c>
      <c r="V1018" s="24" t="s">
        <v>39</v>
      </c>
      <c r="W1018" s="24" t="s">
        <v>10257</v>
      </c>
      <c r="X1018" s="24" t="s">
        <v>10258</v>
      </c>
      <c r="Y1018" s="15" t="s">
        <v>10259</v>
      </c>
      <c r="Z1018" s="15" t="s">
        <v>10260</v>
      </c>
      <c r="AA1018" s="24"/>
      <c r="AB1018" s="24"/>
      <c r="AC1018" s="24"/>
      <c r="AD1018" s="24"/>
      <c r="AE1018" s="24"/>
      <c r="AF1018" s="24"/>
      <c r="AG1018" s="24"/>
      <c r="AH1018" s="24"/>
    </row>
    <row r="1019" spans="1:34" ht="105" x14ac:dyDescent="0.25">
      <c r="A1019" s="24" t="str">
        <f>HYPERLINK("https://www.cpso.on.ca/DoctorDetails/Jeremy-Ryan-Butler/0272056-95830","Butler, Jeremy Ryan")</f>
        <v>Butler, Jeremy Ryan</v>
      </c>
      <c r="B1019" s="25" t="s">
        <v>10261</v>
      </c>
      <c r="C1019" s="24" t="s">
        <v>10262</v>
      </c>
      <c r="D1019" s="24" t="s">
        <v>10263</v>
      </c>
      <c r="E1019" s="24" t="s">
        <v>29</v>
      </c>
      <c r="F1019" s="24" t="s">
        <v>30</v>
      </c>
      <c r="G1019" s="24" t="s">
        <v>31</v>
      </c>
      <c r="H1019" s="24" t="s">
        <v>10264</v>
      </c>
      <c r="I1019" s="24" t="s">
        <v>10265</v>
      </c>
      <c r="J1019" s="24" t="s">
        <v>10266</v>
      </c>
      <c r="K1019" s="24"/>
      <c r="L1019" s="24" t="s">
        <v>184</v>
      </c>
      <c r="M1019" s="15"/>
      <c r="N1019" s="15" t="s">
        <v>1449</v>
      </c>
      <c r="O1019" s="15" t="s">
        <v>2169</v>
      </c>
      <c r="P1019" s="15" t="s">
        <v>10267</v>
      </c>
      <c r="Q1019" s="15"/>
      <c r="R1019" s="15" t="s">
        <v>10268</v>
      </c>
      <c r="S1019" s="24" t="s">
        <v>71</v>
      </c>
      <c r="T1019" s="24" t="s">
        <v>39</v>
      </c>
      <c r="U1019" s="24" t="s">
        <v>39</v>
      </c>
      <c r="V1019" s="24" t="s">
        <v>39</v>
      </c>
      <c r="W1019" s="24" t="s">
        <v>10269</v>
      </c>
      <c r="X1019" s="24" t="s">
        <v>10270</v>
      </c>
      <c r="Y1019" s="15" t="s">
        <v>10271</v>
      </c>
      <c r="Z1019" s="15" t="s">
        <v>10272</v>
      </c>
      <c r="AA1019" s="24"/>
      <c r="AB1019" s="24"/>
      <c r="AC1019" s="24"/>
      <c r="AD1019" s="24"/>
      <c r="AE1019" s="24"/>
      <c r="AF1019" s="24"/>
      <c r="AG1019" s="24"/>
      <c r="AH1019" s="24"/>
    </row>
    <row r="1020" spans="1:34" ht="75" x14ac:dyDescent="0.25">
      <c r="A1020" s="24" t="str">
        <f>HYPERLINK("https://www.cpso.on.ca/DoctorDetails/Jerome-Mevan-Waidyaratne-Perera/0257989-91458","Perera, Jerome Mevan Waidyaratne")</f>
        <v>Perera, Jerome Mevan Waidyaratne</v>
      </c>
      <c r="B1020" s="25" t="s">
        <v>10273</v>
      </c>
      <c r="C1020" s="24" t="s">
        <v>8703</v>
      </c>
      <c r="D1020" s="24" t="s">
        <v>8704</v>
      </c>
      <c r="E1020" s="24" t="s">
        <v>29</v>
      </c>
      <c r="F1020" s="24" t="s">
        <v>30</v>
      </c>
      <c r="G1020" s="24" t="s">
        <v>5884</v>
      </c>
      <c r="H1020" s="24" t="s">
        <v>444</v>
      </c>
      <c r="I1020" s="24" t="s">
        <v>10274</v>
      </c>
      <c r="J1020" s="24" t="s">
        <v>10275</v>
      </c>
      <c r="K1020" s="24" t="s">
        <v>10276</v>
      </c>
      <c r="L1020" s="24" t="s">
        <v>52</v>
      </c>
      <c r="M1020" s="15" t="s">
        <v>10277</v>
      </c>
      <c r="N1020" s="15"/>
      <c r="O1020" s="15" t="s">
        <v>232</v>
      </c>
      <c r="P1020" s="15" t="s">
        <v>449</v>
      </c>
      <c r="Q1020" s="15" t="s">
        <v>450</v>
      </c>
      <c r="R1020" s="15" t="s">
        <v>8707</v>
      </c>
      <c r="S1020" s="24" t="s">
        <v>39</v>
      </c>
      <c r="T1020" s="24" t="s">
        <v>39</v>
      </c>
      <c r="U1020" s="24" t="s">
        <v>39</v>
      </c>
      <c r="V1020" s="24" t="s">
        <v>39</v>
      </c>
      <c r="W1020" s="24"/>
      <c r="X1020" s="24"/>
      <c r="Y1020" s="15"/>
      <c r="Z1020" s="15"/>
      <c r="AA1020" s="24"/>
      <c r="AB1020" s="24"/>
      <c r="AC1020" s="24"/>
      <c r="AD1020" s="24"/>
      <c r="AE1020" s="24"/>
      <c r="AF1020" s="24"/>
      <c r="AG1020" s="24"/>
      <c r="AH1020" s="24"/>
    </row>
    <row r="1021" spans="1:34" x14ac:dyDescent="0.25">
      <c r="A1021" s="24" t="str">
        <f>HYPERLINK("https://www.cpso.on.ca/DoctorDetails/Jerome-Olivier/0313322-110767","Olivier, Jerome")</f>
        <v>Olivier, Jerome</v>
      </c>
      <c r="B1021" s="25" t="s">
        <v>10278</v>
      </c>
      <c r="C1021" s="24" t="s">
        <v>10279</v>
      </c>
      <c r="D1021" s="24" t="s">
        <v>10280</v>
      </c>
      <c r="E1021" s="24" t="s">
        <v>29</v>
      </c>
      <c r="F1021" s="24" t="s">
        <v>30</v>
      </c>
      <c r="G1021" s="24" t="s">
        <v>813</v>
      </c>
      <c r="H1021" s="24" t="s">
        <v>10281</v>
      </c>
      <c r="I1021" s="24" t="s">
        <v>10282</v>
      </c>
      <c r="J1021" s="24" t="s">
        <v>10283</v>
      </c>
      <c r="K1021" s="24"/>
      <c r="L1021" s="24"/>
      <c r="M1021" s="15"/>
      <c r="N1021" s="15" t="s">
        <v>710</v>
      </c>
      <c r="O1021" s="15"/>
      <c r="P1021" s="15" t="s">
        <v>1398</v>
      </c>
      <c r="Q1021" s="15"/>
      <c r="R1021" s="15" t="s">
        <v>10284</v>
      </c>
      <c r="S1021" s="24" t="s">
        <v>39</v>
      </c>
      <c r="T1021" s="24" t="s">
        <v>39</v>
      </c>
      <c r="U1021" s="24" t="s">
        <v>39</v>
      </c>
      <c r="V1021" s="24" t="s">
        <v>39</v>
      </c>
      <c r="W1021" s="24"/>
      <c r="X1021" s="24"/>
      <c r="Y1021" s="15"/>
      <c r="Z1021" s="15"/>
      <c r="AA1021" s="24"/>
      <c r="AB1021" s="24"/>
      <c r="AC1021" s="24"/>
      <c r="AD1021" s="24"/>
      <c r="AE1021" s="24"/>
      <c r="AF1021" s="24"/>
      <c r="AG1021" s="24"/>
      <c r="AH1021" s="24"/>
    </row>
    <row r="1022" spans="1:34" ht="30" x14ac:dyDescent="0.25">
      <c r="A1022" s="24" t="str">
        <f>HYPERLINK("https://www.cpso.on.ca/DoctorDetails/Jerry-Albert-Friedman/0019318-24105","Friedman, Jerry Albert")</f>
        <v>Friedman, Jerry Albert</v>
      </c>
      <c r="B1022" s="25" t="s">
        <v>10285</v>
      </c>
      <c r="C1022" s="24" t="s">
        <v>10286</v>
      </c>
      <c r="D1022" s="24" t="s">
        <v>10287</v>
      </c>
      <c r="E1022" s="24" t="s">
        <v>29</v>
      </c>
      <c r="F1022" s="24" t="s">
        <v>30</v>
      </c>
      <c r="G1022" s="24" t="s">
        <v>252</v>
      </c>
      <c r="H1022" s="24" t="s">
        <v>6561</v>
      </c>
      <c r="I1022" s="24" t="s">
        <v>10288</v>
      </c>
      <c r="J1022" s="24" t="s">
        <v>10289</v>
      </c>
      <c r="K1022" s="24" t="s">
        <v>1190</v>
      </c>
      <c r="L1022" s="24" t="s">
        <v>52</v>
      </c>
      <c r="M1022" s="15" t="s">
        <v>10290</v>
      </c>
      <c r="N1022" s="15"/>
      <c r="O1022" s="15" t="s">
        <v>1191</v>
      </c>
      <c r="P1022" s="15" t="s">
        <v>10291</v>
      </c>
      <c r="Q1022" s="15"/>
      <c r="R1022" s="15" t="s">
        <v>10292</v>
      </c>
      <c r="S1022" s="24" t="s">
        <v>39</v>
      </c>
      <c r="T1022" s="24" t="s">
        <v>39</v>
      </c>
      <c r="U1022" s="24" t="s">
        <v>39</v>
      </c>
      <c r="V1022" s="24" t="s">
        <v>39</v>
      </c>
      <c r="W1022" s="24"/>
      <c r="X1022" s="24"/>
      <c r="Y1022" s="15"/>
      <c r="Z1022" s="15"/>
      <c r="AA1022" s="24"/>
      <c r="AB1022" s="24"/>
      <c r="AC1022" s="24"/>
      <c r="AD1022" s="24"/>
      <c r="AE1022" s="24"/>
      <c r="AF1022" s="24"/>
      <c r="AG1022" s="24"/>
      <c r="AH1022" s="24"/>
    </row>
    <row r="1023" spans="1:34" x14ac:dyDescent="0.25">
      <c r="A1023" s="24" t="str">
        <f>HYPERLINK("https://www.cpso.on.ca/DoctorDetails/Jerry-Jacob-Irving-Cooper/0013897-18678","Cooper, Jerry Jacob Irving")</f>
        <v>Cooper, Jerry Jacob Irving</v>
      </c>
      <c r="B1023" s="25" t="s">
        <v>10293</v>
      </c>
      <c r="C1023" s="24" t="s">
        <v>10294</v>
      </c>
      <c r="D1023" s="24" t="s">
        <v>10295</v>
      </c>
      <c r="E1023" s="24" t="s">
        <v>29</v>
      </c>
      <c r="F1023" s="24" t="s">
        <v>30</v>
      </c>
      <c r="G1023" s="24" t="s">
        <v>31</v>
      </c>
      <c r="H1023" s="24" t="s">
        <v>6548</v>
      </c>
      <c r="I1023" s="24" t="s">
        <v>107</v>
      </c>
      <c r="J1023" s="24"/>
      <c r="K1023" s="24"/>
      <c r="L1023" s="24"/>
      <c r="M1023" s="15"/>
      <c r="N1023" s="15"/>
      <c r="O1023" s="15"/>
      <c r="P1023" s="15" t="s">
        <v>4653</v>
      </c>
      <c r="Q1023" s="15"/>
      <c r="R1023" s="15" t="s">
        <v>10296</v>
      </c>
      <c r="S1023" s="24" t="s">
        <v>39</v>
      </c>
      <c r="T1023" s="24" t="s">
        <v>39</v>
      </c>
      <c r="U1023" s="24" t="s">
        <v>39</v>
      </c>
      <c r="V1023" s="24" t="s">
        <v>39</v>
      </c>
      <c r="W1023" s="24"/>
      <c r="X1023" s="24"/>
      <c r="Y1023" s="15"/>
      <c r="Z1023" s="15"/>
      <c r="AA1023" s="24"/>
      <c r="AB1023" s="24"/>
      <c r="AC1023" s="24"/>
      <c r="AD1023" s="24"/>
      <c r="AE1023" s="24"/>
      <c r="AF1023" s="24"/>
      <c r="AG1023" s="24"/>
      <c r="AH1023" s="24"/>
    </row>
    <row r="1024" spans="1:34" ht="30" x14ac:dyDescent="0.25">
      <c r="A1024" s="24" t="str">
        <f>HYPERLINK("https://www.cpso.on.ca/DoctorDetails/Jerry-Jerome-Warsh/0018004-22790","Warsh, Jerry Jerome")</f>
        <v>Warsh, Jerry Jerome</v>
      </c>
      <c r="B1024" s="25" t="s">
        <v>10297</v>
      </c>
      <c r="C1024" s="24" t="s">
        <v>10298</v>
      </c>
      <c r="D1024" s="24" t="s">
        <v>10299</v>
      </c>
      <c r="E1024" s="24" t="s">
        <v>29</v>
      </c>
      <c r="F1024" s="24" t="s">
        <v>30</v>
      </c>
      <c r="G1024" s="24" t="s">
        <v>31</v>
      </c>
      <c r="H1024" s="24" t="s">
        <v>6561</v>
      </c>
      <c r="I1024" s="24" t="s">
        <v>10300</v>
      </c>
      <c r="J1024" s="24" t="s">
        <v>10301</v>
      </c>
      <c r="K1024" s="24" t="s">
        <v>10302</v>
      </c>
      <c r="L1024" s="24" t="s">
        <v>52</v>
      </c>
      <c r="M1024" s="15"/>
      <c r="N1024" s="15"/>
      <c r="O1024" s="15" t="s">
        <v>793</v>
      </c>
      <c r="P1024" s="15" t="s">
        <v>4108</v>
      </c>
      <c r="Q1024" s="15"/>
      <c r="R1024" s="15" t="s">
        <v>10303</v>
      </c>
      <c r="S1024" s="24" t="s">
        <v>39</v>
      </c>
      <c r="T1024" s="24" t="s">
        <v>39</v>
      </c>
      <c r="U1024" s="24" t="s">
        <v>39</v>
      </c>
      <c r="V1024" s="24" t="s">
        <v>39</v>
      </c>
      <c r="W1024" s="24"/>
      <c r="X1024" s="24"/>
      <c r="Y1024" s="15"/>
      <c r="Z1024" s="15"/>
      <c r="AA1024" s="24"/>
      <c r="AB1024" s="24"/>
      <c r="AC1024" s="24"/>
      <c r="AD1024" s="24"/>
      <c r="AE1024" s="24"/>
      <c r="AF1024" s="24"/>
      <c r="AG1024" s="24"/>
      <c r="AH1024" s="24"/>
    </row>
    <row r="1025" spans="1:34" ht="135" x14ac:dyDescent="0.25">
      <c r="A1025" s="24" t="str">
        <f>HYPERLINK("https://www.cpso.on.ca/DoctorDetails/Jerry-Tennen/0017206-21992","Tennen, Jerry")</f>
        <v>Tennen, Jerry</v>
      </c>
      <c r="B1025" s="25" t="s">
        <v>10304</v>
      </c>
      <c r="C1025" s="24" t="s">
        <v>10305</v>
      </c>
      <c r="D1025" s="24" t="s">
        <v>10306</v>
      </c>
      <c r="E1025" s="24" t="s">
        <v>29</v>
      </c>
      <c r="F1025" s="24" t="s">
        <v>30</v>
      </c>
      <c r="G1025" s="24" t="s">
        <v>31</v>
      </c>
      <c r="H1025" s="24" t="s">
        <v>5310</v>
      </c>
      <c r="I1025" s="24" t="s">
        <v>10307</v>
      </c>
      <c r="J1025" s="24" t="s">
        <v>10308</v>
      </c>
      <c r="K1025" s="24"/>
      <c r="L1025" s="24" t="s">
        <v>52</v>
      </c>
      <c r="M1025" s="15"/>
      <c r="N1025" s="15"/>
      <c r="O1025" s="15"/>
      <c r="P1025" s="15" t="s">
        <v>8792</v>
      </c>
      <c r="Q1025" s="15"/>
      <c r="R1025" s="15" t="s">
        <v>10309</v>
      </c>
      <c r="S1025" s="24" t="s">
        <v>39</v>
      </c>
      <c r="T1025" s="24" t="s">
        <v>71</v>
      </c>
      <c r="U1025" s="24" t="s">
        <v>39</v>
      </c>
      <c r="V1025" s="24" t="s">
        <v>39</v>
      </c>
      <c r="W1025" s="24"/>
      <c r="X1025" s="24"/>
      <c r="Y1025" s="15"/>
      <c r="Z1025" s="15"/>
      <c r="AA1025" s="24"/>
      <c r="AB1025" s="24"/>
      <c r="AC1025" s="24"/>
      <c r="AD1025" s="24"/>
      <c r="AE1025" s="24"/>
      <c r="AF1025" s="24"/>
      <c r="AG1025" s="24"/>
      <c r="AH1025" s="24"/>
    </row>
    <row r="1026" spans="1:34" ht="150" x14ac:dyDescent="0.25">
      <c r="A1026" s="24" t="str">
        <f>HYPERLINK("https://www.cpso.on.ca/DoctorDetails/Jessica-Anne-Vanderveen/0266296-92879","Vanderveen, Jessica Anne")</f>
        <v>Vanderveen, Jessica Anne</v>
      </c>
      <c r="B1026" s="25" t="s">
        <v>10310</v>
      </c>
      <c r="C1026" s="24" t="s">
        <v>570</v>
      </c>
      <c r="D1026" s="24" t="s">
        <v>10311</v>
      </c>
      <c r="E1026" s="24" t="s">
        <v>29</v>
      </c>
      <c r="F1026" s="24" t="s">
        <v>47</v>
      </c>
      <c r="G1026" s="24" t="s">
        <v>31</v>
      </c>
      <c r="H1026" s="24" t="s">
        <v>10312</v>
      </c>
      <c r="I1026" s="24" t="s">
        <v>10313</v>
      </c>
      <c r="J1026" s="24" t="s">
        <v>10314</v>
      </c>
      <c r="K1026" s="24" t="s">
        <v>10315</v>
      </c>
      <c r="L1026" s="24" t="s">
        <v>184</v>
      </c>
      <c r="M1026" s="15" t="s">
        <v>10316</v>
      </c>
      <c r="N1026" s="15"/>
      <c r="O1026" s="15" t="s">
        <v>6565</v>
      </c>
      <c r="P1026" s="15" t="s">
        <v>10317</v>
      </c>
      <c r="Q1026" s="15" t="s">
        <v>10318</v>
      </c>
      <c r="R1026" s="15" t="s">
        <v>10319</v>
      </c>
      <c r="S1026" s="24" t="s">
        <v>39</v>
      </c>
      <c r="T1026" s="24" t="s">
        <v>39</v>
      </c>
      <c r="U1026" s="24" t="s">
        <v>39</v>
      </c>
      <c r="V1026" s="24" t="s">
        <v>39</v>
      </c>
      <c r="W1026" s="24"/>
      <c r="X1026" s="24"/>
      <c r="Y1026" s="15"/>
      <c r="Z1026" s="15"/>
      <c r="AA1026" s="24"/>
      <c r="AB1026" s="24"/>
      <c r="AC1026" s="24"/>
      <c r="AD1026" s="24"/>
      <c r="AE1026" s="24"/>
      <c r="AF1026" s="24"/>
      <c r="AG1026" s="24"/>
      <c r="AH1026" s="24"/>
    </row>
    <row r="1027" spans="1:34" ht="150" x14ac:dyDescent="0.25">
      <c r="A1027" s="24" t="str">
        <f>HYPERLINK("https://www.cpso.on.ca/DoctorDetails/Jessica-Elizabeth-Waserman/0266324-93730","Waserman, Jessica Elizabeth")</f>
        <v>Waserman, Jessica Elizabeth</v>
      </c>
      <c r="B1027" s="25" t="s">
        <v>10320</v>
      </c>
      <c r="C1027" s="24" t="s">
        <v>570</v>
      </c>
      <c r="D1027" s="24" t="s">
        <v>10321</v>
      </c>
      <c r="E1027" s="24" t="s">
        <v>29</v>
      </c>
      <c r="F1027" s="24" t="s">
        <v>47</v>
      </c>
      <c r="G1027" s="24" t="s">
        <v>31</v>
      </c>
      <c r="H1027" s="24" t="s">
        <v>5730</v>
      </c>
      <c r="I1027" s="24" t="s">
        <v>10322</v>
      </c>
      <c r="J1027" s="24" t="s">
        <v>10323</v>
      </c>
      <c r="K1027" s="24"/>
      <c r="L1027" s="24" t="s">
        <v>184</v>
      </c>
      <c r="M1027" s="15"/>
      <c r="N1027" s="15"/>
      <c r="O1027" s="15" t="s">
        <v>10324</v>
      </c>
      <c r="P1027" s="15" t="s">
        <v>10325</v>
      </c>
      <c r="Q1027" s="15" t="s">
        <v>10326</v>
      </c>
      <c r="R1027" s="15" t="s">
        <v>10327</v>
      </c>
      <c r="S1027" s="24" t="s">
        <v>39</v>
      </c>
      <c r="T1027" s="24" t="s">
        <v>39</v>
      </c>
      <c r="U1027" s="24" t="s">
        <v>39</v>
      </c>
      <c r="V1027" s="24" t="s">
        <v>39</v>
      </c>
      <c r="W1027" s="24" t="s">
        <v>10328</v>
      </c>
      <c r="X1027" s="24" t="s">
        <v>10329</v>
      </c>
      <c r="Y1027" s="15" t="s">
        <v>10330</v>
      </c>
      <c r="Z1027" s="15" t="s">
        <v>10331</v>
      </c>
      <c r="AA1027" s="24" t="s">
        <v>10332</v>
      </c>
      <c r="AB1027" s="24" t="s">
        <v>10333</v>
      </c>
      <c r="AC1027" s="24" t="s">
        <v>10334</v>
      </c>
      <c r="AD1027" s="24" t="s">
        <v>10335</v>
      </c>
      <c r="AE1027" s="24"/>
      <c r="AF1027" s="24"/>
      <c r="AG1027" s="24"/>
      <c r="AH1027" s="24"/>
    </row>
    <row r="1028" spans="1:34" ht="105" x14ac:dyDescent="0.25">
      <c r="A1028" s="24" t="str">
        <f>HYPERLINK("https://www.cpso.on.ca/DoctorDetails/Jessica-Lynne-Braidek/0288621-100438","Braidek, Jessica Lynne")</f>
        <v>Braidek, Jessica Lynne</v>
      </c>
      <c r="B1028" s="25" t="s">
        <v>10336</v>
      </c>
      <c r="C1028" s="24" t="s">
        <v>10337</v>
      </c>
      <c r="D1028" s="24" t="s">
        <v>10338</v>
      </c>
      <c r="E1028" s="24" t="s">
        <v>29</v>
      </c>
      <c r="F1028" s="24" t="s">
        <v>47</v>
      </c>
      <c r="G1028" s="24" t="s">
        <v>31</v>
      </c>
      <c r="H1028" s="24" t="s">
        <v>2992</v>
      </c>
      <c r="I1028" s="24" t="s">
        <v>10339</v>
      </c>
      <c r="J1028" s="24" t="s">
        <v>10340</v>
      </c>
      <c r="K1028" s="24" t="s">
        <v>5613</v>
      </c>
      <c r="L1028" s="24" t="s">
        <v>52</v>
      </c>
      <c r="M1028" s="15"/>
      <c r="N1028" s="15"/>
      <c r="O1028" s="15"/>
      <c r="P1028" s="15" t="s">
        <v>10341</v>
      </c>
      <c r="Q1028" s="15" t="s">
        <v>10342</v>
      </c>
      <c r="R1028" s="15" t="s">
        <v>10343</v>
      </c>
      <c r="S1028" s="24" t="s">
        <v>39</v>
      </c>
      <c r="T1028" s="24" t="s">
        <v>39</v>
      </c>
      <c r="U1028" s="24" t="s">
        <v>39</v>
      </c>
      <c r="V1028" s="24" t="s">
        <v>39</v>
      </c>
      <c r="W1028" s="24" t="s">
        <v>4014</v>
      </c>
      <c r="X1028" s="24" t="s">
        <v>4015</v>
      </c>
      <c r="Y1028" s="15"/>
      <c r="Z1028" s="15"/>
      <c r="AA1028" s="24"/>
      <c r="AB1028" s="24"/>
      <c r="AC1028" s="24"/>
      <c r="AD1028" s="24"/>
      <c r="AE1028" s="24"/>
      <c r="AF1028" s="24"/>
      <c r="AG1028" s="24"/>
      <c r="AH1028" s="24"/>
    </row>
    <row r="1029" spans="1:34" ht="75" x14ac:dyDescent="0.25">
      <c r="A1029" s="24" t="str">
        <f>HYPERLINK("https://www.cpso.on.ca/DoctorDetails/Jessica-Polixeni-Thoma/0266267-93735","Thoma, Jessica Polixeni")</f>
        <v>Thoma, Jessica Polixeni</v>
      </c>
      <c r="B1029" s="25" t="s">
        <v>10344</v>
      </c>
      <c r="C1029" s="24" t="s">
        <v>10345</v>
      </c>
      <c r="D1029" s="24" t="s">
        <v>10346</v>
      </c>
      <c r="E1029" s="24" t="s">
        <v>29</v>
      </c>
      <c r="F1029" s="24" t="s">
        <v>47</v>
      </c>
      <c r="G1029" s="24" t="s">
        <v>31</v>
      </c>
      <c r="H1029" s="24" t="s">
        <v>968</v>
      </c>
      <c r="I1029" s="24" t="s">
        <v>10347</v>
      </c>
      <c r="J1029" s="24" t="s">
        <v>1269</v>
      </c>
      <c r="K1029" s="24" t="s">
        <v>10348</v>
      </c>
      <c r="L1029" s="24" t="s">
        <v>52</v>
      </c>
      <c r="M1029" s="15"/>
      <c r="N1029" s="15"/>
      <c r="O1029" s="15" t="s">
        <v>842</v>
      </c>
      <c r="P1029" s="15" t="s">
        <v>629</v>
      </c>
      <c r="Q1029" s="15" t="s">
        <v>4824</v>
      </c>
      <c r="R1029" s="15" t="s">
        <v>10349</v>
      </c>
      <c r="S1029" s="24" t="s">
        <v>39</v>
      </c>
      <c r="T1029" s="24" t="s">
        <v>39</v>
      </c>
      <c r="U1029" s="24" t="s">
        <v>39</v>
      </c>
      <c r="V1029" s="24" t="s">
        <v>39</v>
      </c>
      <c r="W1029" s="24"/>
      <c r="X1029" s="24"/>
      <c r="Y1029" s="15"/>
      <c r="Z1029" s="15"/>
      <c r="AA1029" s="24"/>
      <c r="AB1029" s="24"/>
      <c r="AC1029" s="24"/>
      <c r="AD1029" s="24"/>
      <c r="AE1029" s="24"/>
      <c r="AF1029" s="24"/>
      <c r="AG1029" s="24"/>
      <c r="AH1029" s="24"/>
    </row>
    <row r="1030" spans="1:34" ht="30" x14ac:dyDescent="0.25">
      <c r="A1030" s="24" t="str">
        <f>HYPERLINK("https://www.cpso.on.ca/DoctorDetails/Jetinder-Singh-Gill/0321067-113585","Gill, Jetinder Singh")</f>
        <v>Gill, Jetinder Singh</v>
      </c>
      <c r="B1030" s="25" t="s">
        <v>10350</v>
      </c>
      <c r="C1030" s="24" t="s">
        <v>2067</v>
      </c>
      <c r="D1030" s="24" t="s">
        <v>10351</v>
      </c>
      <c r="E1030" s="24" t="s">
        <v>29</v>
      </c>
      <c r="F1030" s="24" t="s">
        <v>30</v>
      </c>
      <c r="G1030" s="24" t="s">
        <v>31</v>
      </c>
      <c r="H1030" s="24" t="s">
        <v>10352</v>
      </c>
      <c r="I1030" s="24" t="s">
        <v>10353</v>
      </c>
      <c r="J1030" s="24" t="s">
        <v>1841</v>
      </c>
      <c r="K1030" s="24"/>
      <c r="L1030" s="24" t="s">
        <v>36</v>
      </c>
      <c r="M1030" s="15"/>
      <c r="N1030" s="15"/>
      <c r="O1030" s="15"/>
      <c r="P1030" s="15" t="s">
        <v>550</v>
      </c>
      <c r="Q1030" s="15" t="s">
        <v>10354</v>
      </c>
      <c r="R1030" s="15" t="s">
        <v>10355</v>
      </c>
      <c r="S1030" s="24" t="s">
        <v>39</v>
      </c>
      <c r="T1030" s="24" t="s">
        <v>39</v>
      </c>
      <c r="U1030" s="24" t="s">
        <v>39</v>
      </c>
      <c r="V1030" s="24" t="s">
        <v>39</v>
      </c>
      <c r="W1030" s="24"/>
      <c r="X1030" s="24"/>
      <c r="Y1030" s="15"/>
      <c r="Z1030" s="15"/>
      <c r="AA1030" s="24"/>
      <c r="AB1030" s="24"/>
      <c r="AC1030" s="24"/>
      <c r="AD1030" s="24"/>
      <c r="AE1030" s="24"/>
      <c r="AF1030" s="24"/>
      <c r="AG1030" s="24"/>
      <c r="AH1030" s="24"/>
    </row>
    <row r="1031" spans="1:34" ht="75" x14ac:dyDescent="0.25">
      <c r="A1031" s="24" t="str">
        <f>HYPERLINK("https://www.cpso.on.ca/DoctorDetails/Jillian-Sussman/0203397-79123","Sussman, Jillian")</f>
        <v>Sussman, Jillian</v>
      </c>
      <c r="B1031" s="25" t="s">
        <v>10356</v>
      </c>
      <c r="C1031" s="24" t="s">
        <v>10357</v>
      </c>
      <c r="D1031" s="24" t="s">
        <v>10358</v>
      </c>
      <c r="E1031" s="24" t="s">
        <v>29</v>
      </c>
      <c r="F1031" s="24" t="s">
        <v>47</v>
      </c>
      <c r="G1031" s="24" t="s">
        <v>31</v>
      </c>
      <c r="H1031" s="24" t="s">
        <v>8041</v>
      </c>
      <c r="I1031" s="24" t="s">
        <v>10359</v>
      </c>
      <c r="J1031" s="24" t="s">
        <v>10360</v>
      </c>
      <c r="K1031" s="24" t="s">
        <v>10361</v>
      </c>
      <c r="L1031" s="24" t="s">
        <v>52</v>
      </c>
      <c r="M1031" s="15"/>
      <c r="N1031" s="15"/>
      <c r="O1031" s="15" t="s">
        <v>3112</v>
      </c>
      <c r="P1031" s="15" t="s">
        <v>880</v>
      </c>
      <c r="Q1031" s="15" t="s">
        <v>1607</v>
      </c>
      <c r="R1031" s="15" t="s">
        <v>10362</v>
      </c>
      <c r="S1031" s="24" t="s">
        <v>39</v>
      </c>
      <c r="T1031" s="24" t="s">
        <v>39</v>
      </c>
      <c r="U1031" s="24" t="s">
        <v>39</v>
      </c>
      <c r="V1031" s="24" t="s">
        <v>39</v>
      </c>
      <c r="W1031" s="24"/>
      <c r="X1031" s="24"/>
      <c r="Y1031" s="15"/>
      <c r="Z1031" s="15"/>
      <c r="AA1031" s="24"/>
      <c r="AB1031" s="24"/>
      <c r="AC1031" s="24"/>
      <c r="AD1031" s="24"/>
      <c r="AE1031" s="24"/>
      <c r="AF1031" s="24"/>
      <c r="AG1031" s="24"/>
      <c r="AH1031" s="24"/>
    </row>
    <row r="1032" spans="1:34" x14ac:dyDescent="0.25">
      <c r="A1032" s="24" t="str">
        <f>HYPERLINK("https://www.cpso.on.ca/DoctorDetails/Jimmy-Kua/0025038-29861","Kua, Jimmy")</f>
        <v>Kua, Jimmy</v>
      </c>
      <c r="B1032" s="25" t="s">
        <v>10363</v>
      </c>
      <c r="C1032" s="24" t="s">
        <v>10364</v>
      </c>
      <c r="D1032" s="24" t="s">
        <v>10365</v>
      </c>
      <c r="E1032" s="24" t="s">
        <v>29</v>
      </c>
      <c r="F1032" s="24" t="s">
        <v>30</v>
      </c>
      <c r="G1032" s="24" t="s">
        <v>31</v>
      </c>
      <c r="H1032" s="24" t="s">
        <v>10366</v>
      </c>
      <c r="I1032" s="24" t="s">
        <v>10367</v>
      </c>
      <c r="J1032" s="24" t="s">
        <v>10368</v>
      </c>
      <c r="K1032" s="24" t="s">
        <v>10369</v>
      </c>
      <c r="L1032" s="24" t="s">
        <v>84</v>
      </c>
      <c r="M1032" s="15"/>
      <c r="N1032" s="15"/>
      <c r="O1032" s="15"/>
      <c r="P1032" s="15" t="s">
        <v>2459</v>
      </c>
      <c r="Q1032" s="15"/>
      <c r="R1032" s="15" t="s">
        <v>10370</v>
      </c>
      <c r="S1032" s="24" t="s">
        <v>39</v>
      </c>
      <c r="T1032" s="24" t="s">
        <v>39</v>
      </c>
      <c r="U1032" s="24" t="s">
        <v>39</v>
      </c>
      <c r="V1032" s="24" t="s">
        <v>39</v>
      </c>
      <c r="W1032" s="24"/>
      <c r="X1032" s="24"/>
      <c r="Y1032" s="15"/>
      <c r="Z1032" s="15"/>
      <c r="AA1032" s="24"/>
      <c r="AB1032" s="24"/>
      <c r="AC1032" s="24"/>
      <c r="AD1032" s="24"/>
      <c r="AE1032" s="24"/>
      <c r="AF1032" s="24"/>
      <c r="AG1032" s="24"/>
      <c r="AH1032" s="24"/>
    </row>
    <row r="1033" spans="1:34" ht="90" x14ac:dyDescent="0.25">
      <c r="A1033" s="24" t="str">
        <f>HYPERLINK("https://www.cpso.on.ca/DoctorDetails/Jinous-Hamidi/0181941-76106","Hamidi, Jinous")</f>
        <v>Hamidi, Jinous</v>
      </c>
      <c r="B1033" s="25" t="s">
        <v>10371</v>
      </c>
      <c r="C1033" s="24" t="s">
        <v>1130</v>
      </c>
      <c r="D1033" s="24" t="s">
        <v>922</v>
      </c>
      <c r="E1033" s="24" t="s">
        <v>29</v>
      </c>
      <c r="F1033" s="24" t="s">
        <v>47</v>
      </c>
      <c r="G1033" s="24" t="s">
        <v>31</v>
      </c>
      <c r="H1033" s="24" t="s">
        <v>7638</v>
      </c>
      <c r="I1033" s="24" t="s">
        <v>10372</v>
      </c>
      <c r="J1033" s="24" t="s">
        <v>10373</v>
      </c>
      <c r="K1033" s="24" t="s">
        <v>10374</v>
      </c>
      <c r="L1033" s="24" t="s">
        <v>52</v>
      </c>
      <c r="M1033" s="15"/>
      <c r="N1033" s="15"/>
      <c r="O1033" s="15"/>
      <c r="P1033" s="15" t="s">
        <v>488</v>
      </c>
      <c r="Q1033" s="15" t="s">
        <v>5725</v>
      </c>
      <c r="R1033" s="15" t="s">
        <v>5726</v>
      </c>
      <c r="S1033" s="24" t="s">
        <v>39</v>
      </c>
      <c r="T1033" s="24" t="s">
        <v>39</v>
      </c>
      <c r="U1033" s="24" t="s">
        <v>39</v>
      </c>
      <c r="V1033" s="24" t="s">
        <v>39</v>
      </c>
      <c r="W1033" s="24"/>
      <c r="X1033" s="24"/>
      <c r="Y1033" s="15"/>
      <c r="Z1033" s="15"/>
      <c r="AA1033" s="24"/>
      <c r="AB1033" s="24"/>
      <c r="AC1033" s="24"/>
      <c r="AD1033" s="24"/>
      <c r="AE1033" s="24"/>
      <c r="AF1033" s="24"/>
      <c r="AG1033" s="24"/>
      <c r="AH1033" s="24"/>
    </row>
    <row r="1034" spans="1:34" ht="105" x14ac:dyDescent="0.25">
      <c r="A1034" s="24" t="str">
        <f>HYPERLINK("https://www.cpso.on.ca/DoctorDetails/Jo-Ann-Marie-Corey/0116651-70025","Corey, Jo Ann Marie")</f>
        <v>Corey, Jo Ann Marie</v>
      </c>
      <c r="B1034" s="25" t="s">
        <v>10375</v>
      </c>
      <c r="C1034" s="24" t="s">
        <v>2673</v>
      </c>
      <c r="D1034" s="24" t="s">
        <v>10376</v>
      </c>
      <c r="E1034" s="24" t="s">
        <v>29</v>
      </c>
      <c r="F1034" s="24" t="s">
        <v>47</v>
      </c>
      <c r="G1034" s="24" t="s">
        <v>31</v>
      </c>
      <c r="H1034" s="24" t="s">
        <v>9666</v>
      </c>
      <c r="I1034" s="24" t="s">
        <v>10377</v>
      </c>
      <c r="J1034" s="24" t="s">
        <v>10378</v>
      </c>
      <c r="K1034" s="24"/>
      <c r="L1034" s="24" t="s">
        <v>184</v>
      </c>
      <c r="M1034" s="15"/>
      <c r="N1034" s="15"/>
      <c r="O1034" s="15" t="s">
        <v>4354</v>
      </c>
      <c r="P1034" s="15" t="s">
        <v>10379</v>
      </c>
      <c r="Q1034" s="15" t="s">
        <v>10380</v>
      </c>
      <c r="R1034" s="15" t="s">
        <v>10381</v>
      </c>
      <c r="S1034" s="24" t="s">
        <v>39</v>
      </c>
      <c r="T1034" s="24" t="s">
        <v>39</v>
      </c>
      <c r="U1034" s="24" t="s">
        <v>39</v>
      </c>
      <c r="V1034" s="24" t="s">
        <v>39</v>
      </c>
      <c r="W1034" s="24" t="s">
        <v>10382</v>
      </c>
      <c r="X1034" s="24" t="s">
        <v>10383</v>
      </c>
      <c r="Y1034" s="15" t="s">
        <v>10384</v>
      </c>
      <c r="Z1034" s="15" t="s">
        <v>10385</v>
      </c>
      <c r="AA1034" s="24"/>
      <c r="AB1034" s="24"/>
      <c r="AC1034" s="24"/>
      <c r="AD1034" s="24"/>
      <c r="AE1034" s="24"/>
      <c r="AF1034" s="24"/>
      <c r="AG1034" s="24"/>
      <c r="AH1034" s="24"/>
    </row>
    <row r="1035" spans="1:34" ht="30" x14ac:dyDescent="0.25">
      <c r="A1035" s="24" t="str">
        <f>HYPERLINK("https://www.cpso.on.ca/DoctorDetails/Jo-Ann-Thomson-Silcox/0016647-21432","Silcox, Jo Ann Thomson")</f>
        <v>Silcox, Jo Ann Thomson</v>
      </c>
      <c r="B1035" s="25" t="s">
        <v>10386</v>
      </c>
      <c r="C1035" s="24" t="s">
        <v>6231</v>
      </c>
      <c r="D1035" s="24" t="s">
        <v>6232</v>
      </c>
      <c r="E1035" s="24" t="s">
        <v>29</v>
      </c>
      <c r="F1035" s="24" t="s">
        <v>47</v>
      </c>
      <c r="G1035" s="24" t="s">
        <v>31</v>
      </c>
      <c r="H1035" s="24" t="s">
        <v>5502</v>
      </c>
      <c r="I1035" s="24" t="s">
        <v>10387</v>
      </c>
      <c r="J1035" s="24" t="s">
        <v>10388</v>
      </c>
      <c r="K1035" s="24"/>
      <c r="L1035" s="24" t="s">
        <v>135</v>
      </c>
      <c r="M1035" s="15"/>
      <c r="N1035" s="15"/>
      <c r="O1035" s="15"/>
      <c r="P1035" s="15" t="s">
        <v>10389</v>
      </c>
      <c r="Q1035" s="15"/>
      <c r="R1035" s="15" t="s">
        <v>6238</v>
      </c>
      <c r="S1035" s="24" t="s">
        <v>39</v>
      </c>
      <c r="T1035" s="24" t="s">
        <v>39</v>
      </c>
      <c r="U1035" s="24" t="s">
        <v>39</v>
      </c>
      <c r="V1035" s="24" t="s">
        <v>39</v>
      </c>
      <c r="W1035" s="24"/>
      <c r="X1035" s="24"/>
      <c r="Y1035" s="15"/>
      <c r="Z1035" s="15"/>
      <c r="AA1035" s="24"/>
      <c r="AB1035" s="24"/>
      <c r="AC1035" s="24"/>
      <c r="AD1035" s="24"/>
      <c r="AE1035" s="24"/>
      <c r="AF1035" s="24"/>
      <c r="AG1035" s="24"/>
      <c r="AH1035" s="24"/>
    </row>
    <row r="1036" spans="1:34" ht="45" x14ac:dyDescent="0.25">
      <c r="A1036" s="24" t="str">
        <f>HYPERLINK("https://www.cpso.on.ca/DoctorDetails/Joan-Charlotte-Nagy/0037705-51681","Nagy, Joan Charlotte")</f>
        <v>Nagy, Joan Charlotte</v>
      </c>
      <c r="B1036" s="25" t="s">
        <v>10390</v>
      </c>
      <c r="C1036" s="24" t="s">
        <v>492</v>
      </c>
      <c r="D1036" s="24" t="s">
        <v>10391</v>
      </c>
      <c r="E1036" s="24" t="s">
        <v>29</v>
      </c>
      <c r="F1036" s="24" t="s">
        <v>47</v>
      </c>
      <c r="G1036" s="24" t="s">
        <v>31</v>
      </c>
      <c r="H1036" s="24" t="s">
        <v>2805</v>
      </c>
      <c r="I1036" s="24" t="s">
        <v>10392</v>
      </c>
      <c r="J1036" s="24" t="s">
        <v>10393</v>
      </c>
      <c r="K1036" s="24" t="s">
        <v>10394</v>
      </c>
      <c r="L1036" s="24" t="s">
        <v>184</v>
      </c>
      <c r="M1036" s="15" t="s">
        <v>10395</v>
      </c>
      <c r="N1036" s="15"/>
      <c r="O1036" s="15" t="s">
        <v>10396</v>
      </c>
      <c r="P1036" s="15" t="s">
        <v>499</v>
      </c>
      <c r="Q1036" s="15"/>
      <c r="R1036" s="15" t="s">
        <v>10397</v>
      </c>
      <c r="S1036" s="24" t="s">
        <v>39</v>
      </c>
      <c r="T1036" s="24" t="s">
        <v>39</v>
      </c>
      <c r="U1036" s="24" t="s">
        <v>39</v>
      </c>
      <c r="V1036" s="24" t="s">
        <v>39</v>
      </c>
      <c r="W1036" s="24"/>
      <c r="X1036" s="24"/>
      <c r="Y1036" s="15"/>
      <c r="Z1036" s="15"/>
      <c r="AA1036" s="24"/>
      <c r="AB1036" s="24"/>
      <c r="AC1036" s="24"/>
      <c r="AD1036" s="24"/>
      <c r="AE1036" s="24"/>
      <c r="AF1036" s="24"/>
      <c r="AG1036" s="24"/>
      <c r="AH1036" s="24"/>
    </row>
    <row r="1037" spans="1:34" ht="30" x14ac:dyDescent="0.25">
      <c r="A1037" s="24" t="str">
        <f>HYPERLINK("https://www.cpso.on.ca/DoctorDetails/Joan-Elizabeth-Haglund-Bishop/0019821-24609","Bishop, Joan Elizabeth Haglund")</f>
        <v>Bishop, Joan Elizabeth Haglund</v>
      </c>
      <c r="B1037" s="25" t="s">
        <v>10398</v>
      </c>
      <c r="C1037" s="24" t="s">
        <v>10399</v>
      </c>
      <c r="D1037" s="24" t="s">
        <v>10400</v>
      </c>
      <c r="E1037" s="24" t="s">
        <v>29</v>
      </c>
      <c r="F1037" s="24" t="s">
        <v>47</v>
      </c>
      <c r="G1037" s="24" t="s">
        <v>31</v>
      </c>
      <c r="H1037" s="24" t="s">
        <v>6455</v>
      </c>
      <c r="I1037" s="24" t="s">
        <v>10401</v>
      </c>
      <c r="J1037" s="24" t="s">
        <v>10402</v>
      </c>
      <c r="K1037" s="24" t="s">
        <v>10403</v>
      </c>
      <c r="L1037" s="24" t="s">
        <v>36</v>
      </c>
      <c r="M1037" s="15"/>
      <c r="N1037" s="15"/>
      <c r="O1037" s="15" t="s">
        <v>1760</v>
      </c>
      <c r="P1037" s="15" t="s">
        <v>2661</v>
      </c>
      <c r="Q1037" s="15"/>
      <c r="R1037" s="15" t="s">
        <v>10404</v>
      </c>
      <c r="S1037" s="24" t="s">
        <v>39</v>
      </c>
      <c r="T1037" s="24" t="s">
        <v>39</v>
      </c>
      <c r="U1037" s="24" t="s">
        <v>39</v>
      </c>
      <c r="V1037" s="24" t="s">
        <v>39</v>
      </c>
      <c r="W1037" s="24"/>
      <c r="X1037" s="24"/>
      <c r="Y1037" s="15"/>
      <c r="Z1037" s="15"/>
      <c r="AA1037" s="24"/>
      <c r="AB1037" s="24"/>
      <c r="AC1037" s="24"/>
      <c r="AD1037" s="24"/>
      <c r="AE1037" s="24"/>
      <c r="AF1037" s="24"/>
      <c r="AG1037" s="24"/>
      <c r="AH1037" s="24"/>
    </row>
    <row r="1038" spans="1:34" x14ac:dyDescent="0.25">
      <c r="A1038" s="24" t="str">
        <f>HYPERLINK("https://www.cpso.on.ca/DoctorDetails/Joan-Margaret-Quinn/0274820-96686","Quinn, Joan Margaret")</f>
        <v>Quinn, Joan Margaret</v>
      </c>
      <c r="B1038" s="25" t="s">
        <v>10405</v>
      </c>
      <c r="C1038" s="24" t="s">
        <v>10406</v>
      </c>
      <c r="D1038" s="24" t="s">
        <v>10407</v>
      </c>
      <c r="E1038" s="24" t="s">
        <v>29</v>
      </c>
      <c r="F1038" s="24" t="s">
        <v>47</v>
      </c>
      <c r="G1038" s="24" t="s">
        <v>31</v>
      </c>
      <c r="H1038" s="24" t="s">
        <v>10408</v>
      </c>
      <c r="I1038" s="24" t="s">
        <v>10409</v>
      </c>
      <c r="J1038" s="24" t="s">
        <v>10410</v>
      </c>
      <c r="K1038" s="24"/>
      <c r="L1038" s="24" t="s">
        <v>36</v>
      </c>
      <c r="M1038" s="15"/>
      <c r="N1038" s="15" t="s">
        <v>167</v>
      </c>
      <c r="O1038" s="15"/>
      <c r="P1038" s="15" t="s">
        <v>10411</v>
      </c>
      <c r="Q1038" s="15"/>
      <c r="R1038" s="15" t="s">
        <v>10412</v>
      </c>
      <c r="S1038" s="24" t="s">
        <v>39</v>
      </c>
      <c r="T1038" s="24" t="s">
        <v>39</v>
      </c>
      <c r="U1038" s="24" t="s">
        <v>39</v>
      </c>
      <c r="V1038" s="24" t="s">
        <v>39</v>
      </c>
      <c r="W1038" s="24"/>
      <c r="X1038" s="24"/>
      <c r="Y1038" s="15"/>
      <c r="Z1038" s="15"/>
      <c r="AA1038" s="24"/>
      <c r="AB1038" s="24"/>
      <c r="AC1038" s="24"/>
      <c r="AD1038" s="24"/>
      <c r="AE1038" s="24"/>
      <c r="AF1038" s="24"/>
      <c r="AG1038" s="24"/>
      <c r="AH1038" s="24"/>
    </row>
    <row r="1039" spans="1:34" x14ac:dyDescent="0.25">
      <c r="A1039" s="24" t="str">
        <f>HYPERLINK("https://www.cpso.on.ca/DoctorDetails/Joan-Marie-Meitin/0042266-56244","Meitin, Joan Marie")</f>
        <v>Meitin, Joan Marie</v>
      </c>
      <c r="B1039" s="25" t="s">
        <v>10413</v>
      </c>
      <c r="C1039" s="24" t="s">
        <v>10414</v>
      </c>
      <c r="D1039" s="24" t="s">
        <v>10415</v>
      </c>
      <c r="E1039" s="24" t="s">
        <v>29</v>
      </c>
      <c r="F1039" s="24" t="s">
        <v>47</v>
      </c>
      <c r="G1039" s="24" t="s">
        <v>813</v>
      </c>
      <c r="H1039" s="24" t="s">
        <v>10416</v>
      </c>
      <c r="I1039" s="24" t="s">
        <v>5907</v>
      </c>
      <c r="J1039" s="24" t="s">
        <v>10417</v>
      </c>
      <c r="K1039" s="24"/>
      <c r="L1039" s="24" t="s">
        <v>84</v>
      </c>
      <c r="M1039" s="15"/>
      <c r="N1039" s="15"/>
      <c r="O1039" s="15"/>
      <c r="P1039" s="15" t="s">
        <v>8878</v>
      </c>
      <c r="Q1039" s="15"/>
      <c r="R1039" s="15" t="s">
        <v>10418</v>
      </c>
      <c r="S1039" s="24" t="s">
        <v>39</v>
      </c>
      <c r="T1039" s="24" t="s">
        <v>39</v>
      </c>
      <c r="U1039" s="24" t="s">
        <v>39</v>
      </c>
      <c r="V1039" s="24" t="s">
        <v>39</v>
      </c>
      <c r="W1039" s="24"/>
      <c r="X1039" s="24"/>
      <c r="Y1039" s="15"/>
      <c r="Z1039" s="15"/>
      <c r="AA1039" s="24"/>
      <c r="AB1039" s="24"/>
      <c r="AC1039" s="24"/>
      <c r="AD1039" s="24"/>
      <c r="AE1039" s="24"/>
      <c r="AF1039" s="24"/>
      <c r="AG1039" s="24"/>
      <c r="AH1039" s="24"/>
    </row>
    <row r="1040" spans="1:34" ht="30" x14ac:dyDescent="0.25">
      <c r="A1040" s="24" t="str">
        <f>HYPERLINK("https://www.cpso.on.ca/DoctorDetails/Joan-Melanie-Tucker/0049249-63227","Tucker, Joan Melanie")</f>
        <v>Tucker, Joan Melanie</v>
      </c>
      <c r="B1040" s="25" t="s">
        <v>10419</v>
      </c>
      <c r="C1040" s="24" t="s">
        <v>10420</v>
      </c>
      <c r="D1040" s="24" t="s">
        <v>10421</v>
      </c>
      <c r="E1040" s="24" t="s">
        <v>29</v>
      </c>
      <c r="F1040" s="24" t="s">
        <v>47</v>
      </c>
      <c r="G1040" s="24" t="s">
        <v>813</v>
      </c>
      <c r="H1040" s="24" t="s">
        <v>6528</v>
      </c>
      <c r="I1040" s="24" t="s">
        <v>10422</v>
      </c>
      <c r="J1040" s="24" t="s">
        <v>10423</v>
      </c>
      <c r="K1040" s="24" t="s">
        <v>8943</v>
      </c>
      <c r="L1040" s="24" t="s">
        <v>52</v>
      </c>
      <c r="M1040" s="15"/>
      <c r="N1040" s="15"/>
      <c r="O1040" s="15" t="s">
        <v>3112</v>
      </c>
      <c r="P1040" s="15" t="s">
        <v>1007</v>
      </c>
      <c r="Q1040" s="15" t="s">
        <v>3397</v>
      </c>
      <c r="R1040" s="15" t="s">
        <v>10424</v>
      </c>
      <c r="S1040" s="24" t="s">
        <v>39</v>
      </c>
      <c r="T1040" s="24" t="s">
        <v>39</v>
      </c>
      <c r="U1040" s="24" t="s">
        <v>39</v>
      </c>
      <c r="V1040" s="24" t="s">
        <v>39</v>
      </c>
      <c r="W1040" s="24" t="s">
        <v>10425</v>
      </c>
      <c r="X1040" s="24" t="s">
        <v>10426</v>
      </c>
      <c r="Y1040" s="15" t="s">
        <v>10427</v>
      </c>
      <c r="Z1040" s="15" t="s">
        <v>10428</v>
      </c>
      <c r="AA1040" s="24"/>
      <c r="AB1040" s="24"/>
      <c r="AC1040" s="24"/>
      <c r="AD1040" s="24"/>
      <c r="AE1040" s="24"/>
      <c r="AF1040" s="24"/>
      <c r="AG1040" s="24"/>
      <c r="AH1040" s="24"/>
    </row>
    <row r="1041" spans="1:34" ht="135" x14ac:dyDescent="0.25">
      <c r="A1041" s="24" t="str">
        <f>HYPERLINK("https://www.cpso.on.ca/DoctorDetails/Joanna-Barlas/0161906-73460","Barlas, Joanna")</f>
        <v>Barlas, Joanna</v>
      </c>
      <c r="B1041" s="25" t="s">
        <v>10429</v>
      </c>
      <c r="C1041" s="24" t="s">
        <v>10430</v>
      </c>
      <c r="D1041" s="24" t="s">
        <v>10431</v>
      </c>
      <c r="E1041" s="24" t="s">
        <v>29</v>
      </c>
      <c r="F1041" s="24" t="s">
        <v>47</v>
      </c>
      <c r="G1041" s="24" t="s">
        <v>31</v>
      </c>
      <c r="H1041" s="24" t="s">
        <v>10432</v>
      </c>
      <c r="I1041" s="24" t="s">
        <v>10433</v>
      </c>
      <c r="J1041" s="24" t="s">
        <v>4918</v>
      </c>
      <c r="K1041" s="24"/>
      <c r="L1041" s="24" t="s">
        <v>52</v>
      </c>
      <c r="M1041" s="15" t="s">
        <v>10434</v>
      </c>
      <c r="N1041" s="15"/>
      <c r="O1041" s="15" t="s">
        <v>1110</v>
      </c>
      <c r="P1041" s="15" t="s">
        <v>4943</v>
      </c>
      <c r="Q1041" s="15" t="s">
        <v>10435</v>
      </c>
      <c r="R1041" s="15" t="s">
        <v>10436</v>
      </c>
      <c r="S1041" s="24" t="s">
        <v>39</v>
      </c>
      <c r="T1041" s="24" t="s">
        <v>39</v>
      </c>
      <c r="U1041" s="24" t="s">
        <v>39</v>
      </c>
      <c r="V1041" s="24" t="s">
        <v>39</v>
      </c>
      <c r="W1041" s="24"/>
      <c r="X1041" s="24"/>
      <c r="Y1041" s="15"/>
      <c r="Z1041" s="15"/>
      <c r="AA1041" s="24"/>
      <c r="AB1041" s="24"/>
      <c r="AC1041" s="24"/>
      <c r="AD1041" s="24"/>
      <c r="AE1041" s="24"/>
      <c r="AF1041" s="24"/>
      <c r="AG1041" s="24"/>
      <c r="AH1041" s="24"/>
    </row>
    <row r="1042" spans="1:34" ht="90" x14ac:dyDescent="0.25">
      <c r="A1042" s="24" t="str">
        <f>HYPERLINK("https://www.cpso.on.ca/DoctorDetails/Joanna-Jarecki/0265826-94034","Jarecki, Joanna")</f>
        <v>Jarecki, Joanna</v>
      </c>
      <c r="B1042" s="25" t="s">
        <v>10437</v>
      </c>
      <c r="C1042" s="24" t="s">
        <v>10438</v>
      </c>
      <c r="D1042" s="24" t="s">
        <v>10439</v>
      </c>
      <c r="E1042" s="24" t="s">
        <v>29</v>
      </c>
      <c r="F1042" s="24" t="s">
        <v>47</v>
      </c>
      <c r="G1042" s="24" t="s">
        <v>31</v>
      </c>
      <c r="H1042" s="24" t="s">
        <v>968</v>
      </c>
      <c r="I1042" s="24" t="s">
        <v>10440</v>
      </c>
      <c r="J1042" s="24" t="s">
        <v>10441</v>
      </c>
      <c r="K1042" s="24"/>
      <c r="L1042" s="24" t="s">
        <v>184</v>
      </c>
      <c r="M1042" s="15" t="s">
        <v>10442</v>
      </c>
      <c r="N1042" s="15"/>
      <c r="O1042" s="15" t="s">
        <v>1135</v>
      </c>
      <c r="P1042" s="15" t="s">
        <v>973</v>
      </c>
      <c r="Q1042" s="15" t="s">
        <v>10443</v>
      </c>
      <c r="R1042" s="15" t="s">
        <v>10444</v>
      </c>
      <c r="S1042" s="24" t="s">
        <v>39</v>
      </c>
      <c r="T1042" s="24" t="s">
        <v>39</v>
      </c>
      <c r="U1042" s="24" t="s">
        <v>39</v>
      </c>
      <c r="V1042" s="24" t="s">
        <v>39</v>
      </c>
      <c r="W1042" s="24" t="s">
        <v>10445</v>
      </c>
      <c r="X1042" s="24" t="s">
        <v>10446</v>
      </c>
      <c r="Y1042" s="15" t="s">
        <v>10447</v>
      </c>
      <c r="Z1042" s="15" t="s">
        <v>10448</v>
      </c>
      <c r="AA1042" s="24"/>
      <c r="AB1042" s="24"/>
      <c r="AC1042" s="24"/>
      <c r="AD1042" s="24"/>
      <c r="AE1042" s="24"/>
      <c r="AF1042" s="24"/>
      <c r="AG1042" s="24"/>
      <c r="AH1042" s="24"/>
    </row>
    <row r="1043" spans="1:34" ht="45" x14ac:dyDescent="0.25">
      <c r="A1043" s="24" t="str">
        <f>HYPERLINK("https://www.cpso.on.ca/DoctorDetails/Joanna-Karolina-Kis/0200778-79072","Kis, Joanna Karolina")</f>
        <v>Kis, Joanna Karolina</v>
      </c>
      <c r="B1043" s="25" t="s">
        <v>10449</v>
      </c>
      <c r="C1043" s="24" t="s">
        <v>10450</v>
      </c>
      <c r="D1043" s="24" t="s">
        <v>10451</v>
      </c>
      <c r="E1043" s="24" t="s">
        <v>10452</v>
      </c>
      <c r="F1043" s="24" t="s">
        <v>47</v>
      </c>
      <c r="G1043" s="24" t="s">
        <v>31</v>
      </c>
      <c r="H1043" s="24" t="s">
        <v>1604</v>
      </c>
      <c r="I1043" s="24" t="s">
        <v>5141</v>
      </c>
      <c r="J1043" s="24" t="s">
        <v>5121</v>
      </c>
      <c r="K1043" s="24"/>
      <c r="L1043" s="24" t="s">
        <v>184</v>
      </c>
      <c r="M1043" s="15"/>
      <c r="N1043" s="15"/>
      <c r="O1043" s="15" t="s">
        <v>2169</v>
      </c>
      <c r="P1043" s="15" t="s">
        <v>880</v>
      </c>
      <c r="Q1043" s="15" t="s">
        <v>10453</v>
      </c>
      <c r="R1043" s="15" t="s">
        <v>10454</v>
      </c>
      <c r="S1043" s="24" t="s">
        <v>39</v>
      </c>
      <c r="T1043" s="24" t="s">
        <v>39</v>
      </c>
      <c r="U1043" s="24" t="s">
        <v>39</v>
      </c>
      <c r="V1043" s="24" t="s">
        <v>39</v>
      </c>
      <c r="W1043" s="24" t="s">
        <v>10455</v>
      </c>
      <c r="X1043" s="24" t="s">
        <v>10456</v>
      </c>
      <c r="Y1043" s="15" t="s">
        <v>10457</v>
      </c>
      <c r="Z1043" s="15" t="s">
        <v>4296</v>
      </c>
      <c r="AA1043" s="24"/>
      <c r="AB1043" s="24"/>
      <c r="AC1043" s="24"/>
      <c r="AD1043" s="24"/>
      <c r="AE1043" s="24"/>
      <c r="AF1043" s="24"/>
      <c r="AG1043" s="24"/>
      <c r="AH1043" s="24"/>
    </row>
    <row r="1044" spans="1:34" ht="75" x14ac:dyDescent="0.25">
      <c r="A1044" s="24" t="str">
        <f>HYPERLINK("https://www.cpso.on.ca/DoctorDetails/Joanna-Kaye-Mansfield/0233007-84682","Mansfield, Joanna Kaye")</f>
        <v>Mansfield, Joanna Kaye</v>
      </c>
      <c r="B1044" s="25" t="s">
        <v>10458</v>
      </c>
      <c r="C1044" s="24" t="s">
        <v>647</v>
      </c>
      <c r="D1044" s="24" t="s">
        <v>648</v>
      </c>
      <c r="E1044" s="24" t="s">
        <v>29</v>
      </c>
      <c r="F1044" s="24" t="s">
        <v>47</v>
      </c>
      <c r="G1044" s="24" t="s">
        <v>31</v>
      </c>
      <c r="H1044" s="24" t="s">
        <v>649</v>
      </c>
      <c r="I1044" s="24" t="s">
        <v>10459</v>
      </c>
      <c r="J1044" s="24" t="s">
        <v>7825</v>
      </c>
      <c r="K1044" s="24" t="s">
        <v>1396</v>
      </c>
      <c r="L1044" s="24" t="s">
        <v>52</v>
      </c>
      <c r="M1044" s="15"/>
      <c r="N1044" s="15"/>
      <c r="O1044" s="15" t="s">
        <v>1397</v>
      </c>
      <c r="P1044" s="15" t="s">
        <v>654</v>
      </c>
      <c r="Q1044" s="15" t="s">
        <v>655</v>
      </c>
      <c r="R1044" s="15" t="s">
        <v>656</v>
      </c>
      <c r="S1044" s="24" t="s">
        <v>39</v>
      </c>
      <c r="T1044" s="24" t="s">
        <v>39</v>
      </c>
      <c r="U1044" s="24" t="s">
        <v>39</v>
      </c>
      <c r="V1044" s="24" t="s">
        <v>39</v>
      </c>
      <c r="W1044" s="24" t="s">
        <v>10460</v>
      </c>
      <c r="X1044" s="24" t="s">
        <v>10461</v>
      </c>
      <c r="Y1044" s="15" t="s">
        <v>10462</v>
      </c>
      <c r="Z1044" s="15" t="s">
        <v>10463</v>
      </c>
      <c r="AA1044" s="24"/>
      <c r="AB1044" s="24"/>
      <c r="AC1044" s="24"/>
      <c r="AD1044" s="24"/>
      <c r="AE1044" s="24"/>
      <c r="AF1044" s="24"/>
      <c r="AG1044" s="24"/>
      <c r="AH1044" s="24"/>
    </row>
    <row r="1045" spans="1:34" ht="75" x14ac:dyDescent="0.25">
      <c r="A1045" s="24" t="str">
        <f>HYPERLINK("https://www.cpso.on.ca/DoctorDetails/Jodi-Leigh-Grenier/0045516-59494","Grenier, Jodi Leigh")</f>
        <v>Grenier, Jodi Leigh</v>
      </c>
      <c r="B1045" s="25" t="s">
        <v>10464</v>
      </c>
      <c r="C1045" s="24" t="s">
        <v>2286</v>
      </c>
      <c r="D1045" s="24" t="s">
        <v>10465</v>
      </c>
      <c r="E1045" s="24" t="s">
        <v>29</v>
      </c>
      <c r="F1045" s="24" t="s">
        <v>47</v>
      </c>
      <c r="G1045" s="24" t="s">
        <v>31</v>
      </c>
      <c r="H1045" s="24" t="s">
        <v>3465</v>
      </c>
      <c r="I1045" s="24" t="s">
        <v>10466</v>
      </c>
      <c r="J1045" s="24" t="s">
        <v>10467</v>
      </c>
      <c r="K1045" s="24"/>
      <c r="L1045" s="24" t="s">
        <v>36</v>
      </c>
      <c r="M1045" s="15"/>
      <c r="N1045" s="15"/>
      <c r="O1045" s="15"/>
      <c r="P1045" s="15" t="s">
        <v>3954</v>
      </c>
      <c r="Q1045" s="15" t="s">
        <v>10468</v>
      </c>
      <c r="R1045" s="15" t="s">
        <v>10469</v>
      </c>
      <c r="S1045" s="24" t="s">
        <v>39</v>
      </c>
      <c r="T1045" s="24" t="s">
        <v>39</v>
      </c>
      <c r="U1045" s="24" t="s">
        <v>39</v>
      </c>
      <c r="V1045" s="24" t="s">
        <v>39</v>
      </c>
      <c r="W1045" s="24" t="s">
        <v>10470</v>
      </c>
      <c r="X1045" s="24" t="s">
        <v>7566</v>
      </c>
      <c r="Y1045" s="15" t="s">
        <v>10471</v>
      </c>
      <c r="Z1045" s="15" t="s">
        <v>10472</v>
      </c>
      <c r="AA1045" s="24"/>
      <c r="AB1045" s="24"/>
      <c r="AC1045" s="24"/>
      <c r="AD1045" s="24"/>
      <c r="AE1045" s="24"/>
      <c r="AF1045" s="24"/>
      <c r="AG1045" s="24"/>
      <c r="AH1045" s="24"/>
    </row>
    <row r="1046" spans="1:34" ht="45" x14ac:dyDescent="0.25">
      <c r="A1046" s="24" t="str">
        <f>HYPERLINK("https://www.cpso.on.ca/DoctorDetails/Jodi-Susan-Lofchy/0042727-56705","Lofchy, Jodi Susan")</f>
        <v>Lofchy, Jodi Susan</v>
      </c>
      <c r="B1046" s="25" t="s">
        <v>10473</v>
      </c>
      <c r="C1046" s="24" t="s">
        <v>10474</v>
      </c>
      <c r="D1046" s="24" t="s">
        <v>10475</v>
      </c>
      <c r="E1046" s="24" t="s">
        <v>29</v>
      </c>
      <c r="F1046" s="24" t="s">
        <v>47</v>
      </c>
      <c r="G1046" s="24" t="s">
        <v>31</v>
      </c>
      <c r="H1046" s="24" t="s">
        <v>3452</v>
      </c>
      <c r="I1046" s="24" t="s">
        <v>10476</v>
      </c>
      <c r="J1046" s="24" t="s">
        <v>10477</v>
      </c>
      <c r="K1046" s="24" t="s">
        <v>4720</v>
      </c>
      <c r="L1046" s="24" t="s">
        <v>52</v>
      </c>
      <c r="M1046" s="15"/>
      <c r="N1046" s="15"/>
      <c r="O1046" s="15" t="s">
        <v>10478</v>
      </c>
      <c r="P1046" s="15" t="s">
        <v>2908</v>
      </c>
      <c r="Q1046" s="15" t="s">
        <v>2909</v>
      </c>
      <c r="R1046" s="15" t="s">
        <v>10479</v>
      </c>
      <c r="S1046" s="24" t="s">
        <v>39</v>
      </c>
      <c r="T1046" s="24" t="s">
        <v>39</v>
      </c>
      <c r="U1046" s="24" t="s">
        <v>39</v>
      </c>
      <c r="V1046" s="24" t="s">
        <v>39</v>
      </c>
      <c r="W1046" s="24"/>
      <c r="X1046" s="24"/>
      <c r="Y1046" s="15"/>
      <c r="Z1046" s="15"/>
      <c r="AA1046" s="24"/>
      <c r="AB1046" s="24"/>
      <c r="AC1046" s="24"/>
      <c r="AD1046" s="24"/>
      <c r="AE1046" s="24"/>
      <c r="AF1046" s="24"/>
      <c r="AG1046" s="24"/>
      <c r="AH1046" s="24"/>
    </row>
    <row r="1047" spans="1:34" ht="75" x14ac:dyDescent="0.25">
      <c r="A1047" s="24" t="str">
        <f>HYPERLINK("https://www.cpso.on.ca/DoctorDetails/Jody-Timothy-Ryan/0056754-68342","Ryan, Jody Timothy")</f>
        <v>Ryan, Jody Timothy</v>
      </c>
      <c r="B1047" s="25" t="s">
        <v>10480</v>
      </c>
      <c r="C1047" s="24" t="s">
        <v>1669</v>
      </c>
      <c r="D1047" s="24" t="s">
        <v>1670</v>
      </c>
      <c r="E1047" s="24" t="s">
        <v>29</v>
      </c>
      <c r="F1047" s="24" t="s">
        <v>30</v>
      </c>
      <c r="G1047" s="24" t="s">
        <v>31</v>
      </c>
      <c r="H1047" s="24" t="s">
        <v>10481</v>
      </c>
      <c r="I1047" s="24" t="s">
        <v>10482</v>
      </c>
      <c r="J1047" s="24" t="s">
        <v>10483</v>
      </c>
      <c r="K1047" s="24" t="s">
        <v>10484</v>
      </c>
      <c r="L1047" s="24"/>
      <c r="M1047" s="15" t="s">
        <v>10485</v>
      </c>
      <c r="N1047" s="15" t="s">
        <v>10486</v>
      </c>
      <c r="O1047" s="15"/>
      <c r="P1047" s="15" t="s">
        <v>1677</v>
      </c>
      <c r="Q1047" s="15" t="s">
        <v>1678</v>
      </c>
      <c r="R1047" s="15" t="s">
        <v>1679</v>
      </c>
      <c r="S1047" s="24" t="s">
        <v>39</v>
      </c>
      <c r="T1047" s="24" t="s">
        <v>39</v>
      </c>
      <c r="U1047" s="24" t="s">
        <v>39</v>
      </c>
      <c r="V1047" s="24" t="s">
        <v>39</v>
      </c>
      <c r="W1047" s="24"/>
      <c r="X1047" s="24"/>
      <c r="Y1047" s="15"/>
      <c r="Z1047" s="15"/>
      <c r="AA1047" s="24"/>
      <c r="AB1047" s="24"/>
      <c r="AC1047" s="24"/>
      <c r="AD1047" s="24"/>
      <c r="AE1047" s="24"/>
      <c r="AF1047" s="24"/>
      <c r="AG1047" s="24"/>
      <c r="AH1047" s="24"/>
    </row>
    <row r="1048" spans="1:34" ht="75" x14ac:dyDescent="0.25">
      <c r="A1048" s="24" t="str">
        <f>HYPERLINK("https://www.cpso.on.ca/DoctorDetails/Joel-Arthur-Shapiro/0242423-86561","Shapiro, Joel Arthur")</f>
        <v>Shapiro, Joel Arthur</v>
      </c>
      <c r="B1048" s="25" t="s">
        <v>10487</v>
      </c>
      <c r="C1048" s="24" t="s">
        <v>1115</v>
      </c>
      <c r="D1048" s="24" t="s">
        <v>1594</v>
      </c>
      <c r="E1048" s="24" t="s">
        <v>29</v>
      </c>
      <c r="F1048" s="24" t="s">
        <v>30</v>
      </c>
      <c r="G1048" s="24" t="s">
        <v>31</v>
      </c>
      <c r="H1048" s="24" t="s">
        <v>2714</v>
      </c>
      <c r="I1048" s="24" t="s">
        <v>10488</v>
      </c>
      <c r="J1048" s="24" t="s">
        <v>10489</v>
      </c>
      <c r="K1048" s="24" t="s">
        <v>10490</v>
      </c>
      <c r="L1048" s="24" t="s">
        <v>52</v>
      </c>
      <c r="M1048" s="15"/>
      <c r="N1048" s="15"/>
      <c r="O1048" s="15" t="s">
        <v>10491</v>
      </c>
      <c r="P1048" s="15" t="s">
        <v>1074</v>
      </c>
      <c r="Q1048" s="15" t="s">
        <v>2719</v>
      </c>
      <c r="R1048" s="15" t="s">
        <v>1602</v>
      </c>
      <c r="S1048" s="24" t="s">
        <v>39</v>
      </c>
      <c r="T1048" s="24" t="s">
        <v>39</v>
      </c>
      <c r="U1048" s="24" t="s">
        <v>39</v>
      </c>
      <c r="V1048" s="24" t="s">
        <v>39</v>
      </c>
      <c r="W1048" s="24" t="s">
        <v>10492</v>
      </c>
      <c r="X1048" s="24" t="s">
        <v>10493</v>
      </c>
      <c r="Y1048" s="15" t="s">
        <v>10494</v>
      </c>
      <c r="Z1048" s="15" t="s">
        <v>10495</v>
      </c>
      <c r="AA1048" s="24"/>
      <c r="AB1048" s="24"/>
      <c r="AC1048" s="24"/>
      <c r="AD1048" s="24"/>
      <c r="AE1048" s="24"/>
      <c r="AF1048" s="24"/>
      <c r="AG1048" s="24"/>
      <c r="AH1048" s="24"/>
    </row>
    <row r="1049" spans="1:34" ht="75" x14ac:dyDescent="0.25">
      <c r="A1049" s="24" t="str">
        <f>HYPERLINK("https://www.cpso.on.ca/DoctorDetails/Joel-Campbell-Watts/0201751-79344","Watts, Joel Campbell")</f>
        <v>Watts, Joel Campbell</v>
      </c>
      <c r="B1049" s="25" t="s">
        <v>10496</v>
      </c>
      <c r="C1049" s="24" t="s">
        <v>10497</v>
      </c>
      <c r="D1049" s="24" t="s">
        <v>10498</v>
      </c>
      <c r="E1049" s="24" t="s">
        <v>29</v>
      </c>
      <c r="F1049" s="24" t="s">
        <v>30</v>
      </c>
      <c r="G1049" s="24" t="s">
        <v>813</v>
      </c>
      <c r="H1049" s="24" t="s">
        <v>874</v>
      </c>
      <c r="I1049" s="24" t="s">
        <v>708</v>
      </c>
      <c r="J1049" s="24" t="s">
        <v>992</v>
      </c>
      <c r="K1049" s="24"/>
      <c r="L1049" s="24" t="s">
        <v>84</v>
      </c>
      <c r="M1049" s="15"/>
      <c r="N1049" s="15" t="s">
        <v>710</v>
      </c>
      <c r="O1049" s="15" t="s">
        <v>498</v>
      </c>
      <c r="P1049" s="15" t="s">
        <v>10499</v>
      </c>
      <c r="Q1049" s="15" t="s">
        <v>10500</v>
      </c>
      <c r="R1049" s="15" t="s">
        <v>10501</v>
      </c>
      <c r="S1049" s="24" t="s">
        <v>39</v>
      </c>
      <c r="T1049" s="24" t="s">
        <v>39</v>
      </c>
      <c r="U1049" s="24" t="s">
        <v>39</v>
      </c>
      <c r="V1049" s="24" t="s">
        <v>39</v>
      </c>
      <c r="W1049" s="24" t="s">
        <v>10502</v>
      </c>
      <c r="X1049" s="24" t="s">
        <v>10503</v>
      </c>
      <c r="Y1049" s="15" t="s">
        <v>10504</v>
      </c>
      <c r="Z1049" s="15" t="s">
        <v>718</v>
      </c>
      <c r="AA1049" s="24"/>
      <c r="AB1049" s="24"/>
      <c r="AC1049" s="24"/>
      <c r="AD1049" s="24"/>
      <c r="AE1049" s="24"/>
      <c r="AF1049" s="24"/>
      <c r="AG1049" s="24"/>
      <c r="AH1049" s="24"/>
    </row>
    <row r="1050" spans="1:34" ht="60" x14ac:dyDescent="0.25">
      <c r="A1050" s="24" t="str">
        <f>HYPERLINK("https://www.cpso.on.ca/DoctorDetails/Joel-Nathan-Eisen/0028858-33681","Eisen, Joel Nathan")</f>
        <v>Eisen, Joel Nathan</v>
      </c>
      <c r="B1050" s="25" t="s">
        <v>10505</v>
      </c>
      <c r="C1050" s="24" t="s">
        <v>10506</v>
      </c>
      <c r="D1050" s="24" t="s">
        <v>10507</v>
      </c>
      <c r="E1050" s="24" t="s">
        <v>29</v>
      </c>
      <c r="F1050" s="24" t="s">
        <v>30</v>
      </c>
      <c r="G1050" s="24" t="s">
        <v>31</v>
      </c>
      <c r="H1050" s="24" t="s">
        <v>2861</v>
      </c>
      <c r="I1050" s="24" t="s">
        <v>10508</v>
      </c>
      <c r="J1050" s="24" t="s">
        <v>10509</v>
      </c>
      <c r="K1050" s="24" t="s">
        <v>10509</v>
      </c>
      <c r="L1050" s="24" t="s">
        <v>36</v>
      </c>
      <c r="M1050" s="15" t="s">
        <v>10510</v>
      </c>
      <c r="N1050" s="15"/>
      <c r="O1050" s="15" t="s">
        <v>867</v>
      </c>
      <c r="P1050" s="15" t="s">
        <v>3443</v>
      </c>
      <c r="Q1050" s="15"/>
      <c r="R1050" s="15" t="s">
        <v>10511</v>
      </c>
      <c r="S1050" s="24" t="s">
        <v>39</v>
      </c>
      <c r="T1050" s="24" t="s">
        <v>39</v>
      </c>
      <c r="U1050" s="24" t="s">
        <v>39</v>
      </c>
      <c r="V1050" s="24" t="s">
        <v>39</v>
      </c>
      <c r="W1050" s="24" t="s">
        <v>10512</v>
      </c>
      <c r="X1050" s="24" t="s">
        <v>10513</v>
      </c>
      <c r="Y1050" s="15" t="s">
        <v>10514</v>
      </c>
      <c r="Z1050" s="15" t="s">
        <v>10515</v>
      </c>
      <c r="AA1050" s="24"/>
      <c r="AB1050" s="24"/>
      <c r="AC1050" s="24"/>
      <c r="AD1050" s="24"/>
      <c r="AE1050" s="24"/>
      <c r="AF1050" s="24"/>
      <c r="AG1050" s="24"/>
      <c r="AH1050" s="24"/>
    </row>
    <row r="1051" spans="1:34" ht="30" x14ac:dyDescent="0.25">
      <c r="A1051" s="24" t="str">
        <f>HYPERLINK("https://www.cpso.on.ca/DoctorDetails/Joel-Raskin/0037491-51467","Raskin, Joel")</f>
        <v>Raskin, Joel</v>
      </c>
      <c r="B1051" s="25" t="s">
        <v>10516</v>
      </c>
      <c r="C1051" s="24" t="s">
        <v>520</v>
      </c>
      <c r="D1051" s="24" t="s">
        <v>10517</v>
      </c>
      <c r="E1051" s="24" t="s">
        <v>29</v>
      </c>
      <c r="F1051" s="24" t="s">
        <v>30</v>
      </c>
      <c r="G1051" s="24" t="s">
        <v>31</v>
      </c>
      <c r="H1051" s="24" t="s">
        <v>2861</v>
      </c>
      <c r="I1051" s="24" t="s">
        <v>10518</v>
      </c>
      <c r="J1051" s="24" t="s">
        <v>10519</v>
      </c>
      <c r="K1051" s="24" t="s">
        <v>10520</v>
      </c>
      <c r="L1051" s="24" t="s">
        <v>52</v>
      </c>
      <c r="M1051" s="15"/>
      <c r="N1051" s="15"/>
      <c r="O1051" s="15"/>
      <c r="P1051" s="15" t="s">
        <v>122</v>
      </c>
      <c r="Q1051" s="15"/>
      <c r="R1051" s="15" t="s">
        <v>10521</v>
      </c>
      <c r="S1051" s="24" t="s">
        <v>39</v>
      </c>
      <c r="T1051" s="24" t="s">
        <v>39</v>
      </c>
      <c r="U1051" s="24" t="s">
        <v>39</v>
      </c>
      <c r="V1051" s="24" t="s">
        <v>39</v>
      </c>
      <c r="W1051" s="24" t="s">
        <v>10522</v>
      </c>
      <c r="X1051" s="24" t="s">
        <v>10523</v>
      </c>
      <c r="Y1051" s="15" t="s">
        <v>10524</v>
      </c>
      <c r="Z1051" s="15" t="s">
        <v>10525</v>
      </c>
      <c r="AA1051" s="24"/>
      <c r="AB1051" s="24"/>
      <c r="AC1051" s="24"/>
      <c r="AD1051" s="24"/>
      <c r="AE1051" s="24"/>
      <c r="AF1051" s="24"/>
      <c r="AG1051" s="24"/>
      <c r="AH1051" s="24"/>
    </row>
    <row r="1052" spans="1:34" ht="45" x14ac:dyDescent="0.25">
      <c r="A1052" s="24" t="str">
        <f>HYPERLINK("https://www.cpso.on.ca/DoctorDetails/Joel-Sadavoy/0017178-21963","Sadavoy, Joel")</f>
        <v>Sadavoy, Joel</v>
      </c>
      <c r="B1052" s="25" t="s">
        <v>10526</v>
      </c>
      <c r="C1052" s="24" t="s">
        <v>10527</v>
      </c>
      <c r="D1052" s="24" t="s">
        <v>10528</v>
      </c>
      <c r="E1052" s="24" t="s">
        <v>29</v>
      </c>
      <c r="F1052" s="24" t="s">
        <v>30</v>
      </c>
      <c r="G1052" s="24" t="s">
        <v>31</v>
      </c>
      <c r="H1052" s="24" t="s">
        <v>5310</v>
      </c>
      <c r="I1052" s="24" t="s">
        <v>10529</v>
      </c>
      <c r="J1052" s="24" t="s">
        <v>10530</v>
      </c>
      <c r="K1052" s="24" t="s">
        <v>10531</v>
      </c>
      <c r="L1052" s="24" t="s">
        <v>52</v>
      </c>
      <c r="M1052" s="15"/>
      <c r="N1052" s="15"/>
      <c r="O1052" s="15" t="s">
        <v>10532</v>
      </c>
      <c r="P1052" s="15" t="s">
        <v>10533</v>
      </c>
      <c r="Q1052" s="15"/>
      <c r="R1052" s="15" t="s">
        <v>10534</v>
      </c>
      <c r="S1052" s="24" t="s">
        <v>39</v>
      </c>
      <c r="T1052" s="24" t="s">
        <v>39</v>
      </c>
      <c r="U1052" s="24" t="s">
        <v>39</v>
      </c>
      <c r="V1052" s="24" t="s">
        <v>39</v>
      </c>
      <c r="W1052" s="24" t="s">
        <v>10535</v>
      </c>
      <c r="X1052" s="24" t="s">
        <v>10536</v>
      </c>
      <c r="Y1052" s="15" t="s">
        <v>10537</v>
      </c>
      <c r="Z1052" s="15" t="s">
        <v>10538</v>
      </c>
      <c r="AA1052" s="24"/>
      <c r="AB1052" s="24"/>
      <c r="AC1052" s="24"/>
      <c r="AD1052" s="24"/>
      <c r="AE1052" s="24"/>
      <c r="AF1052" s="24"/>
      <c r="AG1052" s="24"/>
      <c r="AH1052" s="24"/>
    </row>
    <row r="1053" spans="1:34" ht="90" x14ac:dyDescent="0.25">
      <c r="A1053" s="24" t="str">
        <f>HYPERLINK("https://www.cpso.on.ca/DoctorDetails/Johane-Nadeau/0190187-77643","Nadeau, Johane")</f>
        <v>Nadeau, Johane</v>
      </c>
      <c r="B1053" s="25" t="s">
        <v>10539</v>
      </c>
      <c r="C1053" s="24" t="s">
        <v>921</v>
      </c>
      <c r="D1053" s="24" t="s">
        <v>922</v>
      </c>
      <c r="E1053" s="24" t="s">
        <v>10540</v>
      </c>
      <c r="F1053" s="24" t="s">
        <v>47</v>
      </c>
      <c r="G1053" s="24" t="s">
        <v>813</v>
      </c>
      <c r="H1053" s="24" t="s">
        <v>10541</v>
      </c>
      <c r="I1053" s="24" t="s">
        <v>10542</v>
      </c>
      <c r="J1053" s="24" t="s">
        <v>4009</v>
      </c>
      <c r="K1053" s="24"/>
      <c r="L1053" s="24" t="s">
        <v>84</v>
      </c>
      <c r="M1053" s="15"/>
      <c r="N1053" s="15"/>
      <c r="O1053" s="15" t="s">
        <v>10543</v>
      </c>
      <c r="P1053" s="15" t="s">
        <v>10544</v>
      </c>
      <c r="Q1053" s="15" t="s">
        <v>10545</v>
      </c>
      <c r="R1053" s="15" t="s">
        <v>929</v>
      </c>
      <c r="S1053" s="24" t="s">
        <v>39</v>
      </c>
      <c r="T1053" s="24" t="s">
        <v>39</v>
      </c>
      <c r="U1053" s="24" t="s">
        <v>39</v>
      </c>
      <c r="V1053" s="24" t="s">
        <v>39</v>
      </c>
      <c r="W1053" s="24" t="s">
        <v>10546</v>
      </c>
      <c r="X1053" s="24" t="s">
        <v>10547</v>
      </c>
      <c r="Y1053" s="15" t="s">
        <v>10548</v>
      </c>
      <c r="Z1053" s="15" t="s">
        <v>10549</v>
      </c>
      <c r="AA1053" s="24"/>
      <c r="AB1053" s="24"/>
      <c r="AC1053" s="24"/>
      <c r="AD1053" s="24"/>
      <c r="AE1053" s="24"/>
      <c r="AF1053" s="24"/>
      <c r="AG1053" s="24"/>
      <c r="AH1053" s="24"/>
    </row>
    <row r="1054" spans="1:34" ht="75" x14ac:dyDescent="0.25">
      <c r="A1054" s="24" t="str">
        <f>HYPERLINK("https://www.cpso.on.ca/DoctorDetails/Johanne-Noella-Roberge/0057652-69240","Roberge, Johanne Noella")</f>
        <v>Roberge, Johanne Noella</v>
      </c>
      <c r="B1054" s="25" t="s">
        <v>10550</v>
      </c>
      <c r="C1054" s="24" t="s">
        <v>3831</v>
      </c>
      <c r="D1054" s="24" t="s">
        <v>214</v>
      </c>
      <c r="E1054" s="24" t="s">
        <v>29</v>
      </c>
      <c r="F1054" s="24" t="s">
        <v>47</v>
      </c>
      <c r="G1054" s="24" t="s">
        <v>31</v>
      </c>
      <c r="H1054" s="24" t="s">
        <v>4511</v>
      </c>
      <c r="I1054" s="24" t="s">
        <v>10551</v>
      </c>
      <c r="J1054" s="24" t="s">
        <v>10552</v>
      </c>
      <c r="K1054" s="24"/>
      <c r="L1054" s="24" t="s">
        <v>340</v>
      </c>
      <c r="M1054" s="15"/>
      <c r="N1054" s="15"/>
      <c r="O1054" s="15" t="s">
        <v>1914</v>
      </c>
      <c r="P1054" s="15" t="s">
        <v>1343</v>
      </c>
      <c r="Q1054" s="15" t="s">
        <v>4714</v>
      </c>
      <c r="R1054" s="15" t="s">
        <v>3839</v>
      </c>
      <c r="S1054" s="24" t="s">
        <v>39</v>
      </c>
      <c r="T1054" s="24" t="s">
        <v>39</v>
      </c>
      <c r="U1054" s="24" t="s">
        <v>39</v>
      </c>
      <c r="V1054" s="24" t="s">
        <v>39</v>
      </c>
      <c r="W1054" s="24"/>
      <c r="X1054" s="24"/>
      <c r="Y1054" s="15"/>
      <c r="Z1054" s="15"/>
      <c r="AA1054" s="24"/>
      <c r="AB1054" s="24"/>
      <c r="AC1054" s="24"/>
      <c r="AD1054" s="24"/>
      <c r="AE1054" s="24"/>
      <c r="AF1054" s="24"/>
      <c r="AG1054" s="24"/>
      <c r="AH1054" s="24"/>
    </row>
    <row r="1055" spans="1:34" ht="45" x14ac:dyDescent="0.25">
      <c r="A1055" s="24" t="str">
        <f>HYPERLINK("https://www.cpso.on.ca/DoctorDetails/John-Andrews-Sloane/0015135-19919","Sloane, John Andrews")</f>
        <v>Sloane, John Andrews</v>
      </c>
      <c r="B1055" s="25" t="s">
        <v>10553</v>
      </c>
      <c r="C1055" s="24" t="s">
        <v>10554</v>
      </c>
      <c r="D1055" s="24" t="s">
        <v>10555</v>
      </c>
      <c r="E1055" s="24" t="s">
        <v>29</v>
      </c>
      <c r="F1055" s="24" t="s">
        <v>30</v>
      </c>
      <c r="G1055" s="24" t="s">
        <v>31</v>
      </c>
      <c r="H1055" s="24" t="s">
        <v>7741</v>
      </c>
      <c r="I1055" s="24" t="s">
        <v>10556</v>
      </c>
      <c r="J1055" s="24" t="s">
        <v>10557</v>
      </c>
      <c r="K1055" s="24"/>
      <c r="L1055" s="24" t="s">
        <v>52</v>
      </c>
      <c r="M1055" s="15"/>
      <c r="N1055" s="15"/>
      <c r="O1055" s="15" t="s">
        <v>487</v>
      </c>
      <c r="P1055" s="15" t="s">
        <v>8610</v>
      </c>
      <c r="Q1055" s="15"/>
      <c r="R1055" s="15" t="s">
        <v>10558</v>
      </c>
      <c r="S1055" s="24" t="s">
        <v>39</v>
      </c>
      <c r="T1055" s="24" t="s">
        <v>39</v>
      </c>
      <c r="U1055" s="24" t="s">
        <v>39</v>
      </c>
      <c r="V1055" s="24" t="s">
        <v>39</v>
      </c>
      <c r="W1055" s="24"/>
      <c r="X1055" s="24"/>
      <c r="Y1055" s="15"/>
      <c r="Z1055" s="15"/>
      <c r="AA1055" s="24"/>
      <c r="AB1055" s="24"/>
      <c r="AC1055" s="24"/>
      <c r="AD1055" s="24"/>
      <c r="AE1055" s="24"/>
      <c r="AF1055" s="24"/>
      <c r="AG1055" s="24"/>
      <c r="AH1055" s="24"/>
    </row>
    <row r="1056" spans="1:34" ht="30" x14ac:dyDescent="0.25">
      <c r="A1056" s="24" t="str">
        <f>HYPERLINK("https://www.cpso.on.ca/DoctorDetails/John-Batchin-Carlile/0050337-64316","Carlile, John Batchin")</f>
        <v>Carlile, John Batchin</v>
      </c>
      <c r="B1056" s="25" t="s">
        <v>10559</v>
      </c>
      <c r="C1056" s="24" t="s">
        <v>10560</v>
      </c>
      <c r="D1056" s="24" t="s">
        <v>10561</v>
      </c>
      <c r="E1056" s="24" t="s">
        <v>29</v>
      </c>
      <c r="F1056" s="24" t="s">
        <v>30</v>
      </c>
      <c r="G1056" s="24" t="s">
        <v>31</v>
      </c>
      <c r="H1056" s="24" t="s">
        <v>10562</v>
      </c>
      <c r="I1056" s="24" t="s">
        <v>10563</v>
      </c>
      <c r="J1056" s="24" t="s">
        <v>10564</v>
      </c>
      <c r="K1056" s="24" t="s">
        <v>10565</v>
      </c>
      <c r="L1056" s="24" t="s">
        <v>340</v>
      </c>
      <c r="M1056" s="15"/>
      <c r="N1056" s="15"/>
      <c r="O1056" s="15"/>
      <c r="P1056" s="15" t="s">
        <v>6834</v>
      </c>
      <c r="Q1056" s="15"/>
      <c r="R1056" s="15" t="s">
        <v>10566</v>
      </c>
      <c r="S1056" s="24" t="s">
        <v>39</v>
      </c>
      <c r="T1056" s="24" t="s">
        <v>39</v>
      </c>
      <c r="U1056" s="24" t="s">
        <v>39</v>
      </c>
      <c r="V1056" s="24" t="s">
        <v>39</v>
      </c>
      <c r="W1056" s="24" t="s">
        <v>10567</v>
      </c>
      <c r="X1056" s="24" t="s">
        <v>2802</v>
      </c>
      <c r="Y1056" s="15"/>
      <c r="Z1056" s="15"/>
      <c r="AA1056" s="24" t="s">
        <v>10568</v>
      </c>
      <c r="AB1056" s="24" t="s">
        <v>10569</v>
      </c>
      <c r="AC1056" s="24"/>
      <c r="AD1056" s="24"/>
      <c r="AE1056" s="24" t="s">
        <v>10568</v>
      </c>
      <c r="AF1056" s="24" t="s">
        <v>10570</v>
      </c>
      <c r="AG1056" s="24" t="s">
        <v>10571</v>
      </c>
      <c r="AH1056" s="24" t="s">
        <v>10572</v>
      </c>
    </row>
    <row r="1057" spans="1:34" ht="30" x14ac:dyDescent="0.25">
      <c r="A1057" s="24" t="str">
        <f>HYPERLINK("https://www.cpso.on.ca/DoctorDetails/John-Carruthers-Deadman/0011503-16279","Deadman, John Carruthers")</f>
        <v>Deadman, John Carruthers</v>
      </c>
      <c r="B1057" s="25" t="s">
        <v>10573</v>
      </c>
      <c r="C1057" s="24" t="s">
        <v>10574</v>
      </c>
      <c r="D1057" s="24" t="s">
        <v>10575</v>
      </c>
      <c r="E1057" s="24" t="s">
        <v>29</v>
      </c>
      <c r="F1057" s="24" t="s">
        <v>30</v>
      </c>
      <c r="G1057" s="24" t="s">
        <v>31</v>
      </c>
      <c r="H1057" s="24" t="s">
        <v>8065</v>
      </c>
      <c r="I1057" s="24" t="s">
        <v>10576</v>
      </c>
      <c r="J1057" s="24" t="s">
        <v>10577</v>
      </c>
      <c r="K1057" s="24" t="s">
        <v>10578</v>
      </c>
      <c r="L1057" s="24" t="s">
        <v>184</v>
      </c>
      <c r="M1057" s="15"/>
      <c r="N1057" s="15"/>
      <c r="O1057" s="15" t="s">
        <v>4002</v>
      </c>
      <c r="P1057" s="15" t="s">
        <v>10579</v>
      </c>
      <c r="Q1057" s="15"/>
      <c r="R1057" s="15" t="s">
        <v>10580</v>
      </c>
      <c r="S1057" s="24" t="s">
        <v>39</v>
      </c>
      <c r="T1057" s="24" t="s">
        <v>39</v>
      </c>
      <c r="U1057" s="24" t="s">
        <v>39</v>
      </c>
      <c r="V1057" s="24" t="s">
        <v>39</v>
      </c>
      <c r="W1057" s="24"/>
      <c r="X1057" s="24"/>
      <c r="Y1057" s="15"/>
      <c r="Z1057" s="15"/>
      <c r="AA1057" s="24"/>
      <c r="AB1057" s="24"/>
      <c r="AC1057" s="24"/>
      <c r="AD1057" s="24"/>
      <c r="AE1057" s="24"/>
      <c r="AF1057" s="24"/>
      <c r="AG1057" s="24"/>
      <c r="AH1057" s="24"/>
    </row>
    <row r="1058" spans="1:34" ht="90" x14ac:dyDescent="0.25">
      <c r="A1058" s="24" t="str">
        <f>HYPERLINK("https://www.cpso.on.ca/DoctorDetails/John-Chi-Cheong-Chan/0126004-73893","Chan, John Chi Cheong")</f>
        <v>Chan, John Chi Cheong</v>
      </c>
      <c r="B1058" s="25" t="s">
        <v>10581</v>
      </c>
      <c r="C1058" s="24" t="s">
        <v>10582</v>
      </c>
      <c r="D1058" s="24" t="s">
        <v>10583</v>
      </c>
      <c r="E1058" s="24" t="s">
        <v>29</v>
      </c>
      <c r="F1058" s="24" t="s">
        <v>30</v>
      </c>
      <c r="G1058" s="24" t="s">
        <v>8636</v>
      </c>
      <c r="H1058" s="24" t="s">
        <v>1235</v>
      </c>
      <c r="I1058" s="24" t="s">
        <v>10584</v>
      </c>
      <c r="J1058" s="24" t="s">
        <v>10585</v>
      </c>
      <c r="K1058" s="24" t="s">
        <v>10586</v>
      </c>
      <c r="L1058" s="24" t="s">
        <v>36</v>
      </c>
      <c r="M1058" s="15"/>
      <c r="N1058" s="15"/>
      <c r="O1058" s="15" t="s">
        <v>867</v>
      </c>
      <c r="P1058" s="15" t="s">
        <v>5168</v>
      </c>
      <c r="Q1058" s="15" t="s">
        <v>10587</v>
      </c>
      <c r="R1058" s="15" t="s">
        <v>10588</v>
      </c>
      <c r="S1058" s="24" t="s">
        <v>39</v>
      </c>
      <c r="T1058" s="24" t="s">
        <v>39</v>
      </c>
      <c r="U1058" s="24" t="s">
        <v>39</v>
      </c>
      <c r="V1058" s="24" t="s">
        <v>39</v>
      </c>
      <c r="W1058" s="24" t="s">
        <v>10589</v>
      </c>
      <c r="X1058" s="24" t="s">
        <v>10590</v>
      </c>
      <c r="Y1058" s="15" t="s">
        <v>10591</v>
      </c>
      <c r="Z1058" s="15" t="s">
        <v>10592</v>
      </c>
      <c r="AA1058" s="24"/>
      <c r="AB1058" s="24"/>
      <c r="AC1058" s="24"/>
      <c r="AD1058" s="24"/>
      <c r="AE1058" s="24"/>
      <c r="AF1058" s="24"/>
      <c r="AG1058" s="24"/>
      <c r="AH1058" s="24"/>
    </row>
    <row r="1059" spans="1:34" ht="150" x14ac:dyDescent="0.25">
      <c r="A1059" s="24" t="str">
        <f>HYPERLINK("https://www.cpso.on.ca/DoctorDetails/John-Clarence-Farewell/0036544-50520","Farewell, John Clarence")</f>
        <v>Farewell, John Clarence</v>
      </c>
      <c r="B1059" s="25" t="s">
        <v>10593</v>
      </c>
      <c r="C1059" s="24" t="s">
        <v>520</v>
      </c>
      <c r="D1059" s="24" t="s">
        <v>10594</v>
      </c>
      <c r="E1059" s="24" t="s">
        <v>29</v>
      </c>
      <c r="F1059" s="24" t="s">
        <v>30</v>
      </c>
      <c r="G1059" s="24" t="s">
        <v>31</v>
      </c>
      <c r="H1059" s="24" t="s">
        <v>2861</v>
      </c>
      <c r="I1059" s="24" t="s">
        <v>10595</v>
      </c>
      <c r="J1059" s="24" t="s">
        <v>10596</v>
      </c>
      <c r="K1059" s="24"/>
      <c r="L1059" s="24" t="s">
        <v>52</v>
      </c>
      <c r="M1059" s="15" t="s">
        <v>10597</v>
      </c>
      <c r="N1059" s="15" t="s">
        <v>258</v>
      </c>
      <c r="O1059" s="15" t="s">
        <v>10598</v>
      </c>
      <c r="P1059" s="15" t="s">
        <v>1033</v>
      </c>
      <c r="Q1059" s="15" t="s">
        <v>10599</v>
      </c>
      <c r="R1059" s="15" t="s">
        <v>10600</v>
      </c>
      <c r="S1059" s="24" t="s">
        <v>39</v>
      </c>
      <c r="T1059" s="24" t="s">
        <v>39</v>
      </c>
      <c r="U1059" s="24" t="s">
        <v>39</v>
      </c>
      <c r="V1059" s="24" t="s">
        <v>39</v>
      </c>
      <c r="W1059" s="24" t="s">
        <v>10601</v>
      </c>
      <c r="X1059" s="24" t="s">
        <v>10602</v>
      </c>
      <c r="Y1059" s="15" t="s">
        <v>10603</v>
      </c>
      <c r="Z1059" s="15" t="s">
        <v>10604</v>
      </c>
      <c r="AA1059" s="24"/>
      <c r="AB1059" s="24"/>
      <c r="AC1059" s="24"/>
      <c r="AD1059" s="24"/>
      <c r="AE1059" s="24"/>
      <c r="AF1059" s="24"/>
      <c r="AG1059" s="24"/>
      <c r="AH1059" s="24"/>
    </row>
    <row r="1060" spans="1:34" ht="30" x14ac:dyDescent="0.25">
      <c r="A1060" s="24" t="str">
        <f>HYPERLINK("https://www.cpso.on.ca/DoctorDetails/John-David-Heintzman/0197936-78596","Heintzman, John David")</f>
        <v>Heintzman, John David</v>
      </c>
      <c r="B1060" s="25" t="s">
        <v>10605</v>
      </c>
      <c r="C1060" s="24" t="s">
        <v>10606</v>
      </c>
      <c r="D1060" s="24" t="s">
        <v>10607</v>
      </c>
      <c r="E1060" s="24" t="s">
        <v>29</v>
      </c>
      <c r="F1060" s="24" t="s">
        <v>30</v>
      </c>
      <c r="G1060" s="24" t="s">
        <v>31</v>
      </c>
      <c r="H1060" s="24" t="s">
        <v>7474</v>
      </c>
      <c r="I1060" s="24" t="s">
        <v>10608</v>
      </c>
      <c r="J1060" s="24" t="s">
        <v>10609</v>
      </c>
      <c r="K1060" s="24" t="s">
        <v>10610</v>
      </c>
      <c r="L1060" s="24" t="s">
        <v>152</v>
      </c>
      <c r="M1060" s="15"/>
      <c r="N1060" s="15"/>
      <c r="O1060" s="15" t="s">
        <v>1815</v>
      </c>
      <c r="P1060" s="15" t="s">
        <v>303</v>
      </c>
      <c r="Q1060" s="15"/>
      <c r="R1060" s="15" t="s">
        <v>10611</v>
      </c>
      <c r="S1060" s="24" t="s">
        <v>39</v>
      </c>
      <c r="T1060" s="24" t="s">
        <v>39</v>
      </c>
      <c r="U1060" s="24" t="s">
        <v>39</v>
      </c>
      <c r="V1060" s="24" t="s">
        <v>39</v>
      </c>
      <c r="W1060" s="24" t="s">
        <v>10612</v>
      </c>
      <c r="X1060" s="24" t="s">
        <v>10613</v>
      </c>
      <c r="Y1060" s="15" t="s">
        <v>10614</v>
      </c>
      <c r="Z1060" s="15" t="s">
        <v>10615</v>
      </c>
      <c r="AA1060" s="24"/>
      <c r="AB1060" s="24"/>
      <c r="AC1060" s="24"/>
      <c r="AD1060" s="24"/>
      <c r="AE1060" s="24"/>
      <c r="AF1060" s="24"/>
      <c r="AG1060" s="24"/>
      <c r="AH1060" s="24"/>
    </row>
    <row r="1061" spans="1:34" ht="90" x14ac:dyDescent="0.25">
      <c r="A1061" s="24" t="str">
        <f>HYPERLINK("https://www.cpso.on.ca/DoctorDetails/John-David-HenneberryFudge/0272738-95972","Henneberry-Fudge, John David")</f>
        <v>Henneberry-Fudge, John David</v>
      </c>
      <c r="B1061" s="25" t="s">
        <v>10616</v>
      </c>
      <c r="C1061" s="24" t="s">
        <v>4294</v>
      </c>
      <c r="D1061" s="24" t="s">
        <v>967</v>
      </c>
      <c r="E1061" s="24" t="s">
        <v>29</v>
      </c>
      <c r="F1061" s="24" t="s">
        <v>30</v>
      </c>
      <c r="G1061" s="24" t="s">
        <v>31</v>
      </c>
      <c r="H1061" s="24" t="s">
        <v>10617</v>
      </c>
      <c r="I1061" s="24" t="s">
        <v>10618</v>
      </c>
      <c r="J1061" s="24" t="s">
        <v>10619</v>
      </c>
      <c r="K1061" s="24"/>
      <c r="L1061" s="24" t="s">
        <v>184</v>
      </c>
      <c r="M1061" s="15" t="s">
        <v>10620</v>
      </c>
      <c r="N1061" s="15"/>
      <c r="O1061" s="15" t="s">
        <v>10621</v>
      </c>
      <c r="P1061" s="15" t="s">
        <v>973</v>
      </c>
      <c r="Q1061" s="15" t="s">
        <v>10622</v>
      </c>
      <c r="R1061" s="15" t="s">
        <v>10623</v>
      </c>
      <c r="S1061" s="24" t="s">
        <v>39</v>
      </c>
      <c r="T1061" s="24" t="s">
        <v>39</v>
      </c>
      <c r="U1061" s="24" t="s">
        <v>39</v>
      </c>
      <c r="V1061" s="24" t="s">
        <v>39</v>
      </c>
      <c r="W1061" s="24" t="s">
        <v>10624</v>
      </c>
      <c r="X1061" s="24" t="s">
        <v>4281</v>
      </c>
      <c r="Y1061" s="15" t="s">
        <v>10625</v>
      </c>
      <c r="Z1061" s="15" t="s">
        <v>10626</v>
      </c>
      <c r="AA1061" s="24"/>
      <c r="AB1061" s="24"/>
      <c r="AC1061" s="24"/>
      <c r="AD1061" s="24"/>
      <c r="AE1061" s="24"/>
      <c r="AF1061" s="24"/>
      <c r="AG1061" s="24"/>
      <c r="AH1061" s="24"/>
    </row>
    <row r="1062" spans="1:34" ht="75" x14ac:dyDescent="0.25">
      <c r="A1062" s="24" t="str">
        <f>HYPERLINK("https://www.cpso.on.ca/DoctorDetails/John-David-Vanderkooy/0191550-77526","Vanderkooy, John David")</f>
        <v>Vanderkooy, John David</v>
      </c>
      <c r="B1062" s="25" t="s">
        <v>10627</v>
      </c>
      <c r="C1062" s="24" t="s">
        <v>921</v>
      </c>
      <c r="D1062" s="24" t="s">
        <v>922</v>
      </c>
      <c r="E1062" s="24" t="s">
        <v>29</v>
      </c>
      <c r="F1062" s="24" t="s">
        <v>30</v>
      </c>
      <c r="G1062" s="24" t="s">
        <v>31</v>
      </c>
      <c r="H1062" s="24" t="s">
        <v>10628</v>
      </c>
      <c r="I1062" s="24" t="s">
        <v>10629</v>
      </c>
      <c r="J1062" s="24" t="s">
        <v>10630</v>
      </c>
      <c r="K1062" s="24" t="s">
        <v>10610</v>
      </c>
      <c r="L1062" s="24" t="s">
        <v>152</v>
      </c>
      <c r="M1062" s="15"/>
      <c r="N1062" s="15"/>
      <c r="O1062" s="15" t="s">
        <v>10631</v>
      </c>
      <c r="P1062" s="15" t="s">
        <v>488</v>
      </c>
      <c r="Q1062" s="15" t="s">
        <v>10632</v>
      </c>
      <c r="R1062" s="15" t="s">
        <v>929</v>
      </c>
      <c r="S1062" s="24" t="s">
        <v>39</v>
      </c>
      <c r="T1062" s="24" t="s">
        <v>39</v>
      </c>
      <c r="U1062" s="24" t="s">
        <v>39</v>
      </c>
      <c r="V1062" s="24" t="s">
        <v>39</v>
      </c>
      <c r="W1062" s="24" t="s">
        <v>10633</v>
      </c>
      <c r="X1062" s="24" t="s">
        <v>10634</v>
      </c>
      <c r="Y1062" s="15" t="s">
        <v>10635</v>
      </c>
      <c r="Z1062" s="15" t="s">
        <v>10636</v>
      </c>
      <c r="AA1062" s="24"/>
      <c r="AB1062" s="24"/>
      <c r="AC1062" s="24"/>
      <c r="AD1062" s="24"/>
      <c r="AE1062" s="24"/>
      <c r="AF1062" s="24"/>
      <c r="AG1062" s="24"/>
      <c r="AH1062" s="24"/>
    </row>
    <row r="1063" spans="1:34" ht="75" x14ac:dyDescent="0.25">
      <c r="A1063" s="24" t="str">
        <f>HYPERLINK("https://www.cpso.on.ca/DoctorDetails/John-Douglas-Ramsay/0022915-27706","Ramsay, John Douglas")</f>
        <v>Ramsay, John Douglas</v>
      </c>
      <c r="B1063" s="25" t="s">
        <v>10637</v>
      </c>
      <c r="C1063" s="24" t="s">
        <v>10638</v>
      </c>
      <c r="D1063" s="24" t="s">
        <v>10639</v>
      </c>
      <c r="E1063" s="24" t="s">
        <v>29</v>
      </c>
      <c r="F1063" s="24" t="s">
        <v>30</v>
      </c>
      <c r="G1063" s="24" t="s">
        <v>31</v>
      </c>
      <c r="H1063" s="24" t="s">
        <v>10640</v>
      </c>
      <c r="I1063" s="24" t="s">
        <v>10641</v>
      </c>
      <c r="J1063" s="24" t="s">
        <v>10642</v>
      </c>
      <c r="K1063" s="24" t="s">
        <v>10643</v>
      </c>
      <c r="L1063" s="24" t="s">
        <v>52</v>
      </c>
      <c r="M1063" s="15"/>
      <c r="N1063" s="15"/>
      <c r="O1063" s="15"/>
      <c r="P1063" s="15" t="s">
        <v>10644</v>
      </c>
      <c r="Q1063" s="15"/>
      <c r="R1063" s="15" t="s">
        <v>10645</v>
      </c>
      <c r="S1063" s="24" t="s">
        <v>39</v>
      </c>
      <c r="T1063" s="24" t="s">
        <v>39</v>
      </c>
      <c r="U1063" s="24" t="s">
        <v>39</v>
      </c>
      <c r="V1063" s="24" t="s">
        <v>39</v>
      </c>
      <c r="W1063" s="24"/>
      <c r="X1063" s="24"/>
      <c r="Y1063" s="15"/>
      <c r="Z1063" s="15"/>
      <c r="AA1063" s="24"/>
      <c r="AB1063" s="24"/>
      <c r="AC1063" s="24"/>
      <c r="AD1063" s="24"/>
      <c r="AE1063" s="24"/>
      <c r="AF1063" s="24"/>
      <c r="AG1063" s="24"/>
      <c r="AH1063" s="24"/>
    </row>
    <row r="1064" spans="1:34" x14ac:dyDescent="0.25">
      <c r="A1064" s="24" t="str">
        <f>HYPERLINK("https://www.cpso.on.ca/DoctorDetails/John-Dudley/0039587-53563","Dudley, John")</f>
        <v>Dudley, John</v>
      </c>
      <c r="B1064" s="25" t="s">
        <v>10646</v>
      </c>
      <c r="C1064" s="24" t="s">
        <v>10647</v>
      </c>
      <c r="D1064" s="24" t="s">
        <v>10648</v>
      </c>
      <c r="E1064" s="24" t="s">
        <v>29</v>
      </c>
      <c r="F1064" s="24" t="s">
        <v>30</v>
      </c>
      <c r="G1064" s="24" t="s">
        <v>31</v>
      </c>
      <c r="H1064" s="24" t="s">
        <v>10649</v>
      </c>
      <c r="I1064" s="24" t="s">
        <v>10650</v>
      </c>
      <c r="J1064" s="24" t="s">
        <v>10651</v>
      </c>
      <c r="K1064" s="24" t="s">
        <v>10652</v>
      </c>
      <c r="L1064" s="24" t="s">
        <v>184</v>
      </c>
      <c r="M1064" s="15" t="s">
        <v>10653</v>
      </c>
      <c r="N1064" s="15"/>
      <c r="O1064" s="15"/>
      <c r="P1064" s="15" t="s">
        <v>233</v>
      </c>
      <c r="Q1064" s="15"/>
      <c r="R1064" s="15" t="s">
        <v>10654</v>
      </c>
      <c r="S1064" s="24" t="s">
        <v>39</v>
      </c>
      <c r="T1064" s="24" t="s">
        <v>39</v>
      </c>
      <c r="U1064" s="24" t="s">
        <v>39</v>
      </c>
      <c r="V1064" s="24" t="s">
        <v>39</v>
      </c>
      <c r="W1064" s="24"/>
      <c r="X1064" s="24"/>
      <c r="Y1064" s="15"/>
      <c r="Z1064" s="15"/>
      <c r="AA1064" s="24"/>
      <c r="AB1064" s="24"/>
      <c r="AC1064" s="24"/>
      <c r="AD1064" s="24"/>
      <c r="AE1064" s="24"/>
      <c r="AF1064" s="24"/>
      <c r="AG1064" s="24"/>
      <c r="AH1064" s="24"/>
    </row>
    <row r="1065" spans="1:34" ht="45" x14ac:dyDescent="0.25">
      <c r="A1065" s="24" t="str">
        <f>HYPERLINK("https://www.cpso.on.ca/DoctorDetails/John-Duncan-McLennan/0163041-74125","McLennan, John Duncan")</f>
        <v>McLennan, John Duncan</v>
      </c>
      <c r="B1065" s="25" t="s">
        <v>10655</v>
      </c>
      <c r="C1065" s="24" t="s">
        <v>4294</v>
      </c>
      <c r="D1065" s="24" t="s">
        <v>967</v>
      </c>
      <c r="E1065" s="24" t="s">
        <v>29</v>
      </c>
      <c r="F1065" s="24" t="s">
        <v>30</v>
      </c>
      <c r="G1065" s="24" t="s">
        <v>31</v>
      </c>
      <c r="H1065" s="24" t="s">
        <v>10656</v>
      </c>
      <c r="I1065" s="24" t="s">
        <v>10657</v>
      </c>
      <c r="J1065" s="24" t="s">
        <v>7068</v>
      </c>
      <c r="K1065" s="24"/>
      <c r="L1065" s="24" t="s">
        <v>84</v>
      </c>
      <c r="M1065" s="15"/>
      <c r="N1065" s="15"/>
      <c r="O1065" s="15" t="s">
        <v>2806</v>
      </c>
      <c r="P1065" s="15" t="s">
        <v>10658</v>
      </c>
      <c r="Q1065" s="15"/>
      <c r="R1065" s="15" t="s">
        <v>10659</v>
      </c>
      <c r="S1065" s="24" t="s">
        <v>39</v>
      </c>
      <c r="T1065" s="24" t="s">
        <v>39</v>
      </c>
      <c r="U1065" s="24" t="s">
        <v>39</v>
      </c>
      <c r="V1065" s="24" t="s">
        <v>39</v>
      </c>
      <c r="W1065" s="24" t="s">
        <v>10660</v>
      </c>
      <c r="X1065" s="24" t="s">
        <v>10661</v>
      </c>
      <c r="Y1065" s="15" t="s">
        <v>10662</v>
      </c>
      <c r="Z1065" s="15" t="s">
        <v>4577</v>
      </c>
      <c r="AA1065" s="24"/>
      <c r="AB1065" s="24"/>
      <c r="AC1065" s="24"/>
      <c r="AD1065" s="24"/>
      <c r="AE1065" s="24"/>
      <c r="AF1065" s="24"/>
      <c r="AG1065" s="24"/>
      <c r="AH1065" s="24"/>
    </row>
    <row r="1066" spans="1:34" ht="30" x14ac:dyDescent="0.25">
      <c r="A1066" s="24" t="str">
        <f>HYPERLINK("https://www.cpso.on.ca/DoctorDetails/John-Francis-Thornton/0024780-29602","Thornton, John Francis")</f>
        <v>Thornton, John Francis</v>
      </c>
      <c r="B1066" s="25" t="s">
        <v>10663</v>
      </c>
      <c r="C1066" s="24" t="s">
        <v>10664</v>
      </c>
      <c r="D1066" s="24" t="s">
        <v>10665</v>
      </c>
      <c r="E1066" s="24" t="s">
        <v>29</v>
      </c>
      <c r="F1066" s="24" t="s">
        <v>30</v>
      </c>
      <c r="G1066" s="24" t="s">
        <v>31</v>
      </c>
      <c r="H1066" s="24" t="s">
        <v>10666</v>
      </c>
      <c r="I1066" s="24" t="s">
        <v>10667</v>
      </c>
      <c r="J1066" s="24" t="s">
        <v>10668</v>
      </c>
      <c r="K1066" s="24" t="s">
        <v>10668</v>
      </c>
      <c r="L1066" s="24" t="s">
        <v>52</v>
      </c>
      <c r="M1066" s="15"/>
      <c r="N1066" s="15"/>
      <c r="O1066" s="15"/>
      <c r="P1066" s="15" t="s">
        <v>4862</v>
      </c>
      <c r="Q1066" s="15"/>
      <c r="R1066" s="15" t="s">
        <v>10669</v>
      </c>
      <c r="S1066" s="24" t="s">
        <v>39</v>
      </c>
      <c r="T1066" s="24" t="s">
        <v>39</v>
      </c>
      <c r="U1066" s="24" t="s">
        <v>39</v>
      </c>
      <c r="V1066" s="24" t="s">
        <v>39</v>
      </c>
      <c r="W1066" s="24" t="s">
        <v>10670</v>
      </c>
      <c r="X1066" s="24" t="s">
        <v>10671</v>
      </c>
      <c r="Y1066" s="15" t="s">
        <v>10672</v>
      </c>
      <c r="Z1066" s="15" t="s">
        <v>10673</v>
      </c>
      <c r="AA1066" s="24"/>
      <c r="AB1066" s="24"/>
      <c r="AC1066" s="24"/>
      <c r="AD1066" s="24"/>
      <c r="AE1066" s="24"/>
      <c r="AF1066" s="24"/>
      <c r="AG1066" s="24"/>
      <c r="AH1066" s="24"/>
    </row>
    <row r="1067" spans="1:34" ht="30" x14ac:dyDescent="0.25">
      <c r="A1067" s="24" t="str">
        <f>HYPERLINK("https://www.cpso.on.ca/DoctorDetails/John-Frederick-Scholz/0025742-30565","Scholz, John Frederick")</f>
        <v>Scholz, John Frederick</v>
      </c>
      <c r="B1067" s="25" t="s">
        <v>10674</v>
      </c>
      <c r="C1067" s="24" t="s">
        <v>10675</v>
      </c>
      <c r="D1067" s="24" t="s">
        <v>10676</v>
      </c>
      <c r="E1067" s="24" t="s">
        <v>29</v>
      </c>
      <c r="F1067" s="24" t="s">
        <v>30</v>
      </c>
      <c r="G1067" s="24" t="s">
        <v>31</v>
      </c>
      <c r="H1067" s="24" t="s">
        <v>10677</v>
      </c>
      <c r="I1067" s="24" t="s">
        <v>10678</v>
      </c>
      <c r="J1067" s="24" t="s">
        <v>10679</v>
      </c>
      <c r="K1067" s="24" t="s">
        <v>10680</v>
      </c>
      <c r="L1067" s="24" t="s">
        <v>65</v>
      </c>
      <c r="M1067" s="15"/>
      <c r="N1067" s="15"/>
      <c r="O1067" s="15" t="s">
        <v>2415</v>
      </c>
      <c r="P1067" s="15" t="s">
        <v>7327</v>
      </c>
      <c r="Q1067" s="15"/>
      <c r="R1067" s="15" t="s">
        <v>10681</v>
      </c>
      <c r="S1067" s="24" t="s">
        <v>39</v>
      </c>
      <c r="T1067" s="24" t="s">
        <v>39</v>
      </c>
      <c r="U1067" s="24" t="s">
        <v>39</v>
      </c>
      <c r="V1067" s="24" t="s">
        <v>39</v>
      </c>
      <c r="W1067" s="24" t="s">
        <v>10682</v>
      </c>
      <c r="X1067" s="24" t="s">
        <v>7112</v>
      </c>
      <c r="Y1067" s="15" t="s">
        <v>10683</v>
      </c>
      <c r="Z1067" s="15" t="s">
        <v>10684</v>
      </c>
      <c r="AA1067" s="24"/>
      <c r="AB1067" s="24"/>
      <c r="AC1067" s="24"/>
      <c r="AD1067" s="24"/>
      <c r="AE1067" s="24"/>
      <c r="AF1067" s="24"/>
      <c r="AG1067" s="24"/>
      <c r="AH1067" s="24"/>
    </row>
    <row r="1068" spans="1:34" ht="45" x14ac:dyDescent="0.25">
      <c r="A1068" s="24" t="str">
        <f>HYPERLINK("https://www.cpso.on.ca/DoctorDetails/John-Hubert-Langley/0051376-65355","Langley, John Hubert")</f>
        <v>Langley, John Hubert</v>
      </c>
      <c r="B1068" s="25" t="s">
        <v>10685</v>
      </c>
      <c r="C1068" s="24" t="s">
        <v>296</v>
      </c>
      <c r="D1068" s="24" t="s">
        <v>10686</v>
      </c>
      <c r="E1068" s="24" t="s">
        <v>29</v>
      </c>
      <c r="F1068" s="24" t="s">
        <v>30</v>
      </c>
      <c r="G1068" s="24" t="s">
        <v>31</v>
      </c>
      <c r="H1068" s="24" t="s">
        <v>8005</v>
      </c>
      <c r="I1068" s="24" t="s">
        <v>10687</v>
      </c>
      <c r="J1068" s="24" t="s">
        <v>10688</v>
      </c>
      <c r="K1068" s="24" t="s">
        <v>1355</v>
      </c>
      <c r="L1068" s="24" t="s">
        <v>52</v>
      </c>
      <c r="M1068" s="15"/>
      <c r="N1068" s="15"/>
      <c r="O1068" s="15" t="s">
        <v>10689</v>
      </c>
      <c r="P1068" s="15" t="s">
        <v>2042</v>
      </c>
      <c r="Q1068" s="15" t="s">
        <v>10690</v>
      </c>
      <c r="R1068" s="15" t="s">
        <v>10691</v>
      </c>
      <c r="S1068" s="24" t="s">
        <v>39</v>
      </c>
      <c r="T1068" s="24" t="s">
        <v>39</v>
      </c>
      <c r="U1068" s="24" t="s">
        <v>39</v>
      </c>
      <c r="V1068" s="24" t="s">
        <v>39</v>
      </c>
      <c r="W1068" s="24" t="s">
        <v>10692</v>
      </c>
      <c r="X1068" s="24" t="s">
        <v>10693</v>
      </c>
      <c r="Y1068" s="15" t="s">
        <v>10694</v>
      </c>
      <c r="Z1068" s="15" t="s">
        <v>10695</v>
      </c>
      <c r="AA1068" s="24"/>
      <c r="AB1068" s="24"/>
      <c r="AC1068" s="24"/>
      <c r="AD1068" s="24"/>
      <c r="AE1068" s="24"/>
      <c r="AF1068" s="24"/>
      <c r="AG1068" s="24"/>
      <c r="AH1068" s="24"/>
    </row>
    <row r="1069" spans="1:34" ht="75" x14ac:dyDescent="0.25">
      <c r="A1069" s="24" t="str">
        <f>HYPERLINK("https://www.cpso.on.ca/DoctorDetails/John-James-Klukach/0057319-68907","Klukach, John James")</f>
        <v>Klukach, John James</v>
      </c>
      <c r="B1069" s="25" t="s">
        <v>10696</v>
      </c>
      <c r="C1069" s="24" t="s">
        <v>3831</v>
      </c>
      <c r="D1069" s="24" t="s">
        <v>214</v>
      </c>
      <c r="E1069" s="24" t="s">
        <v>29</v>
      </c>
      <c r="F1069" s="24" t="s">
        <v>30</v>
      </c>
      <c r="G1069" s="24" t="s">
        <v>31</v>
      </c>
      <c r="H1069" s="24" t="s">
        <v>3932</v>
      </c>
      <c r="I1069" s="24" t="s">
        <v>1147</v>
      </c>
      <c r="J1069" s="24" t="s">
        <v>10697</v>
      </c>
      <c r="K1069" s="24" t="s">
        <v>10698</v>
      </c>
      <c r="L1069" s="24" t="s">
        <v>52</v>
      </c>
      <c r="M1069" s="15" t="s">
        <v>10699</v>
      </c>
      <c r="N1069" s="15"/>
      <c r="O1069" s="15" t="s">
        <v>4406</v>
      </c>
      <c r="P1069" s="15" t="s">
        <v>1343</v>
      </c>
      <c r="Q1069" s="15" t="s">
        <v>4714</v>
      </c>
      <c r="R1069" s="15" t="s">
        <v>3839</v>
      </c>
      <c r="S1069" s="24" t="s">
        <v>39</v>
      </c>
      <c r="T1069" s="24" t="s">
        <v>39</v>
      </c>
      <c r="U1069" s="24" t="s">
        <v>39</v>
      </c>
      <c r="V1069" s="24" t="s">
        <v>39</v>
      </c>
      <c r="W1069" s="24"/>
      <c r="X1069" s="24"/>
      <c r="Y1069" s="15"/>
      <c r="Z1069" s="15"/>
      <c r="AA1069" s="24"/>
      <c r="AB1069" s="24"/>
      <c r="AC1069" s="24"/>
      <c r="AD1069" s="24"/>
      <c r="AE1069" s="24"/>
      <c r="AF1069" s="24"/>
      <c r="AG1069" s="24"/>
      <c r="AH1069" s="24"/>
    </row>
    <row r="1070" spans="1:34" x14ac:dyDescent="0.25">
      <c r="A1070" s="24" t="str">
        <f>HYPERLINK("https://www.cpso.on.ca/DoctorDetails/John-Joseph-Lucas/0276396-97075","Lucas, John Joseph")</f>
        <v>Lucas, John Joseph</v>
      </c>
      <c r="B1070" s="25" t="s">
        <v>10700</v>
      </c>
      <c r="C1070" s="24" t="s">
        <v>10701</v>
      </c>
      <c r="D1070" s="24" t="s">
        <v>10702</v>
      </c>
      <c r="E1070" s="24" t="s">
        <v>29</v>
      </c>
      <c r="F1070" s="24" t="s">
        <v>30</v>
      </c>
      <c r="G1070" s="24" t="s">
        <v>31</v>
      </c>
      <c r="H1070" s="24" t="s">
        <v>10703</v>
      </c>
      <c r="I1070" s="24" t="s">
        <v>10704</v>
      </c>
      <c r="J1070" s="24" t="s">
        <v>10705</v>
      </c>
      <c r="K1070" s="24"/>
      <c r="L1070" s="24" t="s">
        <v>152</v>
      </c>
      <c r="M1070" s="15"/>
      <c r="N1070" s="15" t="s">
        <v>1449</v>
      </c>
      <c r="O1070" s="15"/>
      <c r="P1070" s="15" t="s">
        <v>9291</v>
      </c>
      <c r="Q1070" s="15"/>
      <c r="R1070" s="15" t="s">
        <v>10706</v>
      </c>
      <c r="S1070" s="24" t="s">
        <v>39</v>
      </c>
      <c r="T1070" s="24" t="s">
        <v>39</v>
      </c>
      <c r="U1070" s="24" t="s">
        <v>39</v>
      </c>
      <c r="V1070" s="24" t="s">
        <v>39</v>
      </c>
      <c r="W1070" s="24"/>
      <c r="X1070" s="24"/>
      <c r="Y1070" s="15"/>
      <c r="Z1070" s="15"/>
      <c r="AA1070" s="24"/>
      <c r="AB1070" s="24"/>
      <c r="AC1070" s="24"/>
      <c r="AD1070" s="24"/>
      <c r="AE1070" s="24"/>
      <c r="AF1070" s="24"/>
      <c r="AG1070" s="24"/>
      <c r="AH1070" s="24"/>
    </row>
    <row r="1071" spans="1:34" ht="90" x14ac:dyDescent="0.25">
      <c r="A1071" s="24" t="str">
        <f>HYPERLINK("https://www.cpso.on.ca/DoctorDetails/John-Kenneth-Le-Clair/0025646-30469","Le Clair, John Kenneth")</f>
        <v>Le Clair, John Kenneth</v>
      </c>
      <c r="B1071" s="25" t="s">
        <v>10707</v>
      </c>
      <c r="C1071" s="24" t="s">
        <v>10708</v>
      </c>
      <c r="D1071" s="24" t="s">
        <v>10709</v>
      </c>
      <c r="E1071" s="24" t="s">
        <v>29</v>
      </c>
      <c r="F1071" s="24" t="s">
        <v>30</v>
      </c>
      <c r="G1071" s="24" t="s">
        <v>31</v>
      </c>
      <c r="H1071" s="24" t="s">
        <v>10710</v>
      </c>
      <c r="I1071" s="24" t="s">
        <v>10711</v>
      </c>
      <c r="J1071" s="24" t="s">
        <v>10712</v>
      </c>
      <c r="K1071" s="24"/>
      <c r="L1071" s="24" t="s">
        <v>340</v>
      </c>
      <c r="M1071" s="15"/>
      <c r="N1071" s="15"/>
      <c r="O1071" s="15" t="s">
        <v>10713</v>
      </c>
      <c r="P1071" s="15" t="s">
        <v>5827</v>
      </c>
      <c r="Q1071" s="15"/>
      <c r="R1071" s="15" t="s">
        <v>10714</v>
      </c>
      <c r="S1071" s="24" t="s">
        <v>39</v>
      </c>
      <c r="T1071" s="24" t="s">
        <v>39</v>
      </c>
      <c r="U1071" s="24" t="s">
        <v>39</v>
      </c>
      <c r="V1071" s="24" t="s">
        <v>39</v>
      </c>
      <c r="W1071" s="24" t="s">
        <v>10715</v>
      </c>
      <c r="X1071" s="24" t="s">
        <v>10716</v>
      </c>
      <c r="Y1071" s="15" t="s">
        <v>10717</v>
      </c>
      <c r="Z1071" s="15" t="s">
        <v>10718</v>
      </c>
      <c r="AA1071" s="24"/>
      <c r="AB1071" s="24"/>
      <c r="AC1071" s="24"/>
      <c r="AD1071" s="24"/>
      <c r="AE1071" s="24"/>
      <c r="AF1071" s="24"/>
      <c r="AG1071" s="24"/>
      <c r="AH1071" s="24"/>
    </row>
    <row r="1072" spans="1:34" ht="105" x14ac:dyDescent="0.25">
      <c r="A1072" s="24" t="str">
        <f>HYPERLINK("https://www.cpso.on.ca/DoctorDetails/John-Leslie-Dimock/0026843-31666","Dimock, John Leslie")</f>
        <v>Dimock, John Leslie</v>
      </c>
      <c r="B1072" s="25" t="s">
        <v>10719</v>
      </c>
      <c r="C1072" s="24" t="s">
        <v>10720</v>
      </c>
      <c r="D1072" s="24" t="s">
        <v>10721</v>
      </c>
      <c r="E1072" s="24" t="s">
        <v>29</v>
      </c>
      <c r="F1072" s="24" t="s">
        <v>30</v>
      </c>
      <c r="G1072" s="24" t="s">
        <v>31</v>
      </c>
      <c r="H1072" s="24" t="s">
        <v>10722</v>
      </c>
      <c r="I1072" s="24" t="s">
        <v>10723</v>
      </c>
      <c r="J1072" s="24" t="s">
        <v>10724</v>
      </c>
      <c r="K1072" s="24" t="s">
        <v>10725</v>
      </c>
      <c r="L1072" s="24" t="s">
        <v>84</v>
      </c>
      <c r="M1072" s="15"/>
      <c r="N1072" s="15"/>
      <c r="O1072" s="15"/>
      <c r="P1072" s="15" t="s">
        <v>541</v>
      </c>
      <c r="Q1072" s="15"/>
      <c r="R1072" s="15" t="s">
        <v>10726</v>
      </c>
      <c r="S1072" s="24" t="s">
        <v>39</v>
      </c>
      <c r="T1072" s="24" t="s">
        <v>71</v>
      </c>
      <c r="U1072" s="24" t="s">
        <v>39</v>
      </c>
      <c r="V1072" s="24" t="s">
        <v>39</v>
      </c>
      <c r="W1072" s="24" t="s">
        <v>10727</v>
      </c>
      <c r="X1072" s="24" t="s">
        <v>10728</v>
      </c>
      <c r="Y1072" s="15" t="s">
        <v>10729</v>
      </c>
      <c r="Z1072" s="15" t="s">
        <v>10730</v>
      </c>
      <c r="AA1072" s="24"/>
      <c r="AB1072" s="24"/>
      <c r="AC1072" s="24"/>
      <c r="AD1072" s="24"/>
      <c r="AE1072" s="24"/>
      <c r="AF1072" s="24"/>
      <c r="AG1072" s="24"/>
      <c r="AH1072" s="24"/>
    </row>
    <row r="1073" spans="1:34" ht="30" x14ac:dyDescent="0.25">
      <c r="A1073" s="24" t="str">
        <f>HYPERLINK("https://www.cpso.on.ca/DoctorDetails/John-Linwood-Craven/0036324-50300","Craven, John Linwood")</f>
        <v>Craven, John Linwood</v>
      </c>
      <c r="B1073" s="25" t="s">
        <v>10731</v>
      </c>
      <c r="C1073" s="24" t="s">
        <v>3417</v>
      </c>
      <c r="D1073" s="24" t="s">
        <v>10732</v>
      </c>
      <c r="E1073" s="24" t="s">
        <v>29</v>
      </c>
      <c r="F1073" s="24" t="s">
        <v>30</v>
      </c>
      <c r="G1073" s="24" t="s">
        <v>31</v>
      </c>
      <c r="H1073" s="24" t="s">
        <v>4000</v>
      </c>
      <c r="I1073" s="24" t="s">
        <v>10733</v>
      </c>
      <c r="J1073" s="24" t="s">
        <v>10734</v>
      </c>
      <c r="K1073" s="24" t="s">
        <v>10735</v>
      </c>
      <c r="L1073" s="24" t="s">
        <v>135</v>
      </c>
      <c r="M1073" s="15"/>
      <c r="N1073" s="15"/>
      <c r="O1073" s="15"/>
      <c r="P1073" s="15" t="s">
        <v>2864</v>
      </c>
      <c r="Q1073" s="15"/>
      <c r="R1073" s="15" t="s">
        <v>10736</v>
      </c>
      <c r="S1073" s="24" t="s">
        <v>39</v>
      </c>
      <c r="T1073" s="24" t="s">
        <v>39</v>
      </c>
      <c r="U1073" s="24" t="s">
        <v>39</v>
      </c>
      <c r="V1073" s="24" t="s">
        <v>39</v>
      </c>
      <c r="W1073" s="24" t="s">
        <v>10737</v>
      </c>
      <c r="X1073" s="24" t="s">
        <v>8385</v>
      </c>
      <c r="Y1073" s="15" t="s">
        <v>10738</v>
      </c>
      <c r="Z1073" s="15" t="s">
        <v>10739</v>
      </c>
      <c r="AA1073" s="24"/>
      <c r="AB1073" s="24"/>
      <c r="AC1073" s="24"/>
      <c r="AD1073" s="24"/>
      <c r="AE1073" s="24"/>
      <c r="AF1073" s="24"/>
      <c r="AG1073" s="24"/>
      <c r="AH1073" s="24"/>
    </row>
    <row r="1074" spans="1:34" ht="45" x14ac:dyDescent="0.25">
      <c r="A1074" s="24" t="str">
        <f>HYPERLINK("https://www.cpso.on.ca/DoctorDetails/John-Mcdonald-Wilson-Bradford/0030340-42320","Bradford, John Mcdonald Wilson")</f>
        <v>Bradford, John Mcdonald Wilson</v>
      </c>
      <c r="B1074" s="25" t="s">
        <v>10740</v>
      </c>
      <c r="C1074" s="24" t="s">
        <v>10741</v>
      </c>
      <c r="D1074" s="24" t="s">
        <v>10742</v>
      </c>
      <c r="E1074" s="24" t="s">
        <v>29</v>
      </c>
      <c r="F1074" s="24" t="s">
        <v>30</v>
      </c>
      <c r="G1074" s="24" t="s">
        <v>31</v>
      </c>
      <c r="H1074" s="24" t="s">
        <v>10743</v>
      </c>
      <c r="I1074" s="24" t="s">
        <v>10744</v>
      </c>
      <c r="J1074" s="24" t="s">
        <v>10745</v>
      </c>
      <c r="K1074" s="24" t="s">
        <v>10746</v>
      </c>
      <c r="L1074" s="24" t="s">
        <v>184</v>
      </c>
      <c r="M1074" s="15"/>
      <c r="N1074" s="15" t="s">
        <v>10747</v>
      </c>
      <c r="O1074" s="15" t="s">
        <v>1135</v>
      </c>
      <c r="P1074" s="15" t="s">
        <v>8551</v>
      </c>
      <c r="Q1074" s="15"/>
      <c r="R1074" s="15" t="s">
        <v>10748</v>
      </c>
      <c r="S1074" s="24" t="s">
        <v>39</v>
      </c>
      <c r="T1074" s="24" t="s">
        <v>39</v>
      </c>
      <c r="U1074" s="24" t="s">
        <v>39</v>
      </c>
      <c r="V1074" s="24" t="s">
        <v>39</v>
      </c>
      <c r="W1074" s="24" t="s">
        <v>10749</v>
      </c>
      <c r="X1074" s="24" t="s">
        <v>10750</v>
      </c>
      <c r="Y1074" s="15" t="s">
        <v>10751</v>
      </c>
      <c r="Z1074" s="15" t="s">
        <v>10752</v>
      </c>
      <c r="AA1074" s="24"/>
      <c r="AB1074" s="24"/>
      <c r="AC1074" s="24"/>
      <c r="AD1074" s="24"/>
      <c r="AE1074" s="24"/>
      <c r="AF1074" s="24"/>
      <c r="AG1074" s="24"/>
      <c r="AH1074" s="24"/>
    </row>
    <row r="1075" spans="1:34" ht="45" x14ac:dyDescent="0.25">
      <c r="A1075" s="24" t="str">
        <f>HYPERLINK("https://www.cpso.on.ca/DoctorDetails/John-Michael-Haggarty/0045799-59777","Haggarty, John Michael")</f>
        <v>Haggarty, John Michael</v>
      </c>
      <c r="B1075" s="25" t="s">
        <v>10753</v>
      </c>
      <c r="C1075" s="24" t="s">
        <v>3282</v>
      </c>
      <c r="D1075" s="24" t="s">
        <v>10754</v>
      </c>
      <c r="E1075" s="24" t="s">
        <v>29</v>
      </c>
      <c r="F1075" s="24" t="s">
        <v>30</v>
      </c>
      <c r="G1075" s="24" t="s">
        <v>813</v>
      </c>
      <c r="H1075" s="24" t="s">
        <v>6839</v>
      </c>
      <c r="I1075" s="24" t="s">
        <v>10755</v>
      </c>
      <c r="J1075" s="24" t="s">
        <v>10756</v>
      </c>
      <c r="K1075" s="24" t="s">
        <v>10757</v>
      </c>
      <c r="L1075" s="24" t="s">
        <v>3849</v>
      </c>
      <c r="M1075" s="15"/>
      <c r="N1075" s="15"/>
      <c r="O1075" s="15" t="s">
        <v>10758</v>
      </c>
      <c r="P1075" s="15" t="s">
        <v>2042</v>
      </c>
      <c r="Q1075" s="15" t="s">
        <v>10759</v>
      </c>
      <c r="R1075" s="15" t="s">
        <v>10760</v>
      </c>
      <c r="S1075" s="24" t="s">
        <v>39</v>
      </c>
      <c r="T1075" s="24" t="s">
        <v>39</v>
      </c>
      <c r="U1075" s="24" t="s">
        <v>39</v>
      </c>
      <c r="V1075" s="24" t="s">
        <v>39</v>
      </c>
      <c r="W1075" s="24" t="s">
        <v>10761</v>
      </c>
      <c r="X1075" s="24" t="s">
        <v>10762</v>
      </c>
      <c r="Y1075" s="15" t="s">
        <v>10763</v>
      </c>
      <c r="Z1075" s="15" t="s">
        <v>10764</v>
      </c>
      <c r="AA1075" s="24"/>
      <c r="AB1075" s="24"/>
      <c r="AC1075" s="24"/>
      <c r="AD1075" s="24"/>
      <c r="AE1075" s="24"/>
      <c r="AF1075" s="24"/>
      <c r="AG1075" s="24"/>
      <c r="AH1075" s="24"/>
    </row>
    <row r="1076" spans="1:34" ht="45" x14ac:dyDescent="0.25">
      <c r="A1076" s="24" t="str">
        <f>HYPERLINK("https://www.cpso.on.ca/DoctorDetails/John-Nkansah/0018334-23120","Nkansah, John")</f>
        <v>Nkansah, John</v>
      </c>
      <c r="B1076" s="25" t="s">
        <v>10765</v>
      </c>
      <c r="C1076" s="24" t="s">
        <v>10766</v>
      </c>
      <c r="D1076" s="24" t="s">
        <v>10767</v>
      </c>
      <c r="E1076" s="24" t="s">
        <v>29</v>
      </c>
      <c r="F1076" s="24" t="s">
        <v>30</v>
      </c>
      <c r="G1076" s="24" t="s">
        <v>31</v>
      </c>
      <c r="H1076" s="24" t="s">
        <v>3108</v>
      </c>
      <c r="I1076" s="24" t="s">
        <v>10768</v>
      </c>
      <c r="J1076" s="24" t="s">
        <v>10769</v>
      </c>
      <c r="K1076" s="24" t="s">
        <v>10770</v>
      </c>
      <c r="L1076" s="24" t="s">
        <v>52</v>
      </c>
      <c r="M1076" s="15"/>
      <c r="N1076" s="15" t="s">
        <v>10771</v>
      </c>
      <c r="O1076" s="15" t="s">
        <v>5586</v>
      </c>
      <c r="P1076" s="15" t="s">
        <v>10772</v>
      </c>
      <c r="Q1076" s="15"/>
      <c r="R1076" s="15" t="s">
        <v>10773</v>
      </c>
      <c r="S1076" s="24" t="s">
        <v>39</v>
      </c>
      <c r="T1076" s="24" t="s">
        <v>39</v>
      </c>
      <c r="U1076" s="24" t="s">
        <v>39</v>
      </c>
      <c r="V1076" s="24" t="s">
        <v>39</v>
      </c>
      <c r="W1076" s="24" t="s">
        <v>10774</v>
      </c>
      <c r="X1076" s="24" t="s">
        <v>10775</v>
      </c>
      <c r="Y1076" s="15" t="s">
        <v>10776</v>
      </c>
      <c r="Z1076" s="15" t="s">
        <v>10777</v>
      </c>
      <c r="AA1076" s="24"/>
      <c r="AB1076" s="24"/>
      <c r="AC1076" s="24"/>
      <c r="AD1076" s="24"/>
      <c r="AE1076" s="24"/>
      <c r="AF1076" s="24"/>
      <c r="AG1076" s="24"/>
      <c r="AH1076" s="24"/>
    </row>
    <row r="1077" spans="1:34" ht="105" x14ac:dyDescent="0.25">
      <c r="A1077" s="24" t="str">
        <f>HYPERLINK("https://www.cpso.on.ca/DoctorDetails/John-Palmer-Moise/0138973-71279","Moise, John Palmer")</f>
        <v>Moise, John Palmer</v>
      </c>
      <c r="B1077" s="25" t="s">
        <v>10778</v>
      </c>
      <c r="C1077" s="24" t="s">
        <v>1390</v>
      </c>
      <c r="D1077" s="24" t="s">
        <v>10779</v>
      </c>
      <c r="E1077" s="24" t="s">
        <v>29</v>
      </c>
      <c r="F1077" s="24" t="s">
        <v>30</v>
      </c>
      <c r="G1077" s="24" t="s">
        <v>31</v>
      </c>
      <c r="H1077" s="24" t="s">
        <v>4257</v>
      </c>
      <c r="I1077" s="24" t="s">
        <v>10780</v>
      </c>
      <c r="J1077" s="24" t="s">
        <v>10781</v>
      </c>
      <c r="K1077" s="24" t="s">
        <v>10782</v>
      </c>
      <c r="L1077" s="24" t="s">
        <v>84</v>
      </c>
      <c r="M1077" s="15"/>
      <c r="N1077" s="15"/>
      <c r="O1077" s="15" t="s">
        <v>3979</v>
      </c>
      <c r="P1077" s="15" t="s">
        <v>1398</v>
      </c>
      <c r="Q1077" s="15" t="s">
        <v>10783</v>
      </c>
      <c r="R1077" s="15" t="s">
        <v>10784</v>
      </c>
      <c r="S1077" s="24" t="s">
        <v>39</v>
      </c>
      <c r="T1077" s="24" t="s">
        <v>39</v>
      </c>
      <c r="U1077" s="24" t="s">
        <v>39</v>
      </c>
      <c r="V1077" s="24" t="s">
        <v>39</v>
      </c>
      <c r="W1077" s="24"/>
      <c r="X1077" s="24"/>
      <c r="Y1077" s="15"/>
      <c r="Z1077" s="15"/>
      <c r="AA1077" s="24"/>
      <c r="AB1077" s="24"/>
      <c r="AC1077" s="24"/>
      <c r="AD1077" s="24"/>
      <c r="AE1077" s="24"/>
      <c r="AF1077" s="24"/>
      <c r="AG1077" s="24"/>
      <c r="AH1077" s="24"/>
    </row>
    <row r="1078" spans="1:34" ht="60" x14ac:dyDescent="0.25">
      <c r="A1078" s="24" t="str">
        <f>HYPERLINK("https://www.cpso.on.ca/DoctorDetails/John-Paul-Fedoroff/0049023-63001","Fedoroff, John Paul")</f>
        <v>Fedoroff, John Paul</v>
      </c>
      <c r="B1078" s="25" t="s">
        <v>10785</v>
      </c>
      <c r="C1078" s="24" t="s">
        <v>10786</v>
      </c>
      <c r="D1078" s="24" t="s">
        <v>10787</v>
      </c>
      <c r="E1078" s="24" t="s">
        <v>29</v>
      </c>
      <c r="F1078" s="24" t="s">
        <v>30</v>
      </c>
      <c r="G1078" s="24" t="s">
        <v>31</v>
      </c>
      <c r="H1078" s="24" t="s">
        <v>10788</v>
      </c>
      <c r="I1078" s="24" t="s">
        <v>10789</v>
      </c>
      <c r="J1078" s="24" t="s">
        <v>10790</v>
      </c>
      <c r="K1078" s="24" t="s">
        <v>6138</v>
      </c>
      <c r="L1078" s="24" t="s">
        <v>84</v>
      </c>
      <c r="M1078" s="15"/>
      <c r="N1078" s="15"/>
      <c r="O1078" s="15" t="s">
        <v>6139</v>
      </c>
      <c r="P1078" s="15" t="s">
        <v>9194</v>
      </c>
      <c r="Q1078" s="15" t="s">
        <v>7589</v>
      </c>
      <c r="R1078" s="15" t="s">
        <v>10791</v>
      </c>
      <c r="S1078" s="24" t="s">
        <v>39</v>
      </c>
      <c r="T1078" s="24" t="s">
        <v>39</v>
      </c>
      <c r="U1078" s="24" t="s">
        <v>39</v>
      </c>
      <c r="V1078" s="24" t="s">
        <v>39</v>
      </c>
      <c r="W1078" s="24" t="s">
        <v>10792</v>
      </c>
      <c r="X1078" s="24" t="s">
        <v>10793</v>
      </c>
      <c r="Y1078" s="15" t="s">
        <v>10794</v>
      </c>
      <c r="Z1078" s="15" t="s">
        <v>10795</v>
      </c>
      <c r="AA1078" s="24"/>
      <c r="AB1078" s="24"/>
      <c r="AC1078" s="24"/>
      <c r="AD1078" s="24"/>
      <c r="AE1078" s="24"/>
      <c r="AF1078" s="24"/>
      <c r="AG1078" s="24"/>
      <c r="AH1078" s="24"/>
    </row>
    <row r="1079" spans="1:34" ht="60" x14ac:dyDescent="0.25">
      <c r="A1079" s="24" t="str">
        <f>HYPERLINK("https://www.cpso.on.ca/DoctorDetails/John-Peake-Warren/0017363-22149","Warren, John Peake")</f>
        <v>Warren, John Peake</v>
      </c>
      <c r="B1079" s="25" t="s">
        <v>10796</v>
      </c>
      <c r="C1079" s="24" t="s">
        <v>10797</v>
      </c>
      <c r="D1079" s="24" t="s">
        <v>10798</v>
      </c>
      <c r="E1079" s="24" t="s">
        <v>29</v>
      </c>
      <c r="F1079" s="24" t="s">
        <v>30</v>
      </c>
      <c r="G1079" s="24" t="s">
        <v>31</v>
      </c>
      <c r="H1079" s="24" t="s">
        <v>10799</v>
      </c>
      <c r="I1079" s="24" t="s">
        <v>10800</v>
      </c>
      <c r="J1079" s="24" t="s">
        <v>10801</v>
      </c>
      <c r="K1079" s="24" t="s">
        <v>10802</v>
      </c>
      <c r="L1079" s="24" t="s">
        <v>36</v>
      </c>
      <c r="M1079" s="15"/>
      <c r="N1079" s="15"/>
      <c r="O1079" s="15" t="s">
        <v>10803</v>
      </c>
      <c r="P1079" s="15" t="s">
        <v>3433</v>
      </c>
      <c r="Q1079" s="15" t="s">
        <v>10804</v>
      </c>
      <c r="R1079" s="15" t="s">
        <v>10805</v>
      </c>
      <c r="S1079" s="24" t="s">
        <v>71</v>
      </c>
      <c r="T1079" s="24" t="s">
        <v>39</v>
      </c>
      <c r="U1079" s="24" t="s">
        <v>39</v>
      </c>
      <c r="V1079" s="24" t="s">
        <v>39</v>
      </c>
      <c r="W1079" s="24"/>
      <c r="X1079" s="24"/>
      <c r="Y1079" s="15"/>
      <c r="Z1079" s="15"/>
      <c r="AA1079" s="24"/>
      <c r="AB1079" s="24"/>
      <c r="AC1079" s="24"/>
      <c r="AD1079" s="24"/>
      <c r="AE1079" s="24"/>
      <c r="AF1079" s="24"/>
      <c r="AG1079" s="24"/>
      <c r="AH1079" s="24"/>
    </row>
    <row r="1080" spans="1:34" x14ac:dyDescent="0.25">
      <c r="A1080" s="24" t="str">
        <f>HYPERLINK("https://www.cpso.on.ca/DoctorDetails/John-Richard-McCready/0019993-24781","McCready, John Richard")</f>
        <v>McCready, John Richard</v>
      </c>
      <c r="B1080" s="25" t="s">
        <v>10806</v>
      </c>
      <c r="C1080" s="24" t="s">
        <v>10807</v>
      </c>
      <c r="D1080" s="24" t="s">
        <v>10808</v>
      </c>
      <c r="E1080" s="24" t="s">
        <v>29</v>
      </c>
      <c r="F1080" s="24" t="s">
        <v>30</v>
      </c>
      <c r="G1080" s="24" t="s">
        <v>31</v>
      </c>
      <c r="H1080" s="24" t="s">
        <v>10809</v>
      </c>
      <c r="I1080" s="24" t="s">
        <v>10810</v>
      </c>
      <c r="J1080" s="24" t="s">
        <v>10811</v>
      </c>
      <c r="K1080" s="24"/>
      <c r="L1080" s="24" t="s">
        <v>184</v>
      </c>
      <c r="M1080" s="15"/>
      <c r="N1080" s="15"/>
      <c r="O1080" s="15"/>
      <c r="P1080" s="15" t="s">
        <v>2985</v>
      </c>
      <c r="Q1080" s="15"/>
      <c r="R1080" s="15" t="s">
        <v>10812</v>
      </c>
      <c r="S1080" s="24" t="s">
        <v>39</v>
      </c>
      <c r="T1080" s="24" t="s">
        <v>39</v>
      </c>
      <c r="U1080" s="24" t="s">
        <v>39</v>
      </c>
      <c r="V1080" s="24" t="s">
        <v>39</v>
      </c>
      <c r="W1080" s="24"/>
      <c r="X1080" s="24"/>
      <c r="Y1080" s="15"/>
      <c r="Z1080" s="15"/>
      <c r="AA1080" s="24"/>
      <c r="AB1080" s="24"/>
      <c r="AC1080" s="24"/>
      <c r="AD1080" s="24"/>
      <c r="AE1080" s="24"/>
      <c r="AF1080" s="24"/>
      <c r="AG1080" s="24"/>
      <c r="AH1080" s="24"/>
    </row>
    <row r="1081" spans="1:34" ht="30" x14ac:dyDescent="0.25">
      <c r="A1081" s="24" t="str">
        <f>HYPERLINK("https://www.cpso.on.ca/DoctorDetails/John-Ritchie-Pellettier/0017916-22702","Pellettier, John Ritchie")</f>
        <v>Pellettier, John Ritchie</v>
      </c>
      <c r="B1081" s="25" t="s">
        <v>10813</v>
      </c>
      <c r="C1081" s="24" t="s">
        <v>10814</v>
      </c>
      <c r="D1081" s="24" t="s">
        <v>10815</v>
      </c>
      <c r="E1081" s="24" t="s">
        <v>29</v>
      </c>
      <c r="F1081" s="24" t="s">
        <v>30</v>
      </c>
      <c r="G1081" s="24" t="s">
        <v>31</v>
      </c>
      <c r="H1081" s="24" t="s">
        <v>10816</v>
      </c>
      <c r="I1081" s="24" t="s">
        <v>107</v>
      </c>
      <c r="J1081" s="24"/>
      <c r="K1081" s="24"/>
      <c r="L1081" s="24"/>
      <c r="M1081" s="15"/>
      <c r="N1081" s="15"/>
      <c r="O1081" s="15"/>
      <c r="P1081" s="15" t="s">
        <v>10817</v>
      </c>
      <c r="Q1081" s="15"/>
      <c r="R1081" s="15" t="s">
        <v>10818</v>
      </c>
      <c r="S1081" s="24" t="s">
        <v>39</v>
      </c>
      <c r="T1081" s="24" t="s">
        <v>39</v>
      </c>
      <c r="U1081" s="24" t="s">
        <v>39</v>
      </c>
      <c r="V1081" s="24" t="s">
        <v>39</v>
      </c>
      <c r="W1081" s="24" t="s">
        <v>10819</v>
      </c>
      <c r="X1081" s="24" t="s">
        <v>10820</v>
      </c>
      <c r="Y1081" s="15"/>
      <c r="Z1081" s="15"/>
      <c r="AA1081" s="24"/>
      <c r="AB1081" s="24"/>
      <c r="AC1081" s="24"/>
      <c r="AD1081" s="24"/>
      <c r="AE1081" s="24"/>
      <c r="AF1081" s="24"/>
      <c r="AG1081" s="24"/>
      <c r="AH1081" s="24"/>
    </row>
    <row r="1082" spans="1:34" ht="30" x14ac:dyDescent="0.25">
      <c r="A1082" s="24" t="str">
        <f>HYPERLINK("https://www.cpso.on.ca/DoctorDetails/John-Robert-Denson/0036448-50424","Denson, John Robert")</f>
        <v>Denson, John Robert</v>
      </c>
      <c r="B1082" s="25" t="s">
        <v>10821</v>
      </c>
      <c r="C1082" s="24" t="s">
        <v>826</v>
      </c>
      <c r="D1082" s="24" t="s">
        <v>2860</v>
      </c>
      <c r="E1082" s="24" t="s">
        <v>29</v>
      </c>
      <c r="F1082" s="24" t="s">
        <v>30</v>
      </c>
      <c r="G1082" s="24" t="s">
        <v>31</v>
      </c>
      <c r="H1082" s="24" t="s">
        <v>10822</v>
      </c>
      <c r="I1082" s="24" t="s">
        <v>10823</v>
      </c>
      <c r="J1082" s="24" t="s">
        <v>10824</v>
      </c>
      <c r="K1082" s="24" t="s">
        <v>10825</v>
      </c>
      <c r="L1082" s="24" t="s">
        <v>328</v>
      </c>
      <c r="M1082" s="15" t="s">
        <v>10826</v>
      </c>
      <c r="N1082" s="15"/>
      <c r="O1082" s="15"/>
      <c r="P1082" s="15" t="s">
        <v>527</v>
      </c>
      <c r="Q1082" s="15"/>
      <c r="R1082" s="15" t="s">
        <v>10827</v>
      </c>
      <c r="S1082" s="24" t="s">
        <v>39</v>
      </c>
      <c r="T1082" s="24" t="s">
        <v>39</v>
      </c>
      <c r="U1082" s="24" t="s">
        <v>39</v>
      </c>
      <c r="V1082" s="24" t="s">
        <v>39</v>
      </c>
      <c r="W1082" s="24"/>
      <c r="X1082" s="24"/>
      <c r="Y1082" s="15"/>
      <c r="Z1082" s="15"/>
      <c r="AA1082" s="24"/>
      <c r="AB1082" s="24"/>
      <c r="AC1082" s="24"/>
      <c r="AD1082" s="24"/>
      <c r="AE1082" s="24"/>
      <c r="AF1082" s="24"/>
      <c r="AG1082" s="24"/>
      <c r="AH1082" s="24"/>
    </row>
    <row r="1083" spans="1:34" ht="60" x14ac:dyDescent="0.25">
      <c r="A1083" s="24" t="str">
        <f>HYPERLINK("https://www.cpso.on.ca/DoctorDetails/John-Robert-Swenson/0027779-32602","Swenson, John Robert")</f>
        <v>Swenson, John Robert</v>
      </c>
      <c r="B1083" s="25" t="s">
        <v>10828</v>
      </c>
      <c r="C1083" s="24" t="s">
        <v>7148</v>
      </c>
      <c r="D1083" s="24" t="s">
        <v>10829</v>
      </c>
      <c r="E1083" s="24" t="s">
        <v>29</v>
      </c>
      <c r="F1083" s="24" t="s">
        <v>30</v>
      </c>
      <c r="G1083" s="24" t="s">
        <v>813</v>
      </c>
      <c r="H1083" s="24" t="s">
        <v>9945</v>
      </c>
      <c r="I1083" s="24" t="s">
        <v>10830</v>
      </c>
      <c r="J1083" s="24" t="s">
        <v>3977</v>
      </c>
      <c r="K1083" s="24"/>
      <c r="L1083" s="24" t="s">
        <v>84</v>
      </c>
      <c r="M1083" s="15"/>
      <c r="N1083" s="15"/>
      <c r="O1083" s="15" t="s">
        <v>10831</v>
      </c>
      <c r="P1083" s="15" t="s">
        <v>3194</v>
      </c>
      <c r="Q1083" s="15"/>
      <c r="R1083" s="15" t="s">
        <v>10832</v>
      </c>
      <c r="S1083" s="24" t="s">
        <v>39</v>
      </c>
      <c r="T1083" s="24" t="s">
        <v>39</v>
      </c>
      <c r="U1083" s="24" t="s">
        <v>39</v>
      </c>
      <c r="V1083" s="24" t="s">
        <v>39</v>
      </c>
      <c r="W1083" s="24" t="s">
        <v>10833</v>
      </c>
      <c r="X1083" s="24" t="s">
        <v>9897</v>
      </c>
      <c r="Y1083" s="15" t="s">
        <v>10834</v>
      </c>
      <c r="Z1083" s="15" t="s">
        <v>10835</v>
      </c>
      <c r="AA1083" s="24"/>
      <c r="AB1083" s="24"/>
      <c r="AC1083" s="24"/>
      <c r="AD1083" s="24"/>
      <c r="AE1083" s="24"/>
      <c r="AF1083" s="24"/>
      <c r="AG1083" s="24"/>
      <c r="AH1083" s="24"/>
    </row>
    <row r="1084" spans="1:34" ht="30" x14ac:dyDescent="0.25">
      <c r="A1084" s="24" t="str">
        <f>HYPERLINK("https://www.cpso.on.ca/DoctorDetails/John-Rodney-Wachsmuth/0023945-28767","Wachsmuth, John Rodney")</f>
        <v>Wachsmuth, John Rodney</v>
      </c>
      <c r="B1084" s="25" t="s">
        <v>10836</v>
      </c>
      <c r="C1084" s="24" t="s">
        <v>10837</v>
      </c>
      <c r="D1084" s="24" t="s">
        <v>10838</v>
      </c>
      <c r="E1084" s="24" t="s">
        <v>29</v>
      </c>
      <c r="F1084" s="24" t="s">
        <v>30</v>
      </c>
      <c r="G1084" s="24" t="s">
        <v>31</v>
      </c>
      <c r="H1084" s="24" t="s">
        <v>890</v>
      </c>
      <c r="I1084" s="24" t="s">
        <v>10839</v>
      </c>
      <c r="J1084" s="24" t="s">
        <v>10840</v>
      </c>
      <c r="K1084" s="24"/>
      <c r="L1084" s="24" t="s">
        <v>52</v>
      </c>
      <c r="M1084" s="15"/>
      <c r="N1084" s="15"/>
      <c r="O1084" s="15"/>
      <c r="P1084" s="15" t="s">
        <v>8919</v>
      </c>
      <c r="Q1084" s="15"/>
      <c r="R1084" s="15" t="s">
        <v>10841</v>
      </c>
      <c r="S1084" s="24" t="s">
        <v>39</v>
      </c>
      <c r="T1084" s="24" t="s">
        <v>39</v>
      </c>
      <c r="U1084" s="24" t="s">
        <v>39</v>
      </c>
      <c r="V1084" s="24" t="s">
        <v>39</v>
      </c>
      <c r="W1084" s="24"/>
      <c r="X1084" s="24"/>
      <c r="Y1084" s="15"/>
      <c r="Z1084" s="15"/>
      <c r="AA1084" s="24"/>
      <c r="AB1084" s="24"/>
      <c r="AC1084" s="24"/>
      <c r="AD1084" s="24"/>
      <c r="AE1084" s="24"/>
      <c r="AF1084" s="24"/>
      <c r="AG1084" s="24"/>
      <c r="AH1084" s="24"/>
    </row>
    <row r="1085" spans="1:34" ht="105" x14ac:dyDescent="0.25">
      <c r="A1085" s="24" t="str">
        <f>HYPERLINK("https://www.cpso.on.ca/DoctorDetails/John-Sakae-Teshima/0056609-68197","Teshima, John Sakae")</f>
        <v>Teshima, John Sakae</v>
      </c>
      <c r="B1085" s="25" t="s">
        <v>10842</v>
      </c>
      <c r="C1085" s="24" t="s">
        <v>1669</v>
      </c>
      <c r="D1085" s="24" t="s">
        <v>1670</v>
      </c>
      <c r="E1085" s="24" t="s">
        <v>29</v>
      </c>
      <c r="F1085" s="24" t="s">
        <v>30</v>
      </c>
      <c r="G1085" s="24" t="s">
        <v>31</v>
      </c>
      <c r="H1085" s="24" t="s">
        <v>1671</v>
      </c>
      <c r="I1085" s="24" t="s">
        <v>10843</v>
      </c>
      <c r="J1085" s="24" t="s">
        <v>10844</v>
      </c>
      <c r="K1085" s="24" t="s">
        <v>4908</v>
      </c>
      <c r="L1085" s="24" t="s">
        <v>52</v>
      </c>
      <c r="M1085" s="15" t="s">
        <v>10845</v>
      </c>
      <c r="N1085" s="15"/>
      <c r="O1085" s="15" t="s">
        <v>10846</v>
      </c>
      <c r="P1085" s="15" t="s">
        <v>1677</v>
      </c>
      <c r="Q1085" s="15" t="s">
        <v>10847</v>
      </c>
      <c r="R1085" s="15" t="s">
        <v>1679</v>
      </c>
      <c r="S1085" s="24" t="s">
        <v>39</v>
      </c>
      <c r="T1085" s="24" t="s">
        <v>39</v>
      </c>
      <c r="U1085" s="24" t="s">
        <v>39</v>
      </c>
      <c r="V1085" s="24" t="s">
        <v>39</v>
      </c>
      <c r="W1085" s="24"/>
      <c r="X1085" s="24"/>
      <c r="Y1085" s="15"/>
      <c r="Z1085" s="15"/>
      <c r="AA1085" s="24"/>
      <c r="AB1085" s="24"/>
      <c r="AC1085" s="24"/>
      <c r="AD1085" s="24"/>
      <c r="AE1085" s="24"/>
      <c r="AF1085" s="24"/>
      <c r="AG1085" s="24"/>
      <c r="AH1085" s="24"/>
    </row>
    <row r="1086" spans="1:34" ht="30" x14ac:dyDescent="0.25">
      <c r="A1086" s="24" t="str">
        <f>HYPERLINK("https://www.cpso.on.ca/DoctorDetails/John-Spencer-Leverette/0021822-26611","Leverette, John Spencer")</f>
        <v>Leverette, John Spencer</v>
      </c>
      <c r="B1086" s="25" t="s">
        <v>10848</v>
      </c>
      <c r="C1086" s="24" t="s">
        <v>10849</v>
      </c>
      <c r="D1086" s="24" t="s">
        <v>10850</v>
      </c>
      <c r="E1086" s="24" t="s">
        <v>29</v>
      </c>
      <c r="F1086" s="24" t="s">
        <v>30</v>
      </c>
      <c r="G1086" s="24" t="s">
        <v>31</v>
      </c>
      <c r="H1086" s="24" t="s">
        <v>10816</v>
      </c>
      <c r="I1086" s="24" t="s">
        <v>10851</v>
      </c>
      <c r="J1086" s="24" t="s">
        <v>10852</v>
      </c>
      <c r="K1086" s="24" t="s">
        <v>10853</v>
      </c>
      <c r="L1086" s="24" t="s">
        <v>340</v>
      </c>
      <c r="M1086" s="15"/>
      <c r="N1086" s="15"/>
      <c r="O1086" s="15" t="s">
        <v>1122</v>
      </c>
      <c r="P1086" s="15" t="s">
        <v>10854</v>
      </c>
      <c r="Q1086" s="15"/>
      <c r="R1086" s="15" t="s">
        <v>10855</v>
      </c>
      <c r="S1086" s="24" t="s">
        <v>39</v>
      </c>
      <c r="T1086" s="24" t="s">
        <v>39</v>
      </c>
      <c r="U1086" s="24" t="s">
        <v>39</v>
      </c>
      <c r="V1086" s="24" t="s">
        <v>39</v>
      </c>
      <c r="W1086" s="24"/>
      <c r="X1086" s="24"/>
      <c r="Y1086" s="15"/>
      <c r="Z1086" s="15"/>
      <c r="AA1086" s="24"/>
      <c r="AB1086" s="24"/>
      <c r="AC1086" s="24"/>
      <c r="AD1086" s="24"/>
      <c r="AE1086" s="24"/>
      <c r="AF1086" s="24"/>
      <c r="AG1086" s="24"/>
      <c r="AH1086" s="24"/>
    </row>
    <row r="1087" spans="1:34" ht="45" x14ac:dyDescent="0.25">
      <c r="A1087" s="24" t="str">
        <f>HYPERLINK("https://www.cpso.on.ca/DoctorDetails/John-Stuart-Strauss/0051243-65222","Strauss, John Stuart")</f>
        <v>Strauss, John Stuart</v>
      </c>
      <c r="B1087" s="25" t="s">
        <v>10856</v>
      </c>
      <c r="C1087" s="24" t="s">
        <v>10857</v>
      </c>
      <c r="D1087" s="24" t="s">
        <v>10858</v>
      </c>
      <c r="E1087" s="24" t="s">
        <v>29</v>
      </c>
      <c r="F1087" s="24" t="s">
        <v>30</v>
      </c>
      <c r="G1087" s="24" t="s">
        <v>31</v>
      </c>
      <c r="H1087" s="24" t="s">
        <v>298</v>
      </c>
      <c r="I1087" s="24" t="s">
        <v>10859</v>
      </c>
      <c r="J1087" s="24" t="s">
        <v>10860</v>
      </c>
      <c r="K1087" s="24" t="s">
        <v>5642</v>
      </c>
      <c r="L1087" s="24" t="s">
        <v>52</v>
      </c>
      <c r="M1087" s="15"/>
      <c r="N1087" s="15"/>
      <c r="O1087" s="15" t="s">
        <v>981</v>
      </c>
      <c r="P1087" s="15" t="s">
        <v>10861</v>
      </c>
      <c r="Q1087" s="15" t="s">
        <v>10862</v>
      </c>
      <c r="R1087" s="15" t="s">
        <v>10863</v>
      </c>
      <c r="S1087" s="24" t="s">
        <v>39</v>
      </c>
      <c r="T1087" s="24" t="s">
        <v>39</v>
      </c>
      <c r="U1087" s="24" t="s">
        <v>39</v>
      </c>
      <c r="V1087" s="24" t="s">
        <v>39</v>
      </c>
      <c r="W1087" s="24" t="s">
        <v>10864</v>
      </c>
      <c r="X1087" s="24" t="s">
        <v>10865</v>
      </c>
      <c r="Y1087" s="15" t="s">
        <v>10866</v>
      </c>
      <c r="Z1087" s="15" t="s">
        <v>10867</v>
      </c>
      <c r="AA1087" s="24"/>
      <c r="AB1087" s="24"/>
      <c r="AC1087" s="24"/>
      <c r="AD1087" s="24"/>
      <c r="AE1087" s="24"/>
      <c r="AF1087" s="24"/>
      <c r="AG1087" s="24"/>
      <c r="AH1087" s="24"/>
    </row>
    <row r="1088" spans="1:34" ht="105" x14ac:dyDescent="0.25">
      <c r="A1088" s="24" t="str">
        <f>HYPERLINK("https://www.cpso.on.ca/DoctorDetails/John-Thomas-Maher/0057340-68928","Maher, John Thomas")</f>
        <v>Maher, John Thomas</v>
      </c>
      <c r="B1088" s="25" t="s">
        <v>10868</v>
      </c>
      <c r="C1088" s="24" t="s">
        <v>10869</v>
      </c>
      <c r="D1088" s="24" t="s">
        <v>10870</v>
      </c>
      <c r="E1088" s="24" t="s">
        <v>29</v>
      </c>
      <c r="F1088" s="24" t="s">
        <v>30</v>
      </c>
      <c r="G1088" s="24" t="s">
        <v>31</v>
      </c>
      <c r="H1088" s="24" t="s">
        <v>3932</v>
      </c>
      <c r="I1088" s="24" t="s">
        <v>10871</v>
      </c>
      <c r="J1088" s="24" t="s">
        <v>10872</v>
      </c>
      <c r="K1088" s="24" t="s">
        <v>10873</v>
      </c>
      <c r="L1088" s="24" t="s">
        <v>36</v>
      </c>
      <c r="M1088" s="15"/>
      <c r="N1088" s="15"/>
      <c r="O1088" s="15"/>
      <c r="P1088" s="15" t="s">
        <v>10861</v>
      </c>
      <c r="Q1088" s="15" t="s">
        <v>10874</v>
      </c>
      <c r="R1088" s="15" t="s">
        <v>10875</v>
      </c>
      <c r="S1088" s="24" t="s">
        <v>39</v>
      </c>
      <c r="T1088" s="24" t="s">
        <v>39</v>
      </c>
      <c r="U1088" s="24" t="s">
        <v>39</v>
      </c>
      <c r="V1088" s="24" t="s">
        <v>39</v>
      </c>
      <c r="W1088" s="24"/>
      <c r="X1088" s="24"/>
      <c r="Y1088" s="15"/>
      <c r="Z1088" s="15"/>
      <c r="AA1088" s="24"/>
      <c r="AB1088" s="24"/>
      <c r="AC1088" s="24"/>
      <c r="AD1088" s="24"/>
      <c r="AE1088" s="24"/>
      <c r="AF1088" s="24"/>
      <c r="AG1088" s="24"/>
      <c r="AH1088" s="24"/>
    </row>
    <row r="1089" spans="1:34" ht="60" x14ac:dyDescent="0.25">
      <c r="A1089" s="24" t="str">
        <f>HYPERLINK("https://www.cpso.on.ca/DoctorDetails/John-Thomas-Salvendy/0018900-23687","Salvendy, John Thomas")</f>
        <v>Salvendy, John Thomas</v>
      </c>
      <c r="B1089" s="25" t="s">
        <v>10876</v>
      </c>
      <c r="C1089" s="24" t="s">
        <v>10877</v>
      </c>
      <c r="D1089" s="24" t="s">
        <v>10878</v>
      </c>
      <c r="E1089" s="24" t="s">
        <v>29</v>
      </c>
      <c r="F1089" s="24" t="s">
        <v>30</v>
      </c>
      <c r="G1089" s="24" t="s">
        <v>6608</v>
      </c>
      <c r="H1089" s="24" t="s">
        <v>10879</v>
      </c>
      <c r="I1089" s="24" t="s">
        <v>10880</v>
      </c>
      <c r="J1089" s="24" t="s">
        <v>10881</v>
      </c>
      <c r="K1089" s="24"/>
      <c r="L1089" s="24" t="s">
        <v>52</v>
      </c>
      <c r="M1089" s="15"/>
      <c r="N1089" s="15"/>
      <c r="O1089" s="15"/>
      <c r="P1089" s="15" t="s">
        <v>10882</v>
      </c>
      <c r="Q1089" s="15"/>
      <c r="R1089" s="15" t="s">
        <v>10883</v>
      </c>
      <c r="S1089" s="24" t="s">
        <v>39</v>
      </c>
      <c r="T1089" s="24" t="s">
        <v>39</v>
      </c>
      <c r="U1089" s="24" t="s">
        <v>39</v>
      </c>
      <c r="V1089" s="24" t="s">
        <v>39</v>
      </c>
      <c r="W1089" s="24" t="s">
        <v>10884</v>
      </c>
      <c r="X1089" s="24" t="s">
        <v>10885</v>
      </c>
      <c r="Y1089" s="15" t="s">
        <v>10886</v>
      </c>
      <c r="Z1089" s="15" t="s">
        <v>10887</v>
      </c>
      <c r="AA1089" s="24"/>
      <c r="AB1089" s="24"/>
      <c r="AC1089" s="24"/>
      <c r="AD1089" s="24"/>
      <c r="AE1089" s="24"/>
      <c r="AF1089" s="24"/>
      <c r="AG1089" s="24"/>
      <c r="AH1089" s="24"/>
    </row>
    <row r="1090" spans="1:34" x14ac:dyDescent="0.25">
      <c r="A1090" s="24" t="str">
        <f>HYPERLINK("https://www.cpso.on.ca/DoctorDetails/John-Warden-McCormick/0020813-25601","McCormick, John Warden")</f>
        <v>McCormick, John Warden</v>
      </c>
      <c r="B1090" s="25" t="s">
        <v>10888</v>
      </c>
      <c r="C1090" s="24" t="s">
        <v>10889</v>
      </c>
      <c r="D1090" s="24" t="s">
        <v>10890</v>
      </c>
      <c r="E1090" s="24" t="s">
        <v>29</v>
      </c>
      <c r="F1090" s="24" t="s">
        <v>30</v>
      </c>
      <c r="G1090" s="24" t="s">
        <v>31</v>
      </c>
      <c r="H1090" s="24" t="s">
        <v>7438</v>
      </c>
      <c r="I1090" s="24" t="s">
        <v>10891</v>
      </c>
      <c r="J1090" s="24" t="s">
        <v>10892</v>
      </c>
      <c r="K1090" s="24" t="s">
        <v>10893</v>
      </c>
      <c r="L1090" s="24" t="s">
        <v>52</v>
      </c>
      <c r="M1090" s="15"/>
      <c r="N1090" s="15" t="s">
        <v>1745</v>
      </c>
      <c r="O1090" s="15"/>
      <c r="P1090" s="15" t="s">
        <v>459</v>
      </c>
      <c r="Q1090" s="15"/>
      <c r="R1090" s="15" t="s">
        <v>10894</v>
      </c>
      <c r="S1090" s="24" t="s">
        <v>39</v>
      </c>
      <c r="T1090" s="24" t="s">
        <v>39</v>
      </c>
      <c r="U1090" s="24" t="s">
        <v>39</v>
      </c>
      <c r="V1090" s="24" t="s">
        <v>39</v>
      </c>
      <c r="W1090" s="24"/>
      <c r="X1090" s="24"/>
      <c r="Y1090" s="15"/>
      <c r="Z1090" s="15"/>
      <c r="AA1090" s="24"/>
      <c r="AB1090" s="24"/>
      <c r="AC1090" s="24"/>
      <c r="AD1090" s="24"/>
      <c r="AE1090" s="24"/>
      <c r="AF1090" s="24"/>
      <c r="AG1090" s="24"/>
      <c r="AH1090" s="24"/>
    </row>
    <row r="1091" spans="1:34" ht="30" x14ac:dyDescent="0.25">
      <c r="A1091" s="24" t="str">
        <f>HYPERLINK("https://www.cpso.on.ca/DoctorDetails/John-William-ORiordan/0040859-54835","O'Riordan, John William")</f>
        <v>O'Riordan, John William</v>
      </c>
      <c r="B1091" s="25" t="s">
        <v>10895</v>
      </c>
      <c r="C1091" s="24" t="s">
        <v>10896</v>
      </c>
      <c r="D1091" s="24" t="s">
        <v>10897</v>
      </c>
      <c r="E1091" s="24" t="s">
        <v>29</v>
      </c>
      <c r="F1091" s="24" t="s">
        <v>30</v>
      </c>
      <c r="G1091" s="24" t="s">
        <v>31</v>
      </c>
      <c r="H1091" s="24" t="s">
        <v>7332</v>
      </c>
      <c r="I1091" s="24" t="s">
        <v>10898</v>
      </c>
      <c r="J1091" s="24" t="s">
        <v>5104</v>
      </c>
      <c r="K1091" s="24" t="s">
        <v>5105</v>
      </c>
      <c r="L1091" s="24" t="s">
        <v>36</v>
      </c>
      <c r="M1091" s="15"/>
      <c r="N1091" s="15"/>
      <c r="O1091" s="15" t="s">
        <v>972</v>
      </c>
      <c r="P1091" s="15" t="s">
        <v>3443</v>
      </c>
      <c r="Q1091" s="15"/>
      <c r="R1091" s="15" t="s">
        <v>10899</v>
      </c>
      <c r="S1091" s="24" t="s">
        <v>39</v>
      </c>
      <c r="T1091" s="24" t="s">
        <v>39</v>
      </c>
      <c r="U1091" s="24" t="s">
        <v>39</v>
      </c>
      <c r="V1091" s="24" t="s">
        <v>39</v>
      </c>
      <c r="W1091" s="24"/>
      <c r="X1091" s="24"/>
      <c r="Y1091" s="15"/>
      <c r="Z1091" s="15"/>
      <c r="AA1091" s="24"/>
      <c r="AB1091" s="24"/>
      <c r="AC1091" s="24"/>
      <c r="AD1091" s="24"/>
      <c r="AE1091" s="24"/>
      <c r="AF1091" s="24"/>
      <c r="AG1091" s="24"/>
      <c r="AH1091" s="24"/>
    </row>
    <row r="1092" spans="1:34" ht="45" x14ac:dyDescent="0.25">
      <c r="A1092" s="24" t="str">
        <f>HYPERLINK("https://www.cpso.on.ca/DoctorDetails/Jon-Scott-Novick/0218008-82050","Novick, Jon Scott")</f>
        <v>Novick, Jon Scott</v>
      </c>
      <c r="B1092" s="25" t="s">
        <v>10900</v>
      </c>
      <c r="C1092" s="24" t="s">
        <v>10901</v>
      </c>
      <c r="D1092" s="24" t="s">
        <v>10902</v>
      </c>
      <c r="E1092" s="24" t="s">
        <v>29</v>
      </c>
      <c r="F1092" s="24" t="s">
        <v>30</v>
      </c>
      <c r="G1092" s="24" t="s">
        <v>813</v>
      </c>
      <c r="H1092" s="24" t="s">
        <v>10903</v>
      </c>
      <c r="I1092" s="24" t="s">
        <v>10904</v>
      </c>
      <c r="J1092" s="24" t="s">
        <v>10905</v>
      </c>
      <c r="K1092" s="24" t="s">
        <v>10906</v>
      </c>
      <c r="L1092" s="24" t="s">
        <v>52</v>
      </c>
      <c r="M1092" s="15" t="s">
        <v>10907</v>
      </c>
      <c r="N1092" s="15" t="s">
        <v>1449</v>
      </c>
      <c r="O1092" s="15" t="s">
        <v>10908</v>
      </c>
      <c r="P1092" s="15" t="s">
        <v>1803</v>
      </c>
      <c r="Q1092" s="15"/>
      <c r="R1092" s="15" t="s">
        <v>10909</v>
      </c>
      <c r="S1092" s="24" t="s">
        <v>39</v>
      </c>
      <c r="T1092" s="24" t="s">
        <v>39</v>
      </c>
      <c r="U1092" s="24" t="s">
        <v>39</v>
      </c>
      <c r="V1092" s="24" t="s">
        <v>39</v>
      </c>
      <c r="W1092" s="24"/>
      <c r="X1092" s="24"/>
      <c r="Y1092" s="15"/>
      <c r="Z1092" s="15"/>
      <c r="AA1092" s="24"/>
      <c r="AB1092" s="24"/>
      <c r="AC1092" s="24"/>
      <c r="AD1092" s="24"/>
      <c r="AE1092" s="24"/>
      <c r="AF1092" s="24"/>
      <c r="AG1092" s="24"/>
      <c r="AH1092" s="24"/>
    </row>
    <row r="1093" spans="1:34" ht="150" x14ac:dyDescent="0.25">
      <c r="A1093" s="24" t="str">
        <f>HYPERLINK("https://www.cpso.on.ca/DoctorDetails/Jonathan-Brian-Crowson/0254407-90317","Crowson, Jonathan Brian")</f>
        <v>Crowson, Jonathan Brian</v>
      </c>
      <c r="B1093" s="25" t="s">
        <v>10910</v>
      </c>
      <c r="C1093" s="24" t="s">
        <v>10911</v>
      </c>
      <c r="D1093" s="24" t="s">
        <v>10912</v>
      </c>
      <c r="E1093" s="24" t="s">
        <v>29</v>
      </c>
      <c r="F1093" s="24" t="s">
        <v>30</v>
      </c>
      <c r="G1093" s="24" t="s">
        <v>31</v>
      </c>
      <c r="H1093" s="24" t="s">
        <v>10913</v>
      </c>
      <c r="I1093" s="24" t="s">
        <v>10914</v>
      </c>
      <c r="J1093" s="24" t="s">
        <v>574</v>
      </c>
      <c r="K1093" s="24"/>
      <c r="L1093" s="24" t="s">
        <v>184</v>
      </c>
      <c r="M1093" s="15"/>
      <c r="N1093" s="15"/>
      <c r="O1093" s="15" t="s">
        <v>1135</v>
      </c>
      <c r="P1093" s="15" t="s">
        <v>10915</v>
      </c>
      <c r="Q1093" s="15"/>
      <c r="R1093" s="15" t="s">
        <v>10916</v>
      </c>
      <c r="S1093" s="24" t="s">
        <v>71</v>
      </c>
      <c r="T1093" s="24" t="s">
        <v>39</v>
      </c>
      <c r="U1093" s="24" t="s">
        <v>39</v>
      </c>
      <c r="V1093" s="24" t="s">
        <v>39</v>
      </c>
      <c r="W1093" s="24" t="s">
        <v>10917</v>
      </c>
      <c r="X1093" s="24" t="s">
        <v>10918</v>
      </c>
      <c r="Y1093" s="15" t="s">
        <v>10919</v>
      </c>
      <c r="Z1093" s="15" t="s">
        <v>10920</v>
      </c>
      <c r="AA1093" s="24"/>
      <c r="AB1093" s="24"/>
      <c r="AC1093" s="24"/>
      <c r="AD1093" s="24"/>
      <c r="AE1093" s="24"/>
      <c r="AF1093" s="24"/>
      <c r="AG1093" s="24"/>
      <c r="AH1093" s="24"/>
    </row>
    <row r="1094" spans="1:34" ht="75" x14ac:dyDescent="0.25">
      <c r="A1094" s="24" t="str">
        <f>HYPERLINK("https://www.cpso.on.ca/DoctorDetails/Jonathan-Caro/0038776-52752","Caro, Jonathan")</f>
        <v>Caro, Jonathan</v>
      </c>
      <c r="B1094" s="25" t="s">
        <v>10921</v>
      </c>
      <c r="C1094" s="24" t="s">
        <v>10922</v>
      </c>
      <c r="D1094" s="24" t="s">
        <v>10923</v>
      </c>
      <c r="E1094" s="24" t="s">
        <v>29</v>
      </c>
      <c r="F1094" s="24" t="s">
        <v>30</v>
      </c>
      <c r="G1094" s="24" t="s">
        <v>813</v>
      </c>
      <c r="H1094" s="24" t="s">
        <v>10924</v>
      </c>
      <c r="I1094" s="24" t="s">
        <v>10925</v>
      </c>
      <c r="J1094" s="24" t="s">
        <v>10926</v>
      </c>
      <c r="K1094" s="24"/>
      <c r="L1094" s="24" t="s">
        <v>52</v>
      </c>
      <c r="M1094" s="15"/>
      <c r="N1094" s="15"/>
      <c r="O1094" s="15"/>
      <c r="P1094" s="15" t="s">
        <v>2908</v>
      </c>
      <c r="Q1094" s="15" t="s">
        <v>10927</v>
      </c>
      <c r="R1094" s="15" t="s">
        <v>10928</v>
      </c>
      <c r="S1094" s="24" t="s">
        <v>39</v>
      </c>
      <c r="T1094" s="24" t="s">
        <v>71</v>
      </c>
      <c r="U1094" s="24" t="s">
        <v>39</v>
      </c>
      <c r="V1094" s="24" t="s">
        <v>39</v>
      </c>
      <c r="W1094" s="24"/>
      <c r="X1094" s="24"/>
      <c r="Y1094" s="15"/>
      <c r="Z1094" s="15"/>
      <c r="AA1094" s="24"/>
      <c r="AB1094" s="24"/>
      <c r="AC1094" s="24"/>
      <c r="AD1094" s="24"/>
      <c r="AE1094" s="24"/>
      <c r="AF1094" s="24"/>
      <c r="AG1094" s="24"/>
      <c r="AH1094" s="24"/>
    </row>
    <row r="1095" spans="1:34" ht="105" x14ac:dyDescent="0.25">
      <c r="A1095" s="24" t="str">
        <f>HYPERLINK("https://www.cpso.on.ca/DoctorDetails/Jonathan-ChiaHo-Lee/0265908-92935","Lee, Jonathan Chia-Ho")</f>
        <v>Lee, Jonathan Chia-Ho</v>
      </c>
      <c r="B1095" s="25" t="s">
        <v>10929</v>
      </c>
      <c r="C1095" s="24" t="s">
        <v>570</v>
      </c>
      <c r="D1095" s="24" t="s">
        <v>10930</v>
      </c>
      <c r="E1095" s="24" t="s">
        <v>29</v>
      </c>
      <c r="F1095" s="24" t="s">
        <v>30</v>
      </c>
      <c r="G1095" s="24" t="s">
        <v>9242</v>
      </c>
      <c r="H1095" s="24" t="s">
        <v>10931</v>
      </c>
      <c r="I1095" s="24" t="s">
        <v>10932</v>
      </c>
      <c r="J1095" s="24" t="s">
        <v>10933</v>
      </c>
      <c r="K1095" s="24"/>
      <c r="L1095" s="24" t="s">
        <v>52</v>
      </c>
      <c r="M1095" s="15"/>
      <c r="N1095" s="15"/>
      <c r="O1095" s="15" t="s">
        <v>981</v>
      </c>
      <c r="P1095" s="15" t="s">
        <v>7167</v>
      </c>
      <c r="Q1095" s="15" t="s">
        <v>10934</v>
      </c>
      <c r="R1095" s="15" t="s">
        <v>10935</v>
      </c>
      <c r="S1095" s="24" t="s">
        <v>39</v>
      </c>
      <c r="T1095" s="24" t="s">
        <v>39</v>
      </c>
      <c r="U1095" s="24" t="s">
        <v>39</v>
      </c>
      <c r="V1095" s="24" t="s">
        <v>39</v>
      </c>
      <c r="W1095" s="24"/>
      <c r="X1095" s="24"/>
      <c r="Y1095" s="15"/>
      <c r="Z1095" s="15"/>
      <c r="AA1095" s="24"/>
      <c r="AB1095" s="24"/>
      <c r="AC1095" s="24"/>
      <c r="AD1095" s="24"/>
      <c r="AE1095" s="24"/>
      <c r="AF1095" s="24"/>
      <c r="AG1095" s="24"/>
      <c r="AH1095" s="24"/>
    </row>
    <row r="1096" spans="1:34" ht="90" x14ac:dyDescent="0.25">
      <c r="A1096" s="24" t="str">
        <f>HYPERLINK("https://www.cpso.on.ca/DoctorDetails/Jonathan-Darcy-OBrien/0273365-95572","O'Brien, Jonathan Darcy")</f>
        <v>O'Brien, Jonathan Darcy</v>
      </c>
      <c r="B1096" s="25" t="s">
        <v>10936</v>
      </c>
      <c r="C1096" s="24" t="s">
        <v>1266</v>
      </c>
      <c r="D1096" s="24" t="s">
        <v>967</v>
      </c>
      <c r="E1096" s="24" t="s">
        <v>29</v>
      </c>
      <c r="F1096" s="24" t="s">
        <v>30</v>
      </c>
      <c r="G1096" s="24" t="s">
        <v>31</v>
      </c>
      <c r="H1096" s="24" t="s">
        <v>10617</v>
      </c>
      <c r="I1096" s="24" t="s">
        <v>10937</v>
      </c>
      <c r="J1096" s="24" t="s">
        <v>10938</v>
      </c>
      <c r="K1096" s="24" t="s">
        <v>10939</v>
      </c>
      <c r="L1096" s="24" t="s">
        <v>52</v>
      </c>
      <c r="M1096" s="15"/>
      <c r="N1096" s="15"/>
      <c r="O1096" s="15" t="s">
        <v>10940</v>
      </c>
      <c r="P1096" s="15" t="s">
        <v>973</v>
      </c>
      <c r="Q1096" s="15" t="s">
        <v>10941</v>
      </c>
      <c r="R1096" s="15" t="s">
        <v>4059</v>
      </c>
      <c r="S1096" s="24" t="s">
        <v>39</v>
      </c>
      <c r="T1096" s="24" t="s">
        <v>39</v>
      </c>
      <c r="U1096" s="24" t="s">
        <v>39</v>
      </c>
      <c r="V1096" s="24" t="s">
        <v>39</v>
      </c>
      <c r="W1096" s="24"/>
      <c r="X1096" s="24"/>
      <c r="Y1096" s="15"/>
      <c r="Z1096" s="15"/>
      <c r="AA1096" s="24"/>
      <c r="AB1096" s="24"/>
      <c r="AC1096" s="24"/>
      <c r="AD1096" s="24"/>
      <c r="AE1096" s="24"/>
      <c r="AF1096" s="24"/>
      <c r="AG1096" s="24"/>
      <c r="AH1096" s="24"/>
    </row>
    <row r="1097" spans="1:34" ht="105" x14ac:dyDescent="0.25">
      <c r="A1097" s="24" t="str">
        <f>HYPERLINK("https://www.cpso.on.ca/DoctorDetails/Jonathan-Daryl-Beard/0260207-92213","Beard, Jonathan Daryl")</f>
        <v>Beard, Jonathan Daryl</v>
      </c>
      <c r="B1097" s="25" t="s">
        <v>10942</v>
      </c>
      <c r="C1097" s="24" t="s">
        <v>10943</v>
      </c>
      <c r="D1097" s="24" t="s">
        <v>10944</v>
      </c>
      <c r="E1097" s="24" t="s">
        <v>29</v>
      </c>
      <c r="F1097" s="24" t="s">
        <v>30</v>
      </c>
      <c r="G1097" s="24" t="s">
        <v>31</v>
      </c>
      <c r="H1097" s="24" t="s">
        <v>635</v>
      </c>
      <c r="I1097" s="24" t="s">
        <v>10945</v>
      </c>
      <c r="J1097" s="24" t="s">
        <v>10946</v>
      </c>
      <c r="K1097" s="24" t="s">
        <v>10947</v>
      </c>
      <c r="L1097" s="24" t="s">
        <v>36</v>
      </c>
      <c r="M1097" s="15" t="s">
        <v>10948</v>
      </c>
      <c r="N1097" s="15" t="s">
        <v>1449</v>
      </c>
      <c r="O1097" s="15" t="s">
        <v>653</v>
      </c>
      <c r="P1097" s="15" t="s">
        <v>10949</v>
      </c>
      <c r="Q1097" s="15"/>
      <c r="R1097" s="15" t="s">
        <v>10950</v>
      </c>
      <c r="S1097" s="24" t="s">
        <v>71</v>
      </c>
      <c r="T1097" s="24" t="s">
        <v>39</v>
      </c>
      <c r="U1097" s="24" t="s">
        <v>39</v>
      </c>
      <c r="V1097" s="24" t="s">
        <v>39</v>
      </c>
      <c r="W1097" s="24"/>
      <c r="X1097" s="24"/>
      <c r="Y1097" s="15"/>
      <c r="Z1097" s="15"/>
      <c r="AA1097" s="24"/>
      <c r="AB1097" s="24"/>
      <c r="AC1097" s="24"/>
      <c r="AD1097" s="24"/>
      <c r="AE1097" s="24"/>
      <c r="AF1097" s="24"/>
      <c r="AG1097" s="24"/>
      <c r="AH1097" s="24"/>
    </row>
    <row r="1098" spans="1:34" x14ac:dyDescent="0.25">
      <c r="A1098" s="24" t="str">
        <f>HYPERLINK("https://www.cpso.on.ca/DoctorDetails/Jonathan-David-Ennis/0022625-27416","Ennis, Jonathan David")</f>
        <v>Ennis, Jonathan David</v>
      </c>
      <c r="B1098" s="25" t="s">
        <v>10951</v>
      </c>
      <c r="C1098" s="24" t="s">
        <v>10952</v>
      </c>
      <c r="D1098" s="24" t="s">
        <v>10953</v>
      </c>
      <c r="E1098" s="24" t="s">
        <v>29</v>
      </c>
      <c r="F1098" s="24" t="s">
        <v>30</v>
      </c>
      <c r="G1098" s="24" t="s">
        <v>31</v>
      </c>
      <c r="H1098" s="24" t="s">
        <v>7012</v>
      </c>
      <c r="I1098" s="24" t="s">
        <v>10954</v>
      </c>
      <c r="J1098" s="24" t="s">
        <v>10955</v>
      </c>
      <c r="K1098" s="24" t="s">
        <v>10956</v>
      </c>
      <c r="L1098" s="24" t="s">
        <v>52</v>
      </c>
      <c r="M1098" s="15" t="s">
        <v>10957</v>
      </c>
      <c r="N1098" s="15"/>
      <c r="O1098" s="15"/>
      <c r="P1098" s="15" t="s">
        <v>5751</v>
      </c>
      <c r="Q1098" s="15"/>
      <c r="R1098" s="15" t="s">
        <v>10958</v>
      </c>
      <c r="S1098" s="24" t="s">
        <v>39</v>
      </c>
      <c r="T1098" s="24" t="s">
        <v>39</v>
      </c>
      <c r="U1098" s="24" t="s">
        <v>39</v>
      </c>
      <c r="V1098" s="24" t="s">
        <v>39</v>
      </c>
      <c r="W1098" s="24" t="s">
        <v>10959</v>
      </c>
      <c r="X1098" s="24" t="s">
        <v>10960</v>
      </c>
      <c r="Y1098" s="15" t="s">
        <v>10961</v>
      </c>
      <c r="Z1098" s="15" t="s">
        <v>10962</v>
      </c>
      <c r="AA1098" s="24"/>
      <c r="AB1098" s="24"/>
      <c r="AC1098" s="24"/>
      <c r="AD1098" s="24"/>
      <c r="AE1098" s="24"/>
      <c r="AF1098" s="24"/>
      <c r="AG1098" s="24"/>
      <c r="AH1098" s="24"/>
    </row>
    <row r="1099" spans="1:34" ht="120" x14ac:dyDescent="0.25">
      <c r="A1099" s="24" t="str">
        <f>HYPERLINK("https://www.cpso.on.ca/DoctorDetails/Jonathan-David-Gray/0181755-76143","Gray, Jonathan David")</f>
        <v>Gray, Jonathan David</v>
      </c>
      <c r="B1099" s="25" t="s">
        <v>10963</v>
      </c>
      <c r="C1099" s="24" t="s">
        <v>1130</v>
      </c>
      <c r="D1099" s="24" t="s">
        <v>4401</v>
      </c>
      <c r="E1099" s="24" t="s">
        <v>29</v>
      </c>
      <c r="F1099" s="24" t="s">
        <v>30</v>
      </c>
      <c r="G1099" s="24" t="s">
        <v>813</v>
      </c>
      <c r="H1099" s="24" t="s">
        <v>10964</v>
      </c>
      <c r="I1099" s="24" t="s">
        <v>10965</v>
      </c>
      <c r="J1099" s="24" t="s">
        <v>10966</v>
      </c>
      <c r="K1099" s="24" t="s">
        <v>6138</v>
      </c>
      <c r="L1099" s="24" t="s">
        <v>84</v>
      </c>
      <c r="M1099" s="15" t="s">
        <v>10967</v>
      </c>
      <c r="N1099" s="15"/>
      <c r="O1099" s="15" t="s">
        <v>3338</v>
      </c>
      <c r="P1099" s="15" t="s">
        <v>10968</v>
      </c>
      <c r="Q1099" s="15" t="s">
        <v>10969</v>
      </c>
      <c r="R1099" s="15" t="s">
        <v>4407</v>
      </c>
      <c r="S1099" s="24" t="s">
        <v>39</v>
      </c>
      <c r="T1099" s="24" t="s">
        <v>39</v>
      </c>
      <c r="U1099" s="24" t="s">
        <v>39</v>
      </c>
      <c r="V1099" s="24" t="s">
        <v>39</v>
      </c>
      <c r="W1099" s="24" t="s">
        <v>10970</v>
      </c>
      <c r="X1099" s="24" t="s">
        <v>10971</v>
      </c>
      <c r="Y1099" s="15" t="s">
        <v>10972</v>
      </c>
      <c r="Z1099" s="15" t="s">
        <v>10973</v>
      </c>
      <c r="AA1099" s="24"/>
      <c r="AB1099" s="24"/>
      <c r="AC1099" s="24"/>
      <c r="AD1099" s="24"/>
      <c r="AE1099" s="24"/>
      <c r="AF1099" s="24"/>
      <c r="AG1099" s="24"/>
      <c r="AH1099" s="24"/>
    </row>
    <row r="1100" spans="1:34" ht="75" x14ac:dyDescent="0.25">
      <c r="A1100" s="24" t="str">
        <f>HYPERLINK("https://www.cpso.on.ca/DoctorDetails/Jonathan-Downar/0223837-83026","Downar, Jonathan")</f>
        <v>Downar, Jonathan</v>
      </c>
      <c r="B1100" s="25" t="s">
        <v>10974</v>
      </c>
      <c r="C1100" s="24" t="s">
        <v>2342</v>
      </c>
      <c r="D1100" s="24" t="s">
        <v>2343</v>
      </c>
      <c r="E1100" s="24" t="s">
        <v>29</v>
      </c>
      <c r="F1100" s="24" t="s">
        <v>30</v>
      </c>
      <c r="G1100" s="24" t="s">
        <v>2047</v>
      </c>
      <c r="H1100" s="24" t="s">
        <v>10975</v>
      </c>
      <c r="I1100" s="24" t="s">
        <v>10976</v>
      </c>
      <c r="J1100" s="24" t="s">
        <v>10977</v>
      </c>
      <c r="K1100" s="24" t="s">
        <v>10978</v>
      </c>
      <c r="L1100" s="24" t="s">
        <v>52</v>
      </c>
      <c r="M1100" s="15"/>
      <c r="N1100" s="15"/>
      <c r="O1100" s="15" t="s">
        <v>10979</v>
      </c>
      <c r="P1100" s="15" t="s">
        <v>2348</v>
      </c>
      <c r="Q1100" s="15" t="s">
        <v>2349</v>
      </c>
      <c r="R1100" s="15" t="s">
        <v>2350</v>
      </c>
      <c r="S1100" s="24" t="s">
        <v>39</v>
      </c>
      <c r="T1100" s="24" t="s">
        <v>39</v>
      </c>
      <c r="U1100" s="24" t="s">
        <v>39</v>
      </c>
      <c r="V1100" s="24" t="s">
        <v>39</v>
      </c>
      <c r="W1100" s="24" t="s">
        <v>10980</v>
      </c>
      <c r="X1100" s="24" t="s">
        <v>9601</v>
      </c>
      <c r="Y1100" s="15" t="s">
        <v>10981</v>
      </c>
      <c r="Z1100" s="15" t="s">
        <v>10982</v>
      </c>
      <c r="AA1100" s="24"/>
      <c r="AB1100" s="24"/>
      <c r="AC1100" s="24"/>
      <c r="AD1100" s="24"/>
      <c r="AE1100" s="24"/>
      <c r="AF1100" s="24"/>
      <c r="AG1100" s="24"/>
      <c r="AH1100" s="24"/>
    </row>
    <row r="1101" spans="1:34" ht="60" x14ac:dyDescent="0.25">
      <c r="A1101" s="24" t="str">
        <f>HYPERLINK("https://www.cpso.on.ca/DoctorDetails/Jonathan-Howard-Rootenberg/0053227-67193","Rootenberg, Jonathan Howard")</f>
        <v>Rootenberg, Jonathan Howard</v>
      </c>
      <c r="B1101" s="25" t="s">
        <v>10983</v>
      </c>
      <c r="C1101" s="24" t="s">
        <v>10984</v>
      </c>
      <c r="D1101" s="24" t="s">
        <v>8676</v>
      </c>
      <c r="E1101" s="24" t="s">
        <v>29</v>
      </c>
      <c r="F1101" s="24" t="s">
        <v>30</v>
      </c>
      <c r="G1101" s="24" t="s">
        <v>31</v>
      </c>
      <c r="H1101" s="24" t="s">
        <v>10985</v>
      </c>
      <c r="I1101" s="24" t="s">
        <v>10986</v>
      </c>
      <c r="J1101" s="24" t="s">
        <v>10987</v>
      </c>
      <c r="K1101" s="24" t="s">
        <v>10988</v>
      </c>
      <c r="L1101" s="24" t="s">
        <v>52</v>
      </c>
      <c r="M1101" s="15" t="s">
        <v>10989</v>
      </c>
      <c r="N1101" s="15" t="s">
        <v>66</v>
      </c>
      <c r="O1101" s="15" t="s">
        <v>842</v>
      </c>
      <c r="P1101" s="15" t="s">
        <v>10990</v>
      </c>
      <c r="Q1101" s="15"/>
      <c r="R1101" s="15" t="s">
        <v>10991</v>
      </c>
      <c r="S1101" s="24" t="s">
        <v>39</v>
      </c>
      <c r="T1101" s="24" t="s">
        <v>39</v>
      </c>
      <c r="U1101" s="24" t="s">
        <v>39</v>
      </c>
      <c r="V1101" s="24" t="s">
        <v>39</v>
      </c>
      <c r="W1101" s="24" t="s">
        <v>10992</v>
      </c>
      <c r="X1101" s="24" t="s">
        <v>10993</v>
      </c>
      <c r="Y1101" s="15" t="s">
        <v>10994</v>
      </c>
      <c r="Z1101" s="15" t="s">
        <v>10995</v>
      </c>
      <c r="AA1101" s="24"/>
      <c r="AB1101" s="24"/>
      <c r="AC1101" s="24"/>
      <c r="AD1101" s="24"/>
      <c r="AE1101" s="24"/>
      <c r="AF1101" s="24"/>
      <c r="AG1101" s="24"/>
      <c r="AH1101" s="24"/>
    </row>
    <row r="1102" spans="1:34" ht="90" x14ac:dyDescent="0.25">
      <c r="A1102" s="24" t="str">
        <f>HYPERLINK("https://www.cpso.on.ca/DoctorDetails/Jonathan-Joel-Hunter/0040246-54222","Hunter, Jonathan Joel")</f>
        <v>Hunter, Jonathan Joel</v>
      </c>
      <c r="B1102" s="25" t="s">
        <v>10996</v>
      </c>
      <c r="C1102" s="24" t="s">
        <v>3450</v>
      </c>
      <c r="D1102" s="24" t="s">
        <v>10997</v>
      </c>
      <c r="E1102" s="24" t="s">
        <v>29</v>
      </c>
      <c r="F1102" s="24" t="s">
        <v>30</v>
      </c>
      <c r="G1102" s="24" t="s">
        <v>31</v>
      </c>
      <c r="H1102" s="24" t="s">
        <v>3452</v>
      </c>
      <c r="I1102" s="24" t="s">
        <v>10998</v>
      </c>
      <c r="J1102" s="24" t="s">
        <v>10999</v>
      </c>
      <c r="K1102" s="24" t="s">
        <v>1528</v>
      </c>
      <c r="L1102" s="24" t="s">
        <v>52</v>
      </c>
      <c r="M1102" s="15"/>
      <c r="N1102" s="15"/>
      <c r="O1102" s="15" t="s">
        <v>11000</v>
      </c>
      <c r="P1102" s="15" t="s">
        <v>2416</v>
      </c>
      <c r="Q1102" s="15" t="s">
        <v>11001</v>
      </c>
      <c r="R1102" s="15" t="s">
        <v>11002</v>
      </c>
      <c r="S1102" s="24" t="s">
        <v>39</v>
      </c>
      <c r="T1102" s="24" t="s">
        <v>39</v>
      </c>
      <c r="U1102" s="24" t="s">
        <v>39</v>
      </c>
      <c r="V1102" s="24" t="s">
        <v>39</v>
      </c>
      <c r="W1102" s="24" t="s">
        <v>11003</v>
      </c>
      <c r="X1102" s="24" t="s">
        <v>11004</v>
      </c>
      <c r="Y1102" s="15" t="s">
        <v>11005</v>
      </c>
      <c r="Z1102" s="15" t="s">
        <v>11006</v>
      </c>
      <c r="AA1102" s="24"/>
      <c r="AB1102" s="24"/>
      <c r="AC1102" s="24"/>
      <c r="AD1102" s="24"/>
      <c r="AE1102" s="24"/>
      <c r="AF1102" s="24"/>
      <c r="AG1102" s="24"/>
      <c r="AH1102" s="24"/>
    </row>
    <row r="1103" spans="1:34" ht="75" x14ac:dyDescent="0.25">
      <c r="A1103" s="24" t="str">
        <f>HYPERLINK("https://www.cpso.on.ca/DoctorDetails/Jonathan-Kalouymus-Briskin/0209015-81692","Briskin, Jonathan Kalouymus")</f>
        <v>Briskin, Jonathan Kalouymus</v>
      </c>
      <c r="B1103" s="25" t="s">
        <v>11007</v>
      </c>
      <c r="C1103" s="24" t="s">
        <v>11008</v>
      </c>
      <c r="D1103" s="24" t="s">
        <v>11009</v>
      </c>
      <c r="E1103" s="24" t="s">
        <v>29</v>
      </c>
      <c r="F1103" s="24" t="s">
        <v>30</v>
      </c>
      <c r="G1103" s="24" t="s">
        <v>31</v>
      </c>
      <c r="H1103" s="24" t="s">
        <v>11010</v>
      </c>
      <c r="I1103" s="24" t="s">
        <v>11011</v>
      </c>
      <c r="J1103" s="24" t="s">
        <v>11012</v>
      </c>
      <c r="K1103" s="24" t="s">
        <v>11013</v>
      </c>
      <c r="L1103" s="24" t="s">
        <v>184</v>
      </c>
      <c r="M1103" s="15"/>
      <c r="N1103" s="15"/>
      <c r="O1103" s="15" t="s">
        <v>6884</v>
      </c>
      <c r="P1103" s="15" t="s">
        <v>11014</v>
      </c>
      <c r="Q1103" s="15"/>
      <c r="R1103" s="15" t="s">
        <v>11015</v>
      </c>
      <c r="S1103" s="24" t="s">
        <v>39</v>
      </c>
      <c r="T1103" s="24" t="s">
        <v>39</v>
      </c>
      <c r="U1103" s="24" t="s">
        <v>39</v>
      </c>
      <c r="V1103" s="24" t="s">
        <v>39</v>
      </c>
      <c r="W1103" s="24" t="s">
        <v>11016</v>
      </c>
      <c r="X1103" s="24" t="s">
        <v>11017</v>
      </c>
      <c r="Y1103" s="15" t="s">
        <v>11018</v>
      </c>
      <c r="Z1103" s="15" t="s">
        <v>11019</v>
      </c>
      <c r="AA1103" s="24"/>
      <c r="AB1103" s="24"/>
      <c r="AC1103" s="24"/>
      <c r="AD1103" s="24"/>
      <c r="AE1103" s="24"/>
      <c r="AF1103" s="24"/>
      <c r="AG1103" s="24"/>
      <c r="AH1103" s="24"/>
    </row>
    <row r="1104" spans="1:34" x14ac:dyDescent="0.25">
      <c r="A1104" s="24" t="str">
        <f>HYPERLINK("https://www.cpso.on.ca/DoctorDetails/Jonathan-Robert-Simon/0028162-32985","Simon, Jonathan Robert")</f>
        <v>Simon, Jonathan Robert</v>
      </c>
      <c r="B1104" s="25" t="s">
        <v>11020</v>
      </c>
      <c r="C1104" s="24" t="s">
        <v>11021</v>
      </c>
      <c r="D1104" s="24" t="s">
        <v>11022</v>
      </c>
      <c r="E1104" s="24" t="s">
        <v>29</v>
      </c>
      <c r="F1104" s="24" t="s">
        <v>30</v>
      </c>
      <c r="G1104" s="24" t="s">
        <v>31</v>
      </c>
      <c r="H1104" s="24" t="s">
        <v>2455</v>
      </c>
      <c r="I1104" s="24" t="s">
        <v>5907</v>
      </c>
      <c r="J1104" s="24" t="s">
        <v>11023</v>
      </c>
      <c r="K1104" s="24"/>
      <c r="L1104" s="24" t="s">
        <v>84</v>
      </c>
      <c r="M1104" s="15"/>
      <c r="N1104" s="15"/>
      <c r="O1104" s="15"/>
      <c r="P1104" s="15" t="s">
        <v>8792</v>
      </c>
      <c r="Q1104" s="15"/>
      <c r="R1104" s="15" t="s">
        <v>11024</v>
      </c>
      <c r="S1104" s="24" t="s">
        <v>39</v>
      </c>
      <c r="T1104" s="24" t="s">
        <v>39</v>
      </c>
      <c r="U1104" s="24" t="s">
        <v>39</v>
      </c>
      <c r="V1104" s="24" t="s">
        <v>39</v>
      </c>
      <c r="W1104" s="24"/>
      <c r="X1104" s="24"/>
      <c r="Y1104" s="15"/>
      <c r="Z1104" s="15"/>
      <c r="AA1104" s="24"/>
      <c r="AB1104" s="24"/>
      <c r="AC1104" s="24"/>
      <c r="AD1104" s="24"/>
      <c r="AE1104" s="24"/>
      <c r="AF1104" s="24"/>
      <c r="AG1104" s="24"/>
      <c r="AH1104" s="24"/>
    </row>
    <row r="1105" spans="1:34" ht="45" x14ac:dyDescent="0.25">
      <c r="A1105" s="24" t="str">
        <f>HYPERLINK("https://www.cpso.on.ca/DoctorDetails/Jonathan-Roy-Pulman/0039788-53764","Pulman, Jonathan Roy")</f>
        <v>Pulman, Jonathan Roy</v>
      </c>
      <c r="B1105" s="25" t="s">
        <v>11025</v>
      </c>
      <c r="C1105" s="24" t="s">
        <v>11026</v>
      </c>
      <c r="D1105" s="24" t="s">
        <v>11027</v>
      </c>
      <c r="E1105" s="24" t="s">
        <v>29</v>
      </c>
      <c r="F1105" s="24" t="s">
        <v>30</v>
      </c>
      <c r="G1105" s="24" t="s">
        <v>31</v>
      </c>
      <c r="H1105" s="24" t="s">
        <v>11028</v>
      </c>
      <c r="I1105" s="24" t="s">
        <v>11029</v>
      </c>
      <c r="J1105" s="24" t="s">
        <v>7751</v>
      </c>
      <c r="K1105" s="24" t="s">
        <v>945</v>
      </c>
      <c r="L1105" s="24" t="s">
        <v>84</v>
      </c>
      <c r="M1105" s="15" t="s">
        <v>11030</v>
      </c>
      <c r="N1105" s="15"/>
      <c r="O1105" s="15"/>
      <c r="P1105" s="15" t="s">
        <v>7327</v>
      </c>
      <c r="Q1105" s="15"/>
      <c r="R1105" s="15" t="s">
        <v>11031</v>
      </c>
      <c r="S1105" s="24" t="s">
        <v>39</v>
      </c>
      <c r="T1105" s="24" t="s">
        <v>39</v>
      </c>
      <c r="U1105" s="24" t="s">
        <v>39</v>
      </c>
      <c r="V1105" s="24" t="s">
        <v>39</v>
      </c>
      <c r="W1105" s="24" t="s">
        <v>11032</v>
      </c>
      <c r="X1105" s="24" t="s">
        <v>11033</v>
      </c>
      <c r="Y1105" s="15" t="s">
        <v>11034</v>
      </c>
      <c r="Z1105" s="15" t="s">
        <v>11035</v>
      </c>
      <c r="AA1105" s="24"/>
      <c r="AB1105" s="24"/>
      <c r="AC1105" s="24"/>
      <c r="AD1105" s="24"/>
      <c r="AE1105" s="24"/>
      <c r="AF1105" s="24"/>
      <c r="AG1105" s="24"/>
      <c r="AH1105" s="24"/>
    </row>
    <row r="1106" spans="1:34" ht="75" x14ac:dyDescent="0.25">
      <c r="A1106" s="24" t="str">
        <f>HYPERLINK("https://www.cpso.on.ca/DoctorDetails/Jonathan-Stanley-Davine/0027638-32461","Davine, Jonathan Stanley")</f>
        <v>Davine, Jonathan Stanley</v>
      </c>
      <c r="B1106" s="25" t="s">
        <v>11036</v>
      </c>
      <c r="C1106" s="24" t="s">
        <v>1294</v>
      </c>
      <c r="D1106" s="24" t="s">
        <v>1295</v>
      </c>
      <c r="E1106" s="24" t="s">
        <v>29</v>
      </c>
      <c r="F1106" s="24" t="s">
        <v>30</v>
      </c>
      <c r="G1106" s="24" t="s">
        <v>813</v>
      </c>
      <c r="H1106" s="24" t="s">
        <v>11037</v>
      </c>
      <c r="I1106" s="24" t="s">
        <v>11038</v>
      </c>
      <c r="J1106" s="24" t="s">
        <v>11039</v>
      </c>
      <c r="K1106" s="24" t="s">
        <v>11040</v>
      </c>
      <c r="L1106" s="24" t="s">
        <v>184</v>
      </c>
      <c r="M1106" s="15" t="s">
        <v>11041</v>
      </c>
      <c r="N1106" s="15"/>
      <c r="O1106" s="15" t="s">
        <v>10229</v>
      </c>
      <c r="P1106" s="15" t="s">
        <v>11042</v>
      </c>
      <c r="Q1106" s="15"/>
      <c r="R1106" s="15" t="s">
        <v>11043</v>
      </c>
      <c r="S1106" s="24" t="s">
        <v>39</v>
      </c>
      <c r="T1106" s="24" t="s">
        <v>39</v>
      </c>
      <c r="U1106" s="24" t="s">
        <v>39</v>
      </c>
      <c r="V1106" s="24" t="s">
        <v>39</v>
      </c>
      <c r="W1106" s="24"/>
      <c r="X1106" s="24"/>
      <c r="Y1106" s="15"/>
      <c r="Z1106" s="15"/>
      <c r="AA1106" s="24"/>
      <c r="AB1106" s="24"/>
      <c r="AC1106" s="24"/>
      <c r="AD1106" s="24"/>
      <c r="AE1106" s="24"/>
      <c r="AF1106" s="24"/>
      <c r="AG1106" s="24"/>
      <c r="AH1106" s="24"/>
    </row>
    <row r="1107" spans="1:34" ht="30" x14ac:dyDescent="0.25">
      <c r="A1107" s="24" t="str">
        <f>HYPERLINK("https://www.cpso.on.ca/DoctorDetails/Jorge-Soni/0038167-52143","Soni, Jorge")</f>
        <v>Soni, Jorge</v>
      </c>
      <c r="B1107" s="25" t="s">
        <v>11044</v>
      </c>
      <c r="C1107" s="24" t="s">
        <v>6956</v>
      </c>
      <c r="D1107" s="24" t="s">
        <v>11045</v>
      </c>
      <c r="E1107" s="24" t="s">
        <v>29</v>
      </c>
      <c r="F1107" s="24" t="s">
        <v>30</v>
      </c>
      <c r="G1107" s="24" t="s">
        <v>2047</v>
      </c>
      <c r="H1107" s="24" t="s">
        <v>11046</v>
      </c>
      <c r="I1107" s="24" t="s">
        <v>11047</v>
      </c>
      <c r="J1107" s="24" t="s">
        <v>11048</v>
      </c>
      <c r="K1107" s="24" t="s">
        <v>7243</v>
      </c>
      <c r="L1107" s="24" t="s">
        <v>52</v>
      </c>
      <c r="M1107" s="15"/>
      <c r="N1107" s="15"/>
      <c r="O1107" s="15" t="s">
        <v>793</v>
      </c>
      <c r="P1107" s="15" t="s">
        <v>785</v>
      </c>
      <c r="Q1107" s="15"/>
      <c r="R1107" s="15" t="s">
        <v>11049</v>
      </c>
      <c r="S1107" s="24" t="s">
        <v>39</v>
      </c>
      <c r="T1107" s="24" t="s">
        <v>39</v>
      </c>
      <c r="U1107" s="24" t="s">
        <v>39</v>
      </c>
      <c r="V1107" s="24" t="s">
        <v>39</v>
      </c>
      <c r="W1107" s="24"/>
      <c r="X1107" s="24"/>
      <c r="Y1107" s="15"/>
      <c r="Z1107" s="15"/>
      <c r="AA1107" s="24"/>
      <c r="AB1107" s="24"/>
      <c r="AC1107" s="24"/>
      <c r="AD1107" s="24"/>
      <c r="AE1107" s="24"/>
      <c r="AF1107" s="24"/>
      <c r="AG1107" s="24"/>
      <c r="AH1107" s="24"/>
    </row>
    <row r="1108" spans="1:34" ht="60" x14ac:dyDescent="0.25">
      <c r="A1108" s="24" t="str">
        <f>HYPERLINK("https://www.cpso.on.ca/DoctorDetails/Jose-Esteban-Igoa-Osorio/0036854-50830","Igoa Osorio, Jose Esteban")</f>
        <v>Igoa Osorio, Jose Esteban</v>
      </c>
      <c r="B1108" s="25" t="s">
        <v>11050</v>
      </c>
      <c r="C1108" s="24" t="s">
        <v>11051</v>
      </c>
      <c r="D1108" s="24" t="s">
        <v>11052</v>
      </c>
      <c r="E1108" s="24" t="s">
        <v>29</v>
      </c>
      <c r="F1108" s="24" t="s">
        <v>30</v>
      </c>
      <c r="G1108" s="24" t="s">
        <v>115</v>
      </c>
      <c r="H1108" s="24" t="s">
        <v>11053</v>
      </c>
      <c r="I1108" s="24" t="s">
        <v>11054</v>
      </c>
      <c r="J1108" s="24" t="s">
        <v>11055</v>
      </c>
      <c r="K1108" s="24" t="s">
        <v>11056</v>
      </c>
      <c r="L1108" s="24"/>
      <c r="M1108" s="15"/>
      <c r="N1108" s="15" t="s">
        <v>11057</v>
      </c>
      <c r="O1108" s="15"/>
      <c r="P1108" s="15" t="s">
        <v>2876</v>
      </c>
      <c r="Q1108" s="15"/>
      <c r="R1108" s="15" t="s">
        <v>11058</v>
      </c>
      <c r="S1108" s="24" t="s">
        <v>39</v>
      </c>
      <c r="T1108" s="24" t="s">
        <v>39</v>
      </c>
      <c r="U1108" s="24" t="s">
        <v>39</v>
      </c>
      <c r="V1108" s="24" t="s">
        <v>39</v>
      </c>
      <c r="W1108" s="24"/>
      <c r="X1108" s="24"/>
      <c r="Y1108" s="15"/>
      <c r="Z1108" s="15"/>
      <c r="AA1108" s="24"/>
      <c r="AB1108" s="24"/>
      <c r="AC1108" s="24"/>
      <c r="AD1108" s="24"/>
      <c r="AE1108" s="24"/>
      <c r="AF1108" s="24"/>
      <c r="AG1108" s="24"/>
      <c r="AH1108" s="24"/>
    </row>
    <row r="1109" spans="1:34" ht="90" x14ac:dyDescent="0.25">
      <c r="A1109" s="24" t="str">
        <f>HYPERLINK("https://www.cpso.on.ca/DoctorDetails/Jose-Maria-Alves-Da-Silveira/0052915-66879","Silveira, Jose Maria Alves Da")</f>
        <v>Silveira, Jose Maria Alves Da</v>
      </c>
      <c r="B1109" s="25" t="s">
        <v>11059</v>
      </c>
      <c r="C1109" s="24" t="s">
        <v>836</v>
      </c>
      <c r="D1109" s="24" t="s">
        <v>837</v>
      </c>
      <c r="E1109" s="24" t="s">
        <v>29</v>
      </c>
      <c r="F1109" s="24" t="s">
        <v>30</v>
      </c>
      <c r="G1109" s="24" t="s">
        <v>468</v>
      </c>
      <c r="H1109" s="24" t="s">
        <v>4768</v>
      </c>
      <c r="I1109" s="24" t="s">
        <v>11060</v>
      </c>
      <c r="J1109" s="24" t="s">
        <v>11061</v>
      </c>
      <c r="K1109" s="24" t="s">
        <v>4720</v>
      </c>
      <c r="L1109" s="24" t="s">
        <v>52</v>
      </c>
      <c r="M1109" s="15"/>
      <c r="N1109" s="15"/>
      <c r="O1109" s="15" t="s">
        <v>271</v>
      </c>
      <c r="P1109" s="15" t="s">
        <v>303</v>
      </c>
      <c r="Q1109" s="15" t="s">
        <v>11062</v>
      </c>
      <c r="R1109" s="15" t="s">
        <v>844</v>
      </c>
      <c r="S1109" s="24" t="s">
        <v>39</v>
      </c>
      <c r="T1109" s="24" t="s">
        <v>39</v>
      </c>
      <c r="U1109" s="24" t="s">
        <v>39</v>
      </c>
      <c r="V1109" s="24" t="s">
        <v>39</v>
      </c>
      <c r="W1109" s="24" t="s">
        <v>11063</v>
      </c>
      <c r="X1109" s="24" t="s">
        <v>11064</v>
      </c>
      <c r="Y1109" s="15" t="s">
        <v>11065</v>
      </c>
      <c r="Z1109" s="15" t="s">
        <v>11066</v>
      </c>
      <c r="AA1109" s="24"/>
      <c r="AB1109" s="24"/>
      <c r="AC1109" s="24"/>
      <c r="AD1109" s="24"/>
      <c r="AE1109" s="24"/>
      <c r="AF1109" s="24"/>
      <c r="AG1109" s="24"/>
      <c r="AH1109" s="24"/>
    </row>
    <row r="1110" spans="1:34" x14ac:dyDescent="0.25">
      <c r="A1110" s="24" t="str">
        <f>HYPERLINK("https://www.cpso.on.ca/DoctorDetails/JoseLuis-Fabian/0049567-63545","Fabian, Jose-Luis")</f>
        <v>Fabian, Jose-Luis</v>
      </c>
      <c r="B1110" s="25" t="s">
        <v>11067</v>
      </c>
      <c r="C1110" s="24" t="s">
        <v>11068</v>
      </c>
      <c r="D1110" s="24" t="s">
        <v>11069</v>
      </c>
      <c r="E1110" s="24" t="s">
        <v>29</v>
      </c>
      <c r="F1110" s="24" t="s">
        <v>30</v>
      </c>
      <c r="G1110" s="24" t="s">
        <v>2047</v>
      </c>
      <c r="H1110" s="24" t="s">
        <v>11070</v>
      </c>
      <c r="I1110" s="24" t="s">
        <v>11071</v>
      </c>
      <c r="J1110" s="24" t="s">
        <v>11072</v>
      </c>
      <c r="K1110" s="24"/>
      <c r="L1110" s="24"/>
      <c r="M1110" s="15"/>
      <c r="N1110" s="15" t="s">
        <v>710</v>
      </c>
      <c r="O1110" s="15"/>
      <c r="P1110" s="15" t="s">
        <v>11073</v>
      </c>
      <c r="Q1110" s="15"/>
      <c r="R1110" s="15" t="s">
        <v>11074</v>
      </c>
      <c r="S1110" s="24" t="s">
        <v>39</v>
      </c>
      <c r="T1110" s="24" t="s">
        <v>39</v>
      </c>
      <c r="U1110" s="24" t="s">
        <v>39</v>
      </c>
      <c r="V1110" s="24" t="s">
        <v>39</v>
      </c>
      <c r="W1110" s="24"/>
      <c r="X1110" s="24"/>
      <c r="Y1110" s="15"/>
      <c r="Z1110" s="15"/>
      <c r="AA1110" s="24"/>
      <c r="AB1110" s="24"/>
      <c r="AC1110" s="24"/>
      <c r="AD1110" s="24"/>
      <c r="AE1110" s="24"/>
      <c r="AF1110" s="24"/>
      <c r="AG1110" s="24"/>
      <c r="AH1110" s="24"/>
    </row>
    <row r="1111" spans="1:34" ht="90" x14ac:dyDescent="0.25">
      <c r="A1111" s="24" t="str">
        <f>HYPERLINK("https://www.cpso.on.ca/DoctorDetails/Joseph-Barbera/0139275-71215","Barbera, Joseph")</f>
        <v>Barbera, Joseph</v>
      </c>
      <c r="B1111" s="25" t="s">
        <v>11075</v>
      </c>
      <c r="C1111" s="24" t="s">
        <v>1390</v>
      </c>
      <c r="D1111" s="24" t="s">
        <v>1391</v>
      </c>
      <c r="E1111" s="24" t="s">
        <v>29</v>
      </c>
      <c r="F1111" s="24" t="s">
        <v>30</v>
      </c>
      <c r="G1111" s="24" t="s">
        <v>31</v>
      </c>
      <c r="H1111" s="24" t="s">
        <v>242</v>
      </c>
      <c r="I1111" s="24" t="s">
        <v>11076</v>
      </c>
      <c r="J1111" s="24" t="s">
        <v>4701</v>
      </c>
      <c r="K1111" s="24" t="s">
        <v>4702</v>
      </c>
      <c r="L1111" s="24" t="s">
        <v>52</v>
      </c>
      <c r="M1111" s="15" t="s">
        <v>11077</v>
      </c>
      <c r="N1111" s="15"/>
      <c r="O1111" s="15"/>
      <c r="P1111" s="15" t="s">
        <v>1398</v>
      </c>
      <c r="Q1111" s="15" t="s">
        <v>11078</v>
      </c>
      <c r="R1111" s="15" t="s">
        <v>1400</v>
      </c>
      <c r="S1111" s="24" t="s">
        <v>39</v>
      </c>
      <c r="T1111" s="24" t="s">
        <v>39</v>
      </c>
      <c r="U1111" s="24" t="s">
        <v>39</v>
      </c>
      <c r="V1111" s="24" t="s">
        <v>39</v>
      </c>
      <c r="W1111" s="24" t="s">
        <v>11079</v>
      </c>
      <c r="X1111" s="24" t="s">
        <v>11080</v>
      </c>
      <c r="Y1111" s="15" t="s">
        <v>11081</v>
      </c>
      <c r="Z1111" s="15" t="s">
        <v>11082</v>
      </c>
      <c r="AA1111" s="24"/>
      <c r="AB1111" s="24"/>
      <c r="AC1111" s="24"/>
      <c r="AD1111" s="24"/>
      <c r="AE1111" s="24"/>
      <c r="AF1111" s="24"/>
      <c r="AG1111" s="24"/>
      <c r="AH1111" s="24"/>
    </row>
    <row r="1112" spans="1:34" ht="30" x14ac:dyDescent="0.25">
      <c r="A1112" s="24" t="str">
        <f>HYPERLINK("https://www.cpso.on.ca/DoctorDetails/Joseph-Berger/0020127-24915","Berger, Joseph")</f>
        <v>Berger, Joseph</v>
      </c>
      <c r="B1112" s="25" t="s">
        <v>11083</v>
      </c>
      <c r="C1112" s="24" t="s">
        <v>11084</v>
      </c>
      <c r="D1112" s="24" t="s">
        <v>11085</v>
      </c>
      <c r="E1112" s="24" t="s">
        <v>29</v>
      </c>
      <c r="F1112" s="24" t="s">
        <v>30</v>
      </c>
      <c r="G1112" s="24" t="s">
        <v>31</v>
      </c>
      <c r="H1112" s="24" t="s">
        <v>11086</v>
      </c>
      <c r="I1112" s="24" t="s">
        <v>11087</v>
      </c>
      <c r="J1112" s="24" t="s">
        <v>11088</v>
      </c>
      <c r="K1112" s="24"/>
      <c r="L1112" s="24" t="s">
        <v>52</v>
      </c>
      <c r="M1112" s="15"/>
      <c r="N1112" s="15"/>
      <c r="O1112" s="15"/>
      <c r="P1112" s="15" t="s">
        <v>10854</v>
      </c>
      <c r="Q1112" s="15"/>
      <c r="R1112" s="15" t="s">
        <v>11089</v>
      </c>
      <c r="S1112" s="24" t="s">
        <v>39</v>
      </c>
      <c r="T1112" s="24" t="s">
        <v>39</v>
      </c>
      <c r="U1112" s="24" t="s">
        <v>39</v>
      </c>
      <c r="V1112" s="24" t="s">
        <v>39</v>
      </c>
      <c r="W1112" s="24"/>
      <c r="X1112" s="24"/>
      <c r="Y1112" s="15"/>
      <c r="Z1112" s="15"/>
      <c r="AA1112" s="24"/>
      <c r="AB1112" s="24"/>
      <c r="AC1112" s="24"/>
      <c r="AD1112" s="24"/>
      <c r="AE1112" s="24"/>
      <c r="AF1112" s="24"/>
      <c r="AG1112" s="24"/>
      <c r="AH1112" s="24"/>
    </row>
    <row r="1113" spans="1:34" ht="60" x14ac:dyDescent="0.25">
      <c r="A1113" s="24" t="str">
        <f>HYPERLINK("https://www.cpso.on.ca/DoctorDetails/Joseph-Carl-Ferencz/0046717-60695","Ferencz, Joseph Carl")</f>
        <v>Ferencz, Joseph Carl</v>
      </c>
      <c r="B1113" s="25" t="s">
        <v>11090</v>
      </c>
      <c r="C1113" s="24" t="s">
        <v>2629</v>
      </c>
      <c r="D1113" s="24" t="s">
        <v>11091</v>
      </c>
      <c r="E1113" s="24" t="s">
        <v>29</v>
      </c>
      <c r="F1113" s="24" t="s">
        <v>30</v>
      </c>
      <c r="G1113" s="24" t="s">
        <v>31</v>
      </c>
      <c r="H1113" s="24" t="s">
        <v>767</v>
      </c>
      <c r="I1113" s="24" t="s">
        <v>11092</v>
      </c>
      <c r="J1113" s="24" t="s">
        <v>11093</v>
      </c>
      <c r="K1113" s="24" t="s">
        <v>11094</v>
      </c>
      <c r="L1113" s="24" t="s">
        <v>184</v>
      </c>
      <c r="M1113" s="15"/>
      <c r="N1113" s="15"/>
      <c r="O1113" s="15" t="s">
        <v>4002</v>
      </c>
      <c r="P1113" s="15" t="s">
        <v>2293</v>
      </c>
      <c r="Q1113" s="15" t="s">
        <v>11095</v>
      </c>
      <c r="R1113" s="15" t="s">
        <v>11096</v>
      </c>
      <c r="S1113" s="24" t="s">
        <v>39</v>
      </c>
      <c r="T1113" s="24" t="s">
        <v>39</v>
      </c>
      <c r="U1113" s="24" t="s">
        <v>39</v>
      </c>
      <c r="V1113" s="24" t="s">
        <v>39</v>
      </c>
      <c r="W1113" s="24" t="s">
        <v>11097</v>
      </c>
      <c r="X1113" s="24" t="s">
        <v>2183</v>
      </c>
      <c r="Y1113" s="15" t="s">
        <v>11098</v>
      </c>
      <c r="Z1113" s="15" t="s">
        <v>11099</v>
      </c>
      <c r="AA1113" s="24"/>
      <c r="AB1113" s="24"/>
      <c r="AC1113" s="24"/>
      <c r="AD1113" s="24"/>
      <c r="AE1113" s="24"/>
      <c r="AF1113" s="24"/>
      <c r="AG1113" s="24"/>
      <c r="AH1113" s="24"/>
    </row>
    <row r="1114" spans="1:34" ht="60" x14ac:dyDescent="0.25">
      <c r="A1114" s="24" t="str">
        <f>HYPERLINK("https://www.cpso.on.ca/DoctorDetails/Joseph-Donald-Richardson/0051108-65087","Richardson, Joseph Donald")</f>
        <v>Richardson, Joseph Donald</v>
      </c>
      <c r="B1114" s="25" t="s">
        <v>11100</v>
      </c>
      <c r="C1114" s="24" t="s">
        <v>1908</v>
      </c>
      <c r="D1114" s="24" t="s">
        <v>11101</v>
      </c>
      <c r="E1114" s="24" t="s">
        <v>29</v>
      </c>
      <c r="F1114" s="24" t="s">
        <v>30</v>
      </c>
      <c r="G1114" s="24" t="s">
        <v>813</v>
      </c>
      <c r="H1114" s="24" t="s">
        <v>10224</v>
      </c>
      <c r="I1114" s="24" t="s">
        <v>11102</v>
      </c>
      <c r="J1114" s="24" t="s">
        <v>11103</v>
      </c>
      <c r="K1114" s="24" t="s">
        <v>11104</v>
      </c>
      <c r="L1114" s="24" t="s">
        <v>135</v>
      </c>
      <c r="M1114" s="15" t="s">
        <v>11105</v>
      </c>
      <c r="N1114" s="15"/>
      <c r="O1114" s="15" t="s">
        <v>11106</v>
      </c>
      <c r="P1114" s="15" t="s">
        <v>3954</v>
      </c>
      <c r="Q1114" s="15" t="s">
        <v>7931</v>
      </c>
      <c r="R1114" s="15" t="s">
        <v>11107</v>
      </c>
      <c r="S1114" s="24" t="s">
        <v>39</v>
      </c>
      <c r="T1114" s="24" t="s">
        <v>39</v>
      </c>
      <c r="U1114" s="24" t="s">
        <v>39</v>
      </c>
      <c r="V1114" s="24" t="s">
        <v>39</v>
      </c>
      <c r="W1114" s="24" t="s">
        <v>11108</v>
      </c>
      <c r="X1114" s="24" t="s">
        <v>11109</v>
      </c>
      <c r="Y1114" s="15" t="s">
        <v>11110</v>
      </c>
      <c r="Z1114" s="15" t="s">
        <v>11111</v>
      </c>
      <c r="AA1114" s="24"/>
      <c r="AB1114" s="24"/>
      <c r="AC1114" s="24"/>
      <c r="AD1114" s="24"/>
      <c r="AE1114" s="24"/>
      <c r="AF1114" s="24"/>
      <c r="AG1114" s="24"/>
      <c r="AH1114" s="24"/>
    </row>
    <row r="1115" spans="1:34" ht="30" x14ac:dyDescent="0.25">
      <c r="A1115" s="24" t="str">
        <f>HYPERLINK("https://www.cpso.on.ca/DoctorDetails/Joseph-Feldmann/0019186-23973","Feldmann, Joseph")</f>
        <v>Feldmann, Joseph</v>
      </c>
      <c r="B1115" s="25" t="s">
        <v>11112</v>
      </c>
      <c r="C1115" s="24" t="s">
        <v>11113</v>
      </c>
      <c r="D1115" s="24" t="s">
        <v>11114</v>
      </c>
      <c r="E1115" s="24" t="s">
        <v>29</v>
      </c>
      <c r="F1115" s="24" t="s">
        <v>30</v>
      </c>
      <c r="G1115" s="24" t="s">
        <v>813</v>
      </c>
      <c r="H1115" s="24" t="s">
        <v>11115</v>
      </c>
      <c r="I1115" s="24" t="s">
        <v>11116</v>
      </c>
      <c r="J1115" s="24" t="s">
        <v>11117</v>
      </c>
      <c r="K1115" s="24" t="s">
        <v>11117</v>
      </c>
      <c r="L1115" s="24" t="s">
        <v>52</v>
      </c>
      <c r="M1115" s="15"/>
      <c r="N1115" s="15" t="s">
        <v>806</v>
      </c>
      <c r="O1115" s="15"/>
      <c r="P1115" s="15" t="s">
        <v>11118</v>
      </c>
      <c r="Q1115" s="15"/>
      <c r="R1115" s="15" t="s">
        <v>11119</v>
      </c>
      <c r="S1115" s="24" t="s">
        <v>39</v>
      </c>
      <c r="T1115" s="24" t="s">
        <v>39</v>
      </c>
      <c r="U1115" s="24" t="s">
        <v>39</v>
      </c>
      <c r="V1115" s="24" t="s">
        <v>39</v>
      </c>
      <c r="W1115" s="24" t="s">
        <v>11120</v>
      </c>
      <c r="X1115" s="24" t="s">
        <v>11121</v>
      </c>
      <c r="Y1115" s="15" t="s">
        <v>11122</v>
      </c>
      <c r="Z1115" s="15" t="s">
        <v>11123</v>
      </c>
      <c r="AA1115" s="24"/>
      <c r="AB1115" s="24"/>
      <c r="AC1115" s="24"/>
      <c r="AD1115" s="24"/>
      <c r="AE1115" s="24"/>
      <c r="AF1115" s="24"/>
      <c r="AG1115" s="24"/>
      <c r="AH1115" s="24"/>
    </row>
    <row r="1116" spans="1:34" ht="30" x14ac:dyDescent="0.25">
      <c r="A1116" s="24" t="str">
        <f>HYPERLINK("https://www.cpso.on.ca/DoctorDetails/Joseph-Henry-Beitchman/0021682-26471","Beitchman, Joseph Henry")</f>
        <v>Beitchman, Joseph Henry</v>
      </c>
      <c r="B1116" s="25" t="s">
        <v>11124</v>
      </c>
      <c r="C1116" s="24" t="s">
        <v>11125</v>
      </c>
      <c r="D1116" s="24" t="s">
        <v>11126</v>
      </c>
      <c r="E1116" s="24" t="s">
        <v>29</v>
      </c>
      <c r="F1116" s="24" t="s">
        <v>30</v>
      </c>
      <c r="G1116" s="24" t="s">
        <v>31</v>
      </c>
      <c r="H1116" s="24" t="s">
        <v>10799</v>
      </c>
      <c r="I1116" s="24" t="s">
        <v>11127</v>
      </c>
      <c r="J1116" s="24" t="s">
        <v>11128</v>
      </c>
      <c r="K1116" s="24" t="s">
        <v>1355</v>
      </c>
      <c r="L1116" s="24" t="s">
        <v>52</v>
      </c>
      <c r="M1116" s="15"/>
      <c r="N1116" s="15"/>
      <c r="O1116" s="15" t="s">
        <v>11129</v>
      </c>
      <c r="P1116" s="15" t="s">
        <v>10533</v>
      </c>
      <c r="Q1116" s="15"/>
      <c r="R1116" s="15" t="s">
        <v>11130</v>
      </c>
      <c r="S1116" s="24" t="s">
        <v>39</v>
      </c>
      <c r="T1116" s="24" t="s">
        <v>39</v>
      </c>
      <c r="U1116" s="24" t="s">
        <v>39</v>
      </c>
      <c r="V1116" s="24" t="s">
        <v>39</v>
      </c>
      <c r="W1116" s="24" t="s">
        <v>11131</v>
      </c>
      <c r="X1116" s="24" t="s">
        <v>11132</v>
      </c>
      <c r="Y1116" s="15" t="s">
        <v>11133</v>
      </c>
      <c r="Z1116" s="15" t="s">
        <v>11134</v>
      </c>
      <c r="AA1116" s="24"/>
      <c r="AB1116" s="24"/>
      <c r="AC1116" s="24"/>
      <c r="AD1116" s="24"/>
      <c r="AE1116" s="24"/>
      <c r="AF1116" s="24"/>
      <c r="AG1116" s="24"/>
      <c r="AH1116" s="24"/>
    </row>
    <row r="1117" spans="1:34" ht="30" x14ac:dyDescent="0.25">
      <c r="A1117" s="24" t="str">
        <f>HYPERLINK("https://www.cpso.on.ca/DoctorDetails/Joseph-Isaiah-Ozer-Wohlgelernter/0018838-23625","Wohlgelernter, Joseph Isaiah Ozer")</f>
        <v>Wohlgelernter, Joseph Isaiah Ozer</v>
      </c>
      <c r="B1117" s="25" t="s">
        <v>11135</v>
      </c>
      <c r="C1117" s="24" t="s">
        <v>11136</v>
      </c>
      <c r="D1117" s="24" t="s">
        <v>11137</v>
      </c>
      <c r="E1117" s="24" t="s">
        <v>29</v>
      </c>
      <c r="F1117" s="24" t="s">
        <v>30</v>
      </c>
      <c r="G1117" s="24" t="s">
        <v>11138</v>
      </c>
      <c r="H1117" s="24" t="s">
        <v>2396</v>
      </c>
      <c r="I1117" s="24" t="s">
        <v>11139</v>
      </c>
      <c r="J1117" s="24" t="s">
        <v>11140</v>
      </c>
      <c r="K1117" s="24"/>
      <c r="L1117" s="24" t="s">
        <v>36</v>
      </c>
      <c r="M1117" s="15"/>
      <c r="N1117" s="15" t="s">
        <v>1356</v>
      </c>
      <c r="O1117" s="15"/>
      <c r="P1117" s="15" t="s">
        <v>2400</v>
      </c>
      <c r="Q1117" s="15"/>
      <c r="R1117" s="15" t="s">
        <v>11141</v>
      </c>
      <c r="S1117" s="24" t="s">
        <v>39</v>
      </c>
      <c r="T1117" s="24" t="s">
        <v>39</v>
      </c>
      <c r="U1117" s="24" t="s">
        <v>39</v>
      </c>
      <c r="V1117" s="24" t="s">
        <v>39</v>
      </c>
      <c r="W1117" s="24" t="s">
        <v>11142</v>
      </c>
      <c r="X1117" s="24" t="s">
        <v>11143</v>
      </c>
      <c r="Y1117" s="15" t="s">
        <v>11144</v>
      </c>
      <c r="Z1117" s="15" t="s">
        <v>11145</v>
      </c>
      <c r="AA1117" s="24"/>
      <c r="AB1117" s="24"/>
      <c r="AC1117" s="24"/>
      <c r="AD1117" s="24"/>
      <c r="AE1117" s="24"/>
      <c r="AF1117" s="24"/>
      <c r="AG1117" s="24"/>
      <c r="AH1117" s="24"/>
    </row>
    <row r="1118" spans="1:34" ht="60" x14ac:dyDescent="0.25">
      <c r="A1118" s="24" t="str">
        <f>HYPERLINK("https://www.cpso.on.ca/DoctorDetails/Joseph-Joel-Jeffries/0018550-23337","Jeffries, Joseph Joel")</f>
        <v>Jeffries, Joseph Joel</v>
      </c>
      <c r="B1118" s="25" t="s">
        <v>11146</v>
      </c>
      <c r="C1118" s="24" t="s">
        <v>11147</v>
      </c>
      <c r="D1118" s="24" t="s">
        <v>11148</v>
      </c>
      <c r="E1118" s="24" t="s">
        <v>29</v>
      </c>
      <c r="F1118" s="24" t="s">
        <v>30</v>
      </c>
      <c r="G1118" s="24" t="s">
        <v>31</v>
      </c>
      <c r="H1118" s="24" t="s">
        <v>11149</v>
      </c>
      <c r="I1118" s="24" t="s">
        <v>11150</v>
      </c>
      <c r="J1118" s="24" t="s">
        <v>11151</v>
      </c>
      <c r="K1118" s="24" t="s">
        <v>4960</v>
      </c>
      <c r="L1118" s="24" t="s">
        <v>52</v>
      </c>
      <c r="M1118" s="15"/>
      <c r="N1118" s="15"/>
      <c r="O1118" s="15" t="s">
        <v>793</v>
      </c>
      <c r="P1118" s="15" t="s">
        <v>11152</v>
      </c>
      <c r="Q1118" s="15"/>
      <c r="R1118" s="15" t="s">
        <v>11153</v>
      </c>
      <c r="S1118" s="24" t="s">
        <v>39</v>
      </c>
      <c r="T1118" s="24" t="s">
        <v>39</v>
      </c>
      <c r="U1118" s="24" t="s">
        <v>39</v>
      </c>
      <c r="V1118" s="24" t="s">
        <v>39</v>
      </c>
      <c r="W1118" s="24"/>
      <c r="X1118" s="24"/>
      <c r="Y1118" s="15"/>
      <c r="Z1118" s="15"/>
      <c r="AA1118" s="24"/>
      <c r="AB1118" s="24"/>
      <c r="AC1118" s="24"/>
      <c r="AD1118" s="24"/>
      <c r="AE1118" s="24"/>
      <c r="AF1118" s="24"/>
      <c r="AG1118" s="24"/>
      <c r="AH1118" s="24"/>
    </row>
    <row r="1119" spans="1:34" ht="60" x14ac:dyDescent="0.25">
      <c r="A1119" s="24" t="str">
        <f>HYPERLINK("https://www.cpso.on.ca/DoctorDetails/Joseph-Luc-Pierre-Francois-Tessier/0037876-51852","Tessier, Joseph Luc Pierre Francois")</f>
        <v>Tessier, Joseph Luc Pierre Francois</v>
      </c>
      <c r="B1119" s="25" t="s">
        <v>11154</v>
      </c>
      <c r="C1119" s="24" t="s">
        <v>11155</v>
      </c>
      <c r="D1119" s="24" t="s">
        <v>11156</v>
      </c>
      <c r="E1119" s="24" t="s">
        <v>29</v>
      </c>
      <c r="F1119" s="24" t="s">
        <v>30</v>
      </c>
      <c r="G1119" s="24" t="s">
        <v>813</v>
      </c>
      <c r="H1119" s="24" t="s">
        <v>11157</v>
      </c>
      <c r="I1119" s="24" t="s">
        <v>11158</v>
      </c>
      <c r="J1119" s="24" t="s">
        <v>11159</v>
      </c>
      <c r="K1119" s="24" t="s">
        <v>3793</v>
      </c>
      <c r="L1119" s="24" t="s">
        <v>84</v>
      </c>
      <c r="M1119" s="15"/>
      <c r="N1119" s="15" t="s">
        <v>710</v>
      </c>
      <c r="O1119" s="15" t="s">
        <v>1746</v>
      </c>
      <c r="P1119" s="15" t="s">
        <v>316</v>
      </c>
      <c r="Q1119" s="15"/>
      <c r="R1119" s="15" t="s">
        <v>11160</v>
      </c>
      <c r="S1119" s="24" t="s">
        <v>39</v>
      </c>
      <c r="T1119" s="24" t="s">
        <v>39</v>
      </c>
      <c r="U1119" s="24" t="s">
        <v>39</v>
      </c>
      <c r="V1119" s="24" t="s">
        <v>39</v>
      </c>
      <c r="W1119" s="24" t="s">
        <v>11161</v>
      </c>
      <c r="X1119" s="24" t="s">
        <v>11162</v>
      </c>
      <c r="Y1119" s="15" t="s">
        <v>11163</v>
      </c>
      <c r="Z1119" s="15" t="s">
        <v>11164</v>
      </c>
      <c r="AA1119" s="24"/>
      <c r="AB1119" s="24"/>
      <c r="AC1119" s="24"/>
      <c r="AD1119" s="24"/>
      <c r="AE1119" s="24"/>
      <c r="AF1119" s="24"/>
      <c r="AG1119" s="24"/>
      <c r="AH1119" s="24"/>
    </row>
    <row r="1120" spans="1:34" ht="45" x14ac:dyDescent="0.25">
      <c r="A1120" s="24" t="str">
        <f>HYPERLINK("https://www.cpso.on.ca/DoctorDetails/Joseph-Ovila-Neil-Luc-Bourgon/0021951-26740","Bourgon, Joseph Ovila Neil Luc")</f>
        <v>Bourgon, Joseph Ovila Neil Luc</v>
      </c>
      <c r="B1120" s="25" t="s">
        <v>11165</v>
      </c>
      <c r="C1120" s="24" t="s">
        <v>11166</v>
      </c>
      <c r="D1120" s="24" t="s">
        <v>11167</v>
      </c>
      <c r="E1120" s="24" t="s">
        <v>29</v>
      </c>
      <c r="F1120" s="24" t="s">
        <v>30</v>
      </c>
      <c r="G1120" s="24" t="s">
        <v>813</v>
      </c>
      <c r="H1120" s="24" t="s">
        <v>11168</v>
      </c>
      <c r="I1120" s="24" t="s">
        <v>11169</v>
      </c>
      <c r="J1120" s="24" t="s">
        <v>3977</v>
      </c>
      <c r="K1120" s="24" t="s">
        <v>3978</v>
      </c>
      <c r="L1120" s="24" t="s">
        <v>84</v>
      </c>
      <c r="M1120" s="15"/>
      <c r="N1120" s="15"/>
      <c r="O1120" s="15" t="s">
        <v>711</v>
      </c>
      <c r="P1120" s="15" t="s">
        <v>2484</v>
      </c>
      <c r="Q1120" s="15"/>
      <c r="R1120" s="15" t="s">
        <v>11170</v>
      </c>
      <c r="S1120" s="24" t="s">
        <v>39</v>
      </c>
      <c r="T1120" s="24" t="s">
        <v>39</v>
      </c>
      <c r="U1120" s="24" t="s">
        <v>39</v>
      </c>
      <c r="V1120" s="24" t="s">
        <v>39</v>
      </c>
      <c r="W1120" s="24"/>
      <c r="X1120" s="24"/>
      <c r="Y1120" s="15"/>
      <c r="Z1120" s="15"/>
      <c r="AA1120" s="24"/>
      <c r="AB1120" s="24"/>
      <c r="AC1120" s="24"/>
      <c r="AD1120" s="24"/>
      <c r="AE1120" s="24"/>
      <c r="AF1120" s="24"/>
      <c r="AG1120" s="24"/>
      <c r="AH1120" s="24"/>
    </row>
    <row r="1121" spans="1:34" ht="75" x14ac:dyDescent="0.25">
      <c r="A1121" s="24" t="str">
        <f>HYPERLINK("https://www.cpso.on.ca/DoctorDetails/Joseph-Park/0266093-93857","Park, Joseph")</f>
        <v>Park, Joseph</v>
      </c>
      <c r="B1121" s="25" t="s">
        <v>11171</v>
      </c>
      <c r="C1121" s="24" t="s">
        <v>570</v>
      </c>
      <c r="D1121" s="24" t="s">
        <v>571</v>
      </c>
      <c r="E1121" s="24" t="s">
        <v>29</v>
      </c>
      <c r="F1121" s="24" t="s">
        <v>30</v>
      </c>
      <c r="G1121" s="24" t="s">
        <v>31</v>
      </c>
      <c r="H1121" s="24" t="s">
        <v>968</v>
      </c>
      <c r="I1121" s="24" t="s">
        <v>11172</v>
      </c>
      <c r="J1121" s="24" t="s">
        <v>11173</v>
      </c>
      <c r="K1121" s="24" t="s">
        <v>9341</v>
      </c>
      <c r="L1121" s="24" t="s">
        <v>52</v>
      </c>
      <c r="M1121" s="15"/>
      <c r="N1121" s="15"/>
      <c r="O1121" s="15" t="s">
        <v>1784</v>
      </c>
      <c r="P1121" s="15" t="s">
        <v>629</v>
      </c>
      <c r="Q1121" s="15" t="s">
        <v>11174</v>
      </c>
      <c r="R1121" s="15" t="s">
        <v>1706</v>
      </c>
      <c r="S1121" s="24" t="s">
        <v>39</v>
      </c>
      <c r="T1121" s="24" t="s">
        <v>39</v>
      </c>
      <c r="U1121" s="24" t="s">
        <v>39</v>
      </c>
      <c r="V1121" s="24" t="s">
        <v>39</v>
      </c>
      <c r="W1121" s="24" t="s">
        <v>11175</v>
      </c>
      <c r="X1121" s="24" t="s">
        <v>11176</v>
      </c>
      <c r="Y1121" s="15" t="s">
        <v>11177</v>
      </c>
      <c r="Z1121" s="15" t="s">
        <v>11178</v>
      </c>
      <c r="AA1121" s="24"/>
      <c r="AB1121" s="24"/>
      <c r="AC1121" s="24"/>
      <c r="AD1121" s="24"/>
      <c r="AE1121" s="24"/>
      <c r="AF1121" s="24"/>
      <c r="AG1121" s="24"/>
      <c r="AH1121" s="24"/>
    </row>
    <row r="1122" spans="1:34" ht="75" x14ac:dyDescent="0.25">
      <c r="A1122" s="24" t="str">
        <f>HYPERLINK("https://www.cpso.on.ca/DoctorDetails/Jovana-Martinovic/0281025-97854","Martinovic, Jovana")</f>
        <v>Martinovic, Jovana</v>
      </c>
      <c r="B1122" s="25" t="s">
        <v>11179</v>
      </c>
      <c r="C1122" s="24" t="s">
        <v>544</v>
      </c>
      <c r="D1122" s="24" t="s">
        <v>545</v>
      </c>
      <c r="E1122" s="24" t="s">
        <v>29</v>
      </c>
      <c r="F1122" s="24" t="s">
        <v>47</v>
      </c>
      <c r="G1122" s="24" t="s">
        <v>31</v>
      </c>
      <c r="H1122" s="24" t="s">
        <v>1427</v>
      </c>
      <c r="I1122" s="24" t="s">
        <v>5979</v>
      </c>
      <c r="J1122" s="24" t="s">
        <v>11180</v>
      </c>
      <c r="K1122" s="24" t="s">
        <v>4525</v>
      </c>
      <c r="L1122" s="24" t="s">
        <v>52</v>
      </c>
      <c r="M1122" s="15"/>
      <c r="N1122" s="15"/>
      <c r="O1122" s="15" t="s">
        <v>1110</v>
      </c>
      <c r="P1122" s="15" t="s">
        <v>550</v>
      </c>
      <c r="Q1122" s="15" t="s">
        <v>982</v>
      </c>
      <c r="R1122" s="15" t="s">
        <v>552</v>
      </c>
      <c r="S1122" s="24" t="s">
        <v>39</v>
      </c>
      <c r="T1122" s="24" t="s">
        <v>39</v>
      </c>
      <c r="U1122" s="24" t="s">
        <v>39</v>
      </c>
      <c r="V1122" s="24" t="s">
        <v>39</v>
      </c>
      <c r="W1122" s="24"/>
      <c r="X1122" s="24"/>
      <c r="Y1122" s="15"/>
      <c r="Z1122" s="15"/>
      <c r="AA1122" s="24"/>
      <c r="AB1122" s="24"/>
      <c r="AC1122" s="24"/>
      <c r="AD1122" s="24"/>
      <c r="AE1122" s="24"/>
      <c r="AF1122" s="24"/>
      <c r="AG1122" s="24"/>
      <c r="AH1122" s="24"/>
    </row>
    <row r="1123" spans="1:34" ht="120" x14ac:dyDescent="0.25">
      <c r="A1123" s="24" t="str">
        <f>HYPERLINK("https://www.cpso.on.ca/DoctorDetails/Joy-Abramson/0265473-93367","Abramson, Joy")</f>
        <v>Abramson, Joy</v>
      </c>
      <c r="B1123" s="25" t="s">
        <v>11181</v>
      </c>
      <c r="C1123" s="24" t="s">
        <v>570</v>
      </c>
      <c r="D1123" s="24" t="s">
        <v>11182</v>
      </c>
      <c r="E1123" s="24" t="s">
        <v>29</v>
      </c>
      <c r="F1123" s="24" t="s">
        <v>47</v>
      </c>
      <c r="G1123" s="24" t="s">
        <v>31</v>
      </c>
      <c r="H1123" s="24" t="s">
        <v>968</v>
      </c>
      <c r="I1123" s="24" t="s">
        <v>11183</v>
      </c>
      <c r="J1123" s="24" t="s">
        <v>4115</v>
      </c>
      <c r="K1123" s="24"/>
      <c r="L1123" s="24" t="s">
        <v>135</v>
      </c>
      <c r="M1123" s="15"/>
      <c r="N1123" s="15"/>
      <c r="O1123" s="15" t="s">
        <v>913</v>
      </c>
      <c r="P1123" s="15" t="s">
        <v>11184</v>
      </c>
      <c r="Q1123" s="15" t="s">
        <v>11185</v>
      </c>
      <c r="R1123" s="15" t="s">
        <v>11186</v>
      </c>
      <c r="S1123" s="24" t="s">
        <v>39</v>
      </c>
      <c r="T1123" s="24" t="s">
        <v>39</v>
      </c>
      <c r="U1123" s="24" t="s">
        <v>39</v>
      </c>
      <c r="V1123" s="24" t="s">
        <v>39</v>
      </c>
      <c r="W1123" s="24" t="s">
        <v>11187</v>
      </c>
      <c r="X1123" s="24" t="s">
        <v>11188</v>
      </c>
      <c r="Y1123" s="15" t="s">
        <v>11189</v>
      </c>
      <c r="Z1123" s="15" t="s">
        <v>11190</v>
      </c>
      <c r="AA1123" s="24"/>
      <c r="AB1123" s="24"/>
      <c r="AC1123" s="24"/>
      <c r="AD1123" s="24"/>
      <c r="AE1123" s="24"/>
      <c r="AF1123" s="24"/>
      <c r="AG1123" s="24"/>
      <c r="AH1123" s="24"/>
    </row>
    <row r="1124" spans="1:34" ht="165" x14ac:dyDescent="0.25">
      <c r="A1124" s="24" t="str">
        <f>HYPERLINK("https://www.cpso.on.ca/DoctorDetails/Joy-Ann-Zeglinski/0047396-61374","Zeglinski, Joy Ann")</f>
        <v>Zeglinski, Joy Ann</v>
      </c>
      <c r="B1124" s="25" t="s">
        <v>11191</v>
      </c>
      <c r="C1124" s="24" t="s">
        <v>11192</v>
      </c>
      <c r="D1124" s="24" t="s">
        <v>11193</v>
      </c>
      <c r="E1124" s="24" t="s">
        <v>29</v>
      </c>
      <c r="F1124" s="24" t="s">
        <v>47</v>
      </c>
      <c r="G1124" s="24" t="s">
        <v>813</v>
      </c>
      <c r="H1124" s="24" t="s">
        <v>1004</v>
      </c>
      <c r="I1124" s="24" t="s">
        <v>11194</v>
      </c>
      <c r="J1124" s="24" t="s">
        <v>11195</v>
      </c>
      <c r="K1124" s="24" t="s">
        <v>11196</v>
      </c>
      <c r="L1124" s="24" t="s">
        <v>84</v>
      </c>
      <c r="M1124" s="15"/>
      <c r="N1124" s="15"/>
      <c r="O1124" s="15"/>
      <c r="P1124" s="15" t="s">
        <v>11197</v>
      </c>
      <c r="Q1124" s="15" t="s">
        <v>11198</v>
      </c>
      <c r="R1124" s="15" t="s">
        <v>11199</v>
      </c>
      <c r="S1124" s="24" t="s">
        <v>39</v>
      </c>
      <c r="T1124" s="24" t="s">
        <v>39</v>
      </c>
      <c r="U1124" s="24" t="s">
        <v>39</v>
      </c>
      <c r="V1124" s="24" t="s">
        <v>39</v>
      </c>
      <c r="W1124" s="24" t="s">
        <v>11200</v>
      </c>
      <c r="X1124" s="24" t="s">
        <v>11201</v>
      </c>
      <c r="Y1124" s="15" t="s">
        <v>11202</v>
      </c>
      <c r="Z1124" s="15" t="s">
        <v>11203</v>
      </c>
      <c r="AA1124" s="24"/>
      <c r="AB1124" s="24"/>
      <c r="AC1124" s="24"/>
      <c r="AD1124" s="24"/>
      <c r="AE1124" s="24"/>
      <c r="AF1124" s="24"/>
      <c r="AG1124" s="24"/>
      <c r="AH1124" s="24"/>
    </row>
    <row r="1125" spans="1:34" ht="30" x14ac:dyDescent="0.25">
      <c r="A1125" s="24" t="str">
        <f>HYPERLINK("https://www.cpso.on.ca/DoctorDetails/Joy-Maria-Albuquerque/0050706-64685","Albuquerque, Joy Maria")</f>
        <v>Albuquerque, Joy Maria</v>
      </c>
      <c r="B1125" s="25" t="s">
        <v>11204</v>
      </c>
      <c r="C1125" s="24" t="s">
        <v>11205</v>
      </c>
      <c r="D1125" s="24" t="s">
        <v>11206</v>
      </c>
      <c r="E1125" s="24" t="s">
        <v>29</v>
      </c>
      <c r="F1125" s="24" t="s">
        <v>47</v>
      </c>
      <c r="G1125" s="24" t="s">
        <v>31</v>
      </c>
      <c r="H1125" s="24" t="s">
        <v>1004</v>
      </c>
      <c r="I1125" s="24" t="s">
        <v>11207</v>
      </c>
      <c r="J1125" s="24" t="s">
        <v>11208</v>
      </c>
      <c r="K1125" s="24" t="s">
        <v>11209</v>
      </c>
      <c r="L1125" s="24" t="s">
        <v>52</v>
      </c>
      <c r="M1125" s="15" t="s">
        <v>11210</v>
      </c>
      <c r="N1125" s="15"/>
      <c r="O1125" s="15" t="s">
        <v>219</v>
      </c>
      <c r="P1125" s="15" t="s">
        <v>5981</v>
      </c>
      <c r="Q1125" s="15" t="s">
        <v>11211</v>
      </c>
      <c r="R1125" s="15" t="s">
        <v>11212</v>
      </c>
      <c r="S1125" s="24" t="s">
        <v>39</v>
      </c>
      <c r="T1125" s="24" t="s">
        <v>39</v>
      </c>
      <c r="U1125" s="24" t="s">
        <v>39</v>
      </c>
      <c r="V1125" s="24" t="s">
        <v>39</v>
      </c>
      <c r="W1125" s="24"/>
      <c r="X1125" s="24"/>
      <c r="Y1125" s="15"/>
      <c r="Z1125" s="15"/>
      <c r="AA1125" s="24"/>
      <c r="AB1125" s="24"/>
      <c r="AC1125" s="24"/>
      <c r="AD1125" s="24"/>
      <c r="AE1125" s="24"/>
      <c r="AF1125" s="24"/>
      <c r="AG1125" s="24"/>
      <c r="AH1125" s="24"/>
    </row>
    <row r="1126" spans="1:34" ht="30" x14ac:dyDescent="0.25">
      <c r="A1126" s="24" t="str">
        <f>HYPERLINK("https://www.cpso.on.ca/DoctorDetails/Judith-Bernice-Pakes/0019120-23907","Pakes, Judith Bernice")</f>
        <v>Pakes, Judith Bernice</v>
      </c>
      <c r="B1126" s="25" t="s">
        <v>11213</v>
      </c>
      <c r="C1126" s="24" t="s">
        <v>11214</v>
      </c>
      <c r="D1126" s="24" t="s">
        <v>11215</v>
      </c>
      <c r="E1126" s="24" t="s">
        <v>29</v>
      </c>
      <c r="F1126" s="24" t="s">
        <v>47</v>
      </c>
      <c r="G1126" s="24" t="s">
        <v>31</v>
      </c>
      <c r="H1126" s="24" t="s">
        <v>7741</v>
      </c>
      <c r="I1126" s="24" t="s">
        <v>11216</v>
      </c>
      <c r="J1126" s="24" t="s">
        <v>11217</v>
      </c>
      <c r="K1126" s="24" t="s">
        <v>6423</v>
      </c>
      <c r="L1126" s="24" t="s">
        <v>52</v>
      </c>
      <c r="M1126" s="15"/>
      <c r="N1126" s="15"/>
      <c r="O1126" s="15"/>
      <c r="P1126" s="15" t="s">
        <v>6237</v>
      </c>
      <c r="Q1126" s="15"/>
      <c r="R1126" s="15" t="s">
        <v>11218</v>
      </c>
      <c r="S1126" s="24" t="s">
        <v>39</v>
      </c>
      <c r="T1126" s="24" t="s">
        <v>39</v>
      </c>
      <c r="U1126" s="24" t="s">
        <v>39</v>
      </c>
      <c r="V1126" s="24" t="s">
        <v>39</v>
      </c>
      <c r="W1126" s="24"/>
      <c r="X1126" s="24"/>
      <c r="Y1126" s="15"/>
      <c r="Z1126" s="15"/>
      <c r="AA1126" s="24"/>
      <c r="AB1126" s="24"/>
      <c r="AC1126" s="24"/>
      <c r="AD1126" s="24"/>
      <c r="AE1126" s="24"/>
      <c r="AF1126" s="24"/>
      <c r="AG1126" s="24"/>
      <c r="AH1126" s="24"/>
    </row>
    <row r="1127" spans="1:34" ht="30" x14ac:dyDescent="0.25">
      <c r="A1127" s="24" t="str">
        <f>HYPERLINK("https://www.cpso.on.ca/DoctorDetails/Judith-Elin-Hamilton/0020476-25264","Hamilton, Judith Elin")</f>
        <v>Hamilton, Judith Elin</v>
      </c>
      <c r="B1127" s="25" t="s">
        <v>11219</v>
      </c>
      <c r="C1127" s="24" t="s">
        <v>11220</v>
      </c>
      <c r="D1127" s="24" t="s">
        <v>11221</v>
      </c>
      <c r="E1127" s="24" t="s">
        <v>29</v>
      </c>
      <c r="F1127" s="24" t="s">
        <v>47</v>
      </c>
      <c r="G1127" s="24" t="s">
        <v>31</v>
      </c>
      <c r="H1127" s="24" t="s">
        <v>6455</v>
      </c>
      <c r="I1127" s="24" t="s">
        <v>11222</v>
      </c>
      <c r="J1127" s="24" t="s">
        <v>11223</v>
      </c>
      <c r="K1127" s="24" t="s">
        <v>11224</v>
      </c>
      <c r="L1127" s="24" t="s">
        <v>52</v>
      </c>
      <c r="M1127" s="15" t="s">
        <v>11225</v>
      </c>
      <c r="N1127" s="15"/>
      <c r="O1127" s="15"/>
      <c r="P1127" s="15" t="s">
        <v>6552</v>
      </c>
      <c r="Q1127" s="15"/>
      <c r="R1127" s="15" t="s">
        <v>11226</v>
      </c>
      <c r="S1127" s="24" t="s">
        <v>39</v>
      </c>
      <c r="T1127" s="24" t="s">
        <v>39</v>
      </c>
      <c r="U1127" s="24" t="s">
        <v>39</v>
      </c>
      <c r="V1127" s="24" t="s">
        <v>39</v>
      </c>
      <c r="W1127" s="24" t="s">
        <v>11227</v>
      </c>
      <c r="X1127" s="24" t="s">
        <v>7247</v>
      </c>
      <c r="Y1127" s="15" t="s">
        <v>11228</v>
      </c>
      <c r="Z1127" s="15" t="s">
        <v>11229</v>
      </c>
      <c r="AA1127" s="24"/>
      <c r="AB1127" s="24"/>
      <c r="AC1127" s="24"/>
      <c r="AD1127" s="24"/>
      <c r="AE1127" s="24"/>
      <c r="AF1127" s="24"/>
      <c r="AG1127" s="24"/>
      <c r="AH1127" s="24"/>
    </row>
    <row r="1128" spans="1:34" x14ac:dyDescent="0.25">
      <c r="A1128" s="24" t="str">
        <f>HYPERLINK("https://www.cpso.on.ca/DoctorDetails/Judy-Ann-Wilkins/0028626-33449","Wilkins, Judy Ann")</f>
        <v>Wilkins, Judy Ann</v>
      </c>
      <c r="B1128" s="25" t="s">
        <v>11230</v>
      </c>
      <c r="C1128" s="24" t="s">
        <v>11231</v>
      </c>
      <c r="D1128" s="24" t="s">
        <v>9317</v>
      </c>
      <c r="E1128" s="24" t="s">
        <v>29</v>
      </c>
      <c r="F1128" s="24" t="s">
        <v>47</v>
      </c>
      <c r="G1128" s="24" t="s">
        <v>31</v>
      </c>
      <c r="H1128" s="24" t="s">
        <v>11232</v>
      </c>
      <c r="I1128" s="24" t="s">
        <v>11233</v>
      </c>
      <c r="J1128" s="24" t="s">
        <v>11234</v>
      </c>
      <c r="K1128" s="24"/>
      <c r="L1128" s="24" t="s">
        <v>52</v>
      </c>
      <c r="M1128" s="15"/>
      <c r="N1128" s="15"/>
      <c r="O1128" s="15"/>
      <c r="P1128" s="15" t="s">
        <v>2484</v>
      </c>
      <c r="Q1128" s="15"/>
      <c r="R1128" s="15" t="s">
        <v>11235</v>
      </c>
      <c r="S1128" s="24" t="s">
        <v>39</v>
      </c>
      <c r="T1128" s="24" t="s">
        <v>39</v>
      </c>
      <c r="U1128" s="24" t="s">
        <v>39</v>
      </c>
      <c r="V1128" s="24" t="s">
        <v>39</v>
      </c>
      <c r="W1128" s="24"/>
      <c r="X1128" s="24"/>
      <c r="Y1128" s="15"/>
      <c r="Z1128" s="15"/>
      <c r="AA1128" s="24"/>
      <c r="AB1128" s="24"/>
      <c r="AC1128" s="24"/>
      <c r="AD1128" s="24"/>
      <c r="AE1128" s="24"/>
      <c r="AF1128" s="24"/>
      <c r="AG1128" s="24"/>
      <c r="AH1128" s="24"/>
    </row>
    <row r="1129" spans="1:34" ht="75" x14ac:dyDescent="0.25">
      <c r="A1129" s="24" t="str">
        <f>HYPERLINK("https://www.cpso.on.ca/DoctorDetails/Judy-Lin/0242431-86799","Lin, Judy")</f>
        <v>Lin, Judy</v>
      </c>
      <c r="B1129" s="25" t="s">
        <v>11236</v>
      </c>
      <c r="C1129" s="24" t="s">
        <v>1115</v>
      </c>
      <c r="D1129" s="24" t="s">
        <v>1594</v>
      </c>
      <c r="E1129" s="24" t="s">
        <v>29</v>
      </c>
      <c r="F1129" s="24" t="s">
        <v>47</v>
      </c>
      <c r="G1129" s="24" t="s">
        <v>31</v>
      </c>
      <c r="H1129" s="24" t="s">
        <v>4973</v>
      </c>
      <c r="I1129" s="24" t="s">
        <v>11237</v>
      </c>
      <c r="J1129" s="24" t="s">
        <v>11238</v>
      </c>
      <c r="K1129" s="24" t="s">
        <v>9888</v>
      </c>
      <c r="L1129" s="24" t="s">
        <v>52</v>
      </c>
      <c r="M1129" s="15"/>
      <c r="N1129" s="15"/>
      <c r="O1129" s="15" t="s">
        <v>232</v>
      </c>
      <c r="P1129" s="15" t="s">
        <v>1074</v>
      </c>
      <c r="Q1129" s="15" t="s">
        <v>1601</v>
      </c>
      <c r="R1129" s="15" t="s">
        <v>1602</v>
      </c>
      <c r="S1129" s="24" t="s">
        <v>39</v>
      </c>
      <c r="T1129" s="24" t="s">
        <v>39</v>
      </c>
      <c r="U1129" s="24" t="s">
        <v>39</v>
      </c>
      <c r="V1129" s="24" t="s">
        <v>39</v>
      </c>
      <c r="W1129" s="24" t="s">
        <v>11239</v>
      </c>
      <c r="X1129" s="24" t="s">
        <v>11240</v>
      </c>
      <c r="Y1129" s="15" t="s">
        <v>11241</v>
      </c>
      <c r="Z1129" s="15" t="s">
        <v>11242</v>
      </c>
      <c r="AA1129" s="24"/>
      <c r="AB1129" s="24"/>
      <c r="AC1129" s="24"/>
      <c r="AD1129" s="24"/>
      <c r="AE1129" s="24"/>
      <c r="AF1129" s="24"/>
      <c r="AG1129" s="24"/>
      <c r="AH1129" s="24"/>
    </row>
    <row r="1130" spans="1:34" ht="60" x14ac:dyDescent="0.25">
      <c r="A1130" s="24" t="str">
        <f>HYPERLINK("https://www.cpso.on.ca/DoctorDetails/Julia-Anne-Masterson/0048591-62569","Masterson, Julia Anne")</f>
        <v>Masterson, Julia Anne</v>
      </c>
      <c r="B1130" s="25" t="s">
        <v>11243</v>
      </c>
      <c r="C1130" s="24" t="s">
        <v>1157</v>
      </c>
      <c r="D1130" s="24" t="s">
        <v>11244</v>
      </c>
      <c r="E1130" s="24" t="s">
        <v>29</v>
      </c>
      <c r="F1130" s="24" t="s">
        <v>47</v>
      </c>
      <c r="G1130" s="24" t="s">
        <v>31</v>
      </c>
      <c r="H1130" s="24" t="s">
        <v>1956</v>
      </c>
      <c r="I1130" s="24" t="s">
        <v>107</v>
      </c>
      <c r="J1130" s="24"/>
      <c r="K1130" s="24"/>
      <c r="L1130" s="24"/>
      <c r="M1130" s="15"/>
      <c r="N1130" s="15"/>
      <c r="O1130" s="15"/>
      <c r="P1130" s="15" t="s">
        <v>1007</v>
      </c>
      <c r="Q1130" s="15" t="s">
        <v>11245</v>
      </c>
      <c r="R1130" s="15" t="s">
        <v>11246</v>
      </c>
      <c r="S1130" s="24" t="s">
        <v>39</v>
      </c>
      <c r="T1130" s="24" t="s">
        <v>39</v>
      </c>
      <c r="U1130" s="24" t="s">
        <v>39</v>
      </c>
      <c r="V1130" s="24" t="s">
        <v>39</v>
      </c>
      <c r="W1130" s="24" t="s">
        <v>11247</v>
      </c>
      <c r="X1130" s="24" t="s">
        <v>11248</v>
      </c>
      <c r="Y1130" s="15" t="s">
        <v>11249</v>
      </c>
      <c r="Z1130" s="15" t="s">
        <v>11250</v>
      </c>
      <c r="AA1130" s="24"/>
      <c r="AB1130" s="24"/>
      <c r="AC1130" s="24"/>
      <c r="AD1130" s="24"/>
      <c r="AE1130" s="24"/>
      <c r="AF1130" s="24"/>
      <c r="AG1130" s="24"/>
      <c r="AH1130" s="24"/>
    </row>
    <row r="1131" spans="1:34" ht="60" x14ac:dyDescent="0.25">
      <c r="A1131" s="24" t="str">
        <f>HYPERLINK("https://www.cpso.on.ca/DoctorDetails/Julia-Grace-Kirkham/0286463-99985","Kirkham, Julia Grace")</f>
        <v>Kirkham, Julia Grace</v>
      </c>
      <c r="B1131" s="25" t="s">
        <v>11251</v>
      </c>
      <c r="C1131" s="24" t="s">
        <v>3585</v>
      </c>
      <c r="D1131" s="24" t="s">
        <v>443</v>
      </c>
      <c r="E1131" s="24" t="s">
        <v>29</v>
      </c>
      <c r="F1131" s="24" t="s">
        <v>47</v>
      </c>
      <c r="G1131" s="24" t="s">
        <v>813</v>
      </c>
      <c r="H1131" s="24" t="s">
        <v>11252</v>
      </c>
      <c r="I1131" s="24" t="s">
        <v>11253</v>
      </c>
      <c r="J1131" s="24" t="s">
        <v>11254</v>
      </c>
      <c r="K1131" s="24"/>
      <c r="L1131" s="24" t="s">
        <v>340</v>
      </c>
      <c r="M1131" s="15"/>
      <c r="N1131" s="15"/>
      <c r="O1131" s="15" t="s">
        <v>11255</v>
      </c>
      <c r="P1131" s="15" t="s">
        <v>2259</v>
      </c>
      <c r="Q1131" s="15" t="s">
        <v>11256</v>
      </c>
      <c r="R1131" s="15" t="s">
        <v>11257</v>
      </c>
      <c r="S1131" s="24" t="s">
        <v>39</v>
      </c>
      <c r="T1131" s="24" t="s">
        <v>39</v>
      </c>
      <c r="U1131" s="24" t="s">
        <v>39</v>
      </c>
      <c r="V1131" s="24" t="s">
        <v>39</v>
      </c>
      <c r="W1131" s="24" t="s">
        <v>11258</v>
      </c>
      <c r="X1131" s="24" t="s">
        <v>3472</v>
      </c>
      <c r="Y1131" s="15" t="s">
        <v>11259</v>
      </c>
      <c r="Z1131" s="15" t="s">
        <v>11260</v>
      </c>
      <c r="AA1131" s="24"/>
      <c r="AB1131" s="24"/>
      <c r="AC1131" s="24"/>
      <c r="AD1131" s="24"/>
      <c r="AE1131" s="24"/>
      <c r="AF1131" s="24"/>
      <c r="AG1131" s="24"/>
      <c r="AH1131" s="24"/>
    </row>
    <row r="1132" spans="1:34" ht="75" x14ac:dyDescent="0.25">
      <c r="A1132" s="24" t="str">
        <f>HYPERLINK("https://www.cpso.on.ca/DoctorDetails/Julia-Mansfield/0289254-100913","Mansfield, Julia")</f>
        <v>Mansfield, Julia</v>
      </c>
      <c r="B1132" s="25" t="s">
        <v>11261</v>
      </c>
      <c r="C1132" s="24" t="s">
        <v>11262</v>
      </c>
      <c r="D1132" s="24" t="s">
        <v>11263</v>
      </c>
      <c r="E1132" s="24" t="s">
        <v>29</v>
      </c>
      <c r="F1132" s="24" t="s">
        <v>47</v>
      </c>
      <c r="G1132" s="24" t="s">
        <v>31</v>
      </c>
      <c r="H1132" s="24" t="s">
        <v>7251</v>
      </c>
      <c r="I1132" s="24" t="s">
        <v>11264</v>
      </c>
      <c r="J1132" s="24" t="s">
        <v>11265</v>
      </c>
      <c r="K1132" s="24"/>
      <c r="L1132" s="24" t="s">
        <v>52</v>
      </c>
      <c r="M1132" s="15"/>
      <c r="N1132" s="15"/>
      <c r="O1132" s="15"/>
      <c r="P1132" s="15" t="s">
        <v>205</v>
      </c>
      <c r="Q1132" s="15" t="s">
        <v>206</v>
      </c>
      <c r="R1132" s="15" t="s">
        <v>11266</v>
      </c>
      <c r="S1132" s="24" t="s">
        <v>39</v>
      </c>
      <c r="T1132" s="24" t="s">
        <v>39</v>
      </c>
      <c r="U1132" s="24" t="s">
        <v>39</v>
      </c>
      <c r="V1132" s="24" t="s">
        <v>39</v>
      </c>
      <c r="W1132" s="24"/>
      <c r="X1132" s="24"/>
      <c r="Y1132" s="15"/>
      <c r="Z1132" s="15"/>
      <c r="AA1132" s="24"/>
      <c r="AB1132" s="24"/>
      <c r="AC1132" s="24"/>
      <c r="AD1132" s="24"/>
      <c r="AE1132" s="24"/>
      <c r="AF1132" s="24"/>
      <c r="AG1132" s="24"/>
      <c r="AH1132" s="24"/>
    </row>
    <row r="1133" spans="1:34" ht="165" x14ac:dyDescent="0.25">
      <c r="A1133" s="24" t="str">
        <f>HYPERLINK("https://www.cpso.on.ca/DoctorDetails/Julia-Mary-Kucharski/0280472-99126","Kucharski, Julia Mary")</f>
        <v>Kucharski, Julia Mary</v>
      </c>
      <c r="B1133" s="25" t="s">
        <v>11267</v>
      </c>
      <c r="C1133" s="24" t="s">
        <v>11268</v>
      </c>
      <c r="D1133" s="24" t="s">
        <v>200</v>
      </c>
      <c r="E1133" s="24" t="s">
        <v>29</v>
      </c>
      <c r="F1133" s="24" t="s">
        <v>47</v>
      </c>
      <c r="G1133" s="24" t="s">
        <v>31</v>
      </c>
      <c r="H1133" s="24" t="s">
        <v>11269</v>
      </c>
      <c r="I1133" s="24" t="s">
        <v>7719</v>
      </c>
      <c r="J1133" s="24" t="s">
        <v>11270</v>
      </c>
      <c r="K1133" s="24"/>
      <c r="L1133" s="24" t="s">
        <v>84</v>
      </c>
      <c r="M1133" s="15"/>
      <c r="N1133" s="15"/>
      <c r="O1133" s="15"/>
      <c r="P1133" s="15" t="s">
        <v>205</v>
      </c>
      <c r="Q1133" s="15" t="s">
        <v>11271</v>
      </c>
      <c r="R1133" s="15" t="s">
        <v>11272</v>
      </c>
      <c r="S1133" s="24" t="s">
        <v>39</v>
      </c>
      <c r="T1133" s="24" t="s">
        <v>39</v>
      </c>
      <c r="U1133" s="24" t="s">
        <v>39</v>
      </c>
      <c r="V1133" s="24" t="s">
        <v>39</v>
      </c>
      <c r="W1133" s="24"/>
      <c r="X1133" s="24"/>
      <c r="Y1133" s="15"/>
      <c r="Z1133" s="15"/>
      <c r="AA1133" s="24"/>
      <c r="AB1133" s="24"/>
      <c r="AC1133" s="24"/>
      <c r="AD1133" s="24"/>
      <c r="AE1133" s="24"/>
      <c r="AF1133" s="24"/>
      <c r="AG1133" s="24"/>
      <c r="AH1133" s="24"/>
    </row>
    <row r="1134" spans="1:34" x14ac:dyDescent="0.25">
      <c r="A1134" s="24" t="str">
        <f>HYPERLINK("https://www.cpso.on.ca/DoctorDetails/Julian-Abel-Constantine-Gojer/0051894-65873","Gojer, Julian Abel Constantine")</f>
        <v>Gojer, Julian Abel Constantine</v>
      </c>
      <c r="B1134" s="25" t="s">
        <v>11273</v>
      </c>
      <c r="C1134" s="24" t="s">
        <v>11274</v>
      </c>
      <c r="D1134" s="24" t="s">
        <v>11275</v>
      </c>
      <c r="E1134" s="24" t="s">
        <v>29</v>
      </c>
      <c r="F1134" s="24" t="s">
        <v>30</v>
      </c>
      <c r="G1134" s="24" t="s">
        <v>31</v>
      </c>
      <c r="H1134" s="24" t="s">
        <v>11276</v>
      </c>
      <c r="I1134" s="24" t="s">
        <v>11277</v>
      </c>
      <c r="J1134" s="24" t="s">
        <v>11278</v>
      </c>
      <c r="K1134" s="24" t="s">
        <v>11279</v>
      </c>
      <c r="L1134" s="24" t="s">
        <v>52</v>
      </c>
      <c r="M1134" s="15" t="s">
        <v>11280</v>
      </c>
      <c r="N1134" s="15" t="s">
        <v>695</v>
      </c>
      <c r="O1134" s="15" t="s">
        <v>9193</v>
      </c>
      <c r="P1134" s="15" t="s">
        <v>6227</v>
      </c>
      <c r="Q1134" s="15" t="s">
        <v>11281</v>
      </c>
      <c r="R1134" s="15" t="s">
        <v>11282</v>
      </c>
      <c r="S1134" s="24" t="s">
        <v>39</v>
      </c>
      <c r="T1134" s="24" t="s">
        <v>39</v>
      </c>
      <c r="U1134" s="24" t="s">
        <v>39</v>
      </c>
      <c r="V1134" s="24" t="s">
        <v>39</v>
      </c>
      <c r="W1134" s="24" t="s">
        <v>11283</v>
      </c>
      <c r="X1134" s="24" t="s">
        <v>11284</v>
      </c>
      <c r="Y1134" s="15" t="s">
        <v>11285</v>
      </c>
      <c r="Z1134" s="15" t="s">
        <v>11286</v>
      </c>
      <c r="AA1134" s="24"/>
      <c r="AB1134" s="24"/>
      <c r="AC1134" s="24"/>
      <c r="AD1134" s="24"/>
      <c r="AE1134" s="24"/>
      <c r="AF1134" s="24"/>
      <c r="AG1134" s="24"/>
      <c r="AH1134" s="24"/>
    </row>
    <row r="1135" spans="1:34" ht="90" x14ac:dyDescent="0.25">
      <c r="A1135" s="24" t="str">
        <f>HYPERLINK("https://www.cpso.on.ca/DoctorDetails/Juliana-Jing-Li/0242422-86546","Li, Juliana Jing")</f>
        <v>Li, Juliana Jing</v>
      </c>
      <c r="B1135" s="25" t="s">
        <v>11287</v>
      </c>
      <c r="C1135" s="24" t="s">
        <v>11288</v>
      </c>
      <c r="D1135" s="24" t="s">
        <v>11289</v>
      </c>
      <c r="E1135" s="24" t="s">
        <v>29</v>
      </c>
      <c r="F1135" s="24" t="s">
        <v>47</v>
      </c>
      <c r="G1135" s="24" t="s">
        <v>9242</v>
      </c>
      <c r="H1135" s="24" t="s">
        <v>2714</v>
      </c>
      <c r="I1135" s="24" t="s">
        <v>4423</v>
      </c>
      <c r="J1135" s="24" t="s">
        <v>3118</v>
      </c>
      <c r="K1135" s="24" t="s">
        <v>3119</v>
      </c>
      <c r="L1135" s="24" t="s">
        <v>135</v>
      </c>
      <c r="M1135" s="15"/>
      <c r="N1135" s="15"/>
      <c r="O1135" s="15"/>
      <c r="P1135" s="15" t="s">
        <v>11290</v>
      </c>
      <c r="Q1135" s="15" t="s">
        <v>11291</v>
      </c>
      <c r="R1135" s="15" t="s">
        <v>11292</v>
      </c>
      <c r="S1135" s="24" t="s">
        <v>39</v>
      </c>
      <c r="T1135" s="24" t="s">
        <v>39</v>
      </c>
      <c r="U1135" s="24" t="s">
        <v>39</v>
      </c>
      <c r="V1135" s="24" t="s">
        <v>39</v>
      </c>
      <c r="W1135" s="24"/>
      <c r="X1135" s="24"/>
      <c r="Y1135" s="15"/>
      <c r="Z1135" s="15"/>
      <c r="AA1135" s="24"/>
      <c r="AB1135" s="24"/>
      <c r="AC1135" s="24"/>
      <c r="AD1135" s="24"/>
      <c r="AE1135" s="24"/>
      <c r="AF1135" s="24"/>
      <c r="AG1135" s="24"/>
      <c r="AH1135" s="24"/>
    </row>
    <row r="1136" spans="1:34" ht="75" x14ac:dyDescent="0.25">
      <c r="A1136" s="24" t="str">
        <f>HYPERLINK("https://www.cpso.on.ca/DoctorDetails/Julianna-Choi/0056390-67978","Choi, Julianna")</f>
        <v>Choi, Julianna</v>
      </c>
      <c r="B1136" s="25" t="s">
        <v>11293</v>
      </c>
      <c r="C1136" s="24" t="s">
        <v>1669</v>
      </c>
      <c r="D1136" s="24" t="s">
        <v>1670</v>
      </c>
      <c r="E1136" s="24" t="s">
        <v>29</v>
      </c>
      <c r="F1136" s="24" t="s">
        <v>47</v>
      </c>
      <c r="G1136" s="24" t="s">
        <v>31</v>
      </c>
      <c r="H1136" s="24" t="s">
        <v>11294</v>
      </c>
      <c r="I1136" s="24" t="s">
        <v>11295</v>
      </c>
      <c r="J1136" s="24" t="s">
        <v>11296</v>
      </c>
      <c r="K1136" s="24"/>
      <c r="L1136" s="24" t="s">
        <v>52</v>
      </c>
      <c r="M1136" s="15"/>
      <c r="N1136" s="15"/>
      <c r="O1136" s="15"/>
      <c r="P1136" s="15" t="s">
        <v>1677</v>
      </c>
      <c r="Q1136" s="15" t="s">
        <v>1678</v>
      </c>
      <c r="R1136" s="15" t="s">
        <v>1679</v>
      </c>
      <c r="S1136" s="24" t="s">
        <v>39</v>
      </c>
      <c r="T1136" s="24" t="s">
        <v>39</v>
      </c>
      <c r="U1136" s="24" t="s">
        <v>39</v>
      </c>
      <c r="V1136" s="24" t="s">
        <v>39</v>
      </c>
      <c r="W1136" s="24"/>
      <c r="X1136" s="24"/>
      <c r="Y1136" s="15"/>
      <c r="Z1136" s="15"/>
      <c r="AA1136" s="24"/>
      <c r="AB1136" s="24"/>
      <c r="AC1136" s="24"/>
      <c r="AD1136" s="24"/>
      <c r="AE1136" s="24"/>
      <c r="AF1136" s="24"/>
      <c r="AG1136" s="24"/>
      <c r="AH1136" s="24"/>
    </row>
    <row r="1137" spans="1:34" ht="120" x14ac:dyDescent="0.25">
      <c r="A1137" s="24" t="str">
        <f>HYPERLINK("https://www.cpso.on.ca/DoctorDetails/Julie-Amanda-Jardine/0057717-69305","Jardine, Julie Amanda")</f>
        <v>Jardine, Julie Amanda</v>
      </c>
      <c r="B1137" s="25" t="s">
        <v>11297</v>
      </c>
      <c r="C1137" s="24" t="s">
        <v>11298</v>
      </c>
      <c r="D1137" s="24" t="s">
        <v>11299</v>
      </c>
      <c r="E1137" s="24" t="s">
        <v>29</v>
      </c>
      <c r="F1137" s="24" t="s">
        <v>47</v>
      </c>
      <c r="G1137" s="24" t="s">
        <v>31</v>
      </c>
      <c r="H1137" s="24" t="s">
        <v>3832</v>
      </c>
      <c r="I1137" s="24" t="s">
        <v>11300</v>
      </c>
      <c r="J1137" s="24" t="s">
        <v>11301</v>
      </c>
      <c r="K1137" s="24"/>
      <c r="L1137" s="24" t="s">
        <v>84</v>
      </c>
      <c r="M1137" s="15" t="s">
        <v>11302</v>
      </c>
      <c r="N1137" s="15"/>
      <c r="O1137" s="15" t="s">
        <v>11303</v>
      </c>
      <c r="P1137" s="15" t="s">
        <v>11304</v>
      </c>
      <c r="Q1137" s="15" t="s">
        <v>11305</v>
      </c>
      <c r="R1137" s="15" t="s">
        <v>11306</v>
      </c>
      <c r="S1137" s="24" t="s">
        <v>39</v>
      </c>
      <c r="T1137" s="24" t="s">
        <v>39</v>
      </c>
      <c r="U1137" s="24" t="s">
        <v>39</v>
      </c>
      <c r="V1137" s="24" t="s">
        <v>39</v>
      </c>
      <c r="W1137" s="24" t="s">
        <v>11307</v>
      </c>
      <c r="X1137" s="24" t="s">
        <v>11308</v>
      </c>
      <c r="Y1137" s="15" t="s">
        <v>11309</v>
      </c>
      <c r="Z1137" s="15" t="s">
        <v>11310</v>
      </c>
      <c r="AA1137" s="24"/>
      <c r="AB1137" s="24"/>
      <c r="AC1137" s="24"/>
      <c r="AD1137" s="24"/>
      <c r="AE1137" s="24"/>
      <c r="AF1137" s="24"/>
      <c r="AG1137" s="24"/>
      <c r="AH1137" s="24"/>
    </row>
    <row r="1138" spans="1:34" ht="105" x14ac:dyDescent="0.25">
      <c r="A1138" s="24" t="str">
        <f>HYPERLINK("https://www.cpso.on.ca/DoctorDetails/Julie-Carla-Richard/0220518-82661","Richard, Julie Carla")</f>
        <v>Richard, Julie Carla</v>
      </c>
      <c r="B1138" s="25" t="s">
        <v>11311</v>
      </c>
      <c r="C1138" s="24" t="s">
        <v>2342</v>
      </c>
      <c r="D1138" s="24" t="s">
        <v>648</v>
      </c>
      <c r="E1138" s="24" t="s">
        <v>29</v>
      </c>
      <c r="F1138" s="24" t="s">
        <v>47</v>
      </c>
      <c r="G1138" s="24" t="s">
        <v>813</v>
      </c>
      <c r="H1138" s="24" t="s">
        <v>6117</v>
      </c>
      <c r="I1138" s="24" t="s">
        <v>11312</v>
      </c>
      <c r="J1138" s="24" t="s">
        <v>11313</v>
      </c>
      <c r="K1138" s="24"/>
      <c r="L1138" s="24" t="s">
        <v>135</v>
      </c>
      <c r="M1138" s="15"/>
      <c r="N1138" s="15"/>
      <c r="O1138" s="15" t="s">
        <v>4970</v>
      </c>
      <c r="P1138" s="15" t="s">
        <v>654</v>
      </c>
      <c r="Q1138" s="15" t="s">
        <v>11314</v>
      </c>
      <c r="R1138" s="15" t="s">
        <v>11315</v>
      </c>
      <c r="S1138" s="24" t="s">
        <v>39</v>
      </c>
      <c r="T1138" s="24" t="s">
        <v>39</v>
      </c>
      <c r="U1138" s="24" t="s">
        <v>39</v>
      </c>
      <c r="V1138" s="24" t="s">
        <v>39</v>
      </c>
      <c r="W1138" s="24" t="s">
        <v>11316</v>
      </c>
      <c r="X1138" s="24" t="s">
        <v>11317</v>
      </c>
      <c r="Y1138" s="15" t="s">
        <v>11318</v>
      </c>
      <c r="Z1138" s="15" t="s">
        <v>11319</v>
      </c>
      <c r="AA1138" s="24"/>
      <c r="AB1138" s="24"/>
      <c r="AC1138" s="24"/>
      <c r="AD1138" s="24"/>
      <c r="AE1138" s="24"/>
      <c r="AF1138" s="24"/>
      <c r="AG1138" s="24"/>
      <c r="AH1138" s="24"/>
    </row>
    <row r="1139" spans="1:34" ht="90" x14ac:dyDescent="0.25">
      <c r="A1139" s="24" t="str">
        <f>HYPERLINK("https://www.cpso.on.ca/DoctorDetails/Julie-Diana-Maggi/0140084-71518","Maggi, Julie Diana")</f>
        <v>Maggi, Julie Diana</v>
      </c>
      <c r="B1139" s="25" t="s">
        <v>11320</v>
      </c>
      <c r="C1139" s="24" t="s">
        <v>1390</v>
      </c>
      <c r="D1139" s="24" t="s">
        <v>1391</v>
      </c>
      <c r="E1139" s="24" t="s">
        <v>29</v>
      </c>
      <c r="F1139" s="24" t="s">
        <v>47</v>
      </c>
      <c r="G1139" s="24" t="s">
        <v>31</v>
      </c>
      <c r="H1139" s="24" t="s">
        <v>1393</v>
      </c>
      <c r="I1139" s="24" t="s">
        <v>11321</v>
      </c>
      <c r="J1139" s="24" t="s">
        <v>11322</v>
      </c>
      <c r="K1139" s="24" t="s">
        <v>6168</v>
      </c>
      <c r="L1139" s="24" t="s">
        <v>52</v>
      </c>
      <c r="M1139" s="15"/>
      <c r="N1139" s="15"/>
      <c r="O1139" s="15" t="s">
        <v>219</v>
      </c>
      <c r="P1139" s="15" t="s">
        <v>1398</v>
      </c>
      <c r="Q1139" s="15" t="s">
        <v>11078</v>
      </c>
      <c r="R1139" s="15" t="s">
        <v>1400</v>
      </c>
      <c r="S1139" s="24" t="s">
        <v>39</v>
      </c>
      <c r="T1139" s="24" t="s">
        <v>39</v>
      </c>
      <c r="U1139" s="24" t="s">
        <v>39</v>
      </c>
      <c r="V1139" s="24" t="s">
        <v>39</v>
      </c>
      <c r="W1139" s="24"/>
      <c r="X1139" s="24"/>
      <c r="Y1139" s="15"/>
      <c r="Z1139" s="15"/>
      <c r="AA1139" s="24"/>
      <c r="AB1139" s="24"/>
      <c r="AC1139" s="24"/>
      <c r="AD1139" s="24"/>
      <c r="AE1139" s="24"/>
      <c r="AF1139" s="24"/>
      <c r="AG1139" s="24"/>
      <c r="AH1139" s="24"/>
    </row>
    <row r="1140" spans="1:34" ht="90" x14ac:dyDescent="0.25">
      <c r="A1140" s="24" t="str">
        <f>HYPERLINK("https://www.cpso.on.ca/DoctorDetails/Julie-Lyanne-Henderson/0223843-82770","Henderson, Julie Lyanne")</f>
        <v>Henderson, Julie Lyanne</v>
      </c>
      <c r="B1140" s="25" t="s">
        <v>11323</v>
      </c>
      <c r="C1140" s="24" t="s">
        <v>11324</v>
      </c>
      <c r="D1140" s="24" t="s">
        <v>11325</v>
      </c>
      <c r="E1140" s="24" t="s">
        <v>29</v>
      </c>
      <c r="F1140" s="24" t="s">
        <v>47</v>
      </c>
      <c r="G1140" s="24" t="s">
        <v>31</v>
      </c>
      <c r="H1140" s="24" t="s">
        <v>11326</v>
      </c>
      <c r="I1140" s="24" t="s">
        <v>49</v>
      </c>
      <c r="J1140" s="24" t="s">
        <v>50</v>
      </c>
      <c r="K1140" s="24" t="s">
        <v>51</v>
      </c>
      <c r="L1140" s="24" t="s">
        <v>52</v>
      </c>
      <c r="M1140" s="15" t="s">
        <v>11327</v>
      </c>
      <c r="N1140" s="15"/>
      <c r="O1140" s="15" t="s">
        <v>11328</v>
      </c>
      <c r="P1140" s="15" t="s">
        <v>2348</v>
      </c>
      <c r="Q1140" s="15" t="s">
        <v>11329</v>
      </c>
      <c r="R1140" s="15" t="s">
        <v>11330</v>
      </c>
      <c r="S1140" s="24" t="s">
        <v>39</v>
      </c>
      <c r="T1140" s="24" t="s">
        <v>39</v>
      </c>
      <c r="U1140" s="24" t="s">
        <v>39</v>
      </c>
      <c r="V1140" s="24" t="s">
        <v>39</v>
      </c>
      <c r="W1140" s="24" t="s">
        <v>11331</v>
      </c>
      <c r="X1140" s="24" t="s">
        <v>11332</v>
      </c>
      <c r="Y1140" s="15"/>
      <c r="Z1140" s="15"/>
      <c r="AA1140" s="24"/>
      <c r="AB1140" s="24"/>
      <c r="AC1140" s="24"/>
      <c r="AD1140" s="24"/>
      <c r="AE1140" s="24"/>
      <c r="AF1140" s="24"/>
      <c r="AG1140" s="24"/>
      <c r="AH1140" s="24"/>
    </row>
    <row r="1141" spans="1:34" ht="45" x14ac:dyDescent="0.25">
      <c r="A1141" s="24" t="str">
        <f>HYPERLINK("https://www.cpso.on.ca/DoctorDetails/Julie-Marchand/0306369-108127","Marchand, Julie")</f>
        <v>Marchand, Julie</v>
      </c>
      <c r="B1141" s="25" t="s">
        <v>11333</v>
      </c>
      <c r="C1141" s="24" t="s">
        <v>11334</v>
      </c>
      <c r="D1141" s="24" t="s">
        <v>11335</v>
      </c>
      <c r="E1141" s="24" t="s">
        <v>29</v>
      </c>
      <c r="F1141" s="24" t="s">
        <v>47</v>
      </c>
      <c r="G1141" s="24" t="s">
        <v>813</v>
      </c>
      <c r="H1141" s="24" t="s">
        <v>11336</v>
      </c>
      <c r="I1141" s="24" t="s">
        <v>11337</v>
      </c>
      <c r="J1141" s="24" t="s">
        <v>11338</v>
      </c>
      <c r="K1141" s="24"/>
      <c r="L1141" s="24"/>
      <c r="M1141" s="15" t="s">
        <v>11339</v>
      </c>
      <c r="N1141" s="15" t="s">
        <v>710</v>
      </c>
      <c r="O1141" s="15" t="s">
        <v>329</v>
      </c>
      <c r="P1141" s="15" t="s">
        <v>11340</v>
      </c>
      <c r="Q1141" s="15"/>
      <c r="R1141" s="15" t="s">
        <v>11341</v>
      </c>
      <c r="S1141" s="24" t="s">
        <v>39</v>
      </c>
      <c r="T1141" s="24" t="s">
        <v>39</v>
      </c>
      <c r="U1141" s="24" t="s">
        <v>39</v>
      </c>
      <c r="V1141" s="24" t="s">
        <v>39</v>
      </c>
      <c r="W1141" s="24"/>
      <c r="X1141" s="24"/>
      <c r="Y1141" s="15"/>
      <c r="Z1141" s="15"/>
      <c r="AA1141" s="24"/>
      <c r="AB1141" s="24"/>
      <c r="AC1141" s="24"/>
      <c r="AD1141" s="24"/>
      <c r="AE1141" s="24"/>
      <c r="AF1141" s="24"/>
      <c r="AG1141" s="24"/>
      <c r="AH1141" s="24"/>
    </row>
    <row r="1142" spans="1:34" x14ac:dyDescent="0.25">
      <c r="A1142" s="24" t="str">
        <f>HYPERLINK("https://www.cpso.on.ca/DoctorDetails/Julio-Szmuilowicz/0023663-28455","Szmuilowicz, Julio")</f>
        <v>Szmuilowicz, Julio</v>
      </c>
      <c r="B1142" s="25" t="s">
        <v>11342</v>
      </c>
      <c r="C1142" s="24" t="s">
        <v>11343</v>
      </c>
      <c r="D1142" s="24" t="s">
        <v>11344</v>
      </c>
      <c r="E1142" s="24" t="s">
        <v>29</v>
      </c>
      <c r="F1142" s="24" t="s">
        <v>30</v>
      </c>
      <c r="G1142" s="24" t="s">
        <v>11345</v>
      </c>
      <c r="H1142" s="24" t="s">
        <v>11346</v>
      </c>
      <c r="I1142" s="24" t="s">
        <v>11347</v>
      </c>
      <c r="J1142" s="24" t="s">
        <v>11348</v>
      </c>
      <c r="K1142" s="24" t="s">
        <v>11348</v>
      </c>
      <c r="L1142" s="24" t="s">
        <v>52</v>
      </c>
      <c r="M1142" s="15"/>
      <c r="N1142" s="15"/>
      <c r="O1142" s="15"/>
      <c r="P1142" s="15" t="s">
        <v>7653</v>
      </c>
      <c r="Q1142" s="15"/>
      <c r="R1142" s="15" t="s">
        <v>11349</v>
      </c>
      <c r="S1142" s="24" t="s">
        <v>39</v>
      </c>
      <c r="T1142" s="24" t="s">
        <v>39</v>
      </c>
      <c r="U1142" s="24" t="s">
        <v>39</v>
      </c>
      <c r="V1142" s="24" t="s">
        <v>39</v>
      </c>
      <c r="W1142" s="24" t="s">
        <v>11350</v>
      </c>
      <c r="X1142" s="24" t="s">
        <v>11351</v>
      </c>
      <c r="Y1142" s="15" t="s">
        <v>11352</v>
      </c>
      <c r="Z1142" s="15" t="s">
        <v>11353</v>
      </c>
      <c r="AA1142" s="24"/>
      <c r="AB1142" s="24"/>
      <c r="AC1142" s="24"/>
      <c r="AD1142" s="24"/>
      <c r="AE1142" s="24"/>
      <c r="AF1142" s="24"/>
      <c r="AG1142" s="24"/>
      <c r="AH1142" s="24"/>
    </row>
    <row r="1143" spans="1:34" ht="75" x14ac:dyDescent="0.25">
      <c r="A1143" s="24" t="str">
        <f>HYPERLINK("https://www.cpso.on.ca/DoctorDetails/Juma-Justin-Mark-Weissglas/0232575-84427","Weissglas, Juma Justin Mark")</f>
        <v>Weissglas, Juma Justin Mark</v>
      </c>
      <c r="B1143" s="25" t="s">
        <v>11354</v>
      </c>
      <c r="C1143" s="24" t="s">
        <v>647</v>
      </c>
      <c r="D1143" s="24" t="s">
        <v>648</v>
      </c>
      <c r="E1143" s="24" t="s">
        <v>29</v>
      </c>
      <c r="F1143" s="24" t="s">
        <v>30</v>
      </c>
      <c r="G1143" s="24" t="s">
        <v>31</v>
      </c>
      <c r="H1143" s="24" t="s">
        <v>2613</v>
      </c>
      <c r="I1143" s="24" t="s">
        <v>11355</v>
      </c>
      <c r="J1143" s="24" t="s">
        <v>1551</v>
      </c>
      <c r="K1143" s="24"/>
      <c r="L1143" s="24" t="s">
        <v>52</v>
      </c>
      <c r="M1143" s="15"/>
      <c r="N1143" s="15"/>
      <c r="O1143" s="15" t="s">
        <v>1397</v>
      </c>
      <c r="P1143" s="15" t="s">
        <v>654</v>
      </c>
      <c r="Q1143" s="15" t="s">
        <v>11356</v>
      </c>
      <c r="R1143" s="15" t="s">
        <v>656</v>
      </c>
      <c r="S1143" s="24" t="s">
        <v>39</v>
      </c>
      <c r="T1143" s="24" t="s">
        <v>39</v>
      </c>
      <c r="U1143" s="24" t="s">
        <v>39</v>
      </c>
      <c r="V1143" s="24" t="s">
        <v>39</v>
      </c>
      <c r="W1143" s="24" t="s">
        <v>11357</v>
      </c>
      <c r="X1143" s="24" t="s">
        <v>11358</v>
      </c>
      <c r="Y1143" s="15" t="s">
        <v>11359</v>
      </c>
      <c r="Z1143" s="15" t="s">
        <v>11360</v>
      </c>
      <c r="AA1143" s="24"/>
      <c r="AB1143" s="24"/>
      <c r="AC1143" s="24"/>
      <c r="AD1143" s="24"/>
      <c r="AE1143" s="24"/>
      <c r="AF1143" s="24"/>
      <c r="AG1143" s="24"/>
      <c r="AH1143" s="24"/>
    </row>
    <row r="1144" spans="1:34" ht="75" x14ac:dyDescent="0.25">
      <c r="A1144" s="24" t="str">
        <f>HYPERLINK("https://www.cpso.on.ca/DoctorDetails/Justin-Geagea/0172706-74796","Geagea, Justin")</f>
        <v>Geagea, Justin</v>
      </c>
      <c r="B1144" s="25" t="s">
        <v>11361</v>
      </c>
      <c r="C1144" s="24" t="s">
        <v>3642</v>
      </c>
      <c r="D1144" s="24" t="s">
        <v>1234</v>
      </c>
      <c r="E1144" s="24" t="s">
        <v>29</v>
      </c>
      <c r="F1144" s="24" t="s">
        <v>30</v>
      </c>
      <c r="G1144" s="24" t="s">
        <v>31</v>
      </c>
      <c r="H1144" s="24" t="s">
        <v>11362</v>
      </c>
      <c r="I1144" s="24" t="s">
        <v>11363</v>
      </c>
      <c r="J1144" s="24" t="s">
        <v>11364</v>
      </c>
      <c r="K1144" s="24" t="s">
        <v>11365</v>
      </c>
      <c r="L1144" s="24" t="s">
        <v>52</v>
      </c>
      <c r="M1144" s="15"/>
      <c r="N1144" s="15"/>
      <c r="O1144" s="15" t="s">
        <v>981</v>
      </c>
      <c r="P1144" s="15" t="s">
        <v>1239</v>
      </c>
      <c r="Q1144" s="15" t="s">
        <v>3659</v>
      </c>
      <c r="R1144" s="15" t="s">
        <v>3649</v>
      </c>
      <c r="S1144" s="24" t="s">
        <v>39</v>
      </c>
      <c r="T1144" s="24" t="s">
        <v>39</v>
      </c>
      <c r="U1144" s="24" t="s">
        <v>39</v>
      </c>
      <c r="V1144" s="24" t="s">
        <v>39</v>
      </c>
      <c r="W1144" s="24" t="s">
        <v>11366</v>
      </c>
      <c r="X1144" s="24" t="s">
        <v>8613</v>
      </c>
      <c r="Y1144" s="15" t="s">
        <v>11367</v>
      </c>
      <c r="Z1144" s="15" t="s">
        <v>11368</v>
      </c>
      <c r="AA1144" s="24"/>
      <c r="AB1144" s="24"/>
      <c r="AC1144" s="24"/>
      <c r="AD1144" s="24"/>
      <c r="AE1144" s="24"/>
      <c r="AF1144" s="24"/>
      <c r="AG1144" s="24"/>
      <c r="AH1144" s="24"/>
    </row>
    <row r="1145" spans="1:34" ht="75" x14ac:dyDescent="0.25">
      <c r="A1145" s="24" t="str">
        <f>HYPERLINK("https://www.cpso.on.ca/DoctorDetails/Justin-Riley-Delwo/0250449-89003","Delwo, Justin Riley")</f>
        <v>Delwo, Justin Riley</v>
      </c>
      <c r="B1145" s="25" t="s">
        <v>11369</v>
      </c>
      <c r="C1145" s="24" t="s">
        <v>846</v>
      </c>
      <c r="D1145" s="24" t="s">
        <v>600</v>
      </c>
      <c r="E1145" s="24" t="s">
        <v>29</v>
      </c>
      <c r="F1145" s="24" t="s">
        <v>30</v>
      </c>
      <c r="G1145" s="24" t="s">
        <v>31</v>
      </c>
      <c r="H1145" s="24" t="s">
        <v>11370</v>
      </c>
      <c r="I1145" s="24" t="s">
        <v>11371</v>
      </c>
      <c r="J1145" s="24" t="s">
        <v>9894</v>
      </c>
      <c r="K1145" s="24" t="s">
        <v>2124</v>
      </c>
      <c r="L1145" s="24" t="s">
        <v>52</v>
      </c>
      <c r="M1145" s="15"/>
      <c r="N1145" s="15"/>
      <c r="O1145" s="15" t="s">
        <v>11372</v>
      </c>
      <c r="P1145" s="15" t="s">
        <v>272</v>
      </c>
      <c r="Q1145" s="15" t="s">
        <v>273</v>
      </c>
      <c r="R1145" s="15" t="s">
        <v>853</v>
      </c>
      <c r="S1145" s="24" t="s">
        <v>39</v>
      </c>
      <c r="T1145" s="24" t="s">
        <v>39</v>
      </c>
      <c r="U1145" s="24" t="s">
        <v>39</v>
      </c>
      <c r="V1145" s="24" t="s">
        <v>39</v>
      </c>
      <c r="W1145" s="24"/>
      <c r="X1145" s="24"/>
      <c r="Y1145" s="15"/>
      <c r="Z1145" s="15"/>
      <c r="AA1145" s="24"/>
      <c r="AB1145" s="24"/>
      <c r="AC1145" s="24"/>
      <c r="AD1145" s="24"/>
      <c r="AE1145" s="24"/>
      <c r="AF1145" s="24"/>
      <c r="AG1145" s="24"/>
      <c r="AH1145" s="24"/>
    </row>
    <row r="1146" spans="1:34" ht="105" x14ac:dyDescent="0.25">
      <c r="A1146" s="24" t="str">
        <f>HYPERLINK("https://www.cpso.on.ca/DoctorDetails/Justine-Sarah-Dembo/0252757-89824","Dembo, Justine Sarah")</f>
        <v>Dembo, Justine Sarah</v>
      </c>
      <c r="B1146" s="25" t="s">
        <v>11373</v>
      </c>
      <c r="C1146" s="24" t="s">
        <v>11374</v>
      </c>
      <c r="D1146" s="24" t="s">
        <v>11375</v>
      </c>
      <c r="E1146" s="24" t="s">
        <v>29</v>
      </c>
      <c r="F1146" s="24" t="s">
        <v>47</v>
      </c>
      <c r="G1146" s="24" t="s">
        <v>31</v>
      </c>
      <c r="H1146" s="24" t="s">
        <v>4973</v>
      </c>
      <c r="I1146" s="24" t="s">
        <v>11376</v>
      </c>
      <c r="J1146" s="24" t="s">
        <v>11377</v>
      </c>
      <c r="K1146" s="24"/>
      <c r="L1146" s="24" t="s">
        <v>52</v>
      </c>
      <c r="M1146" s="15" t="s">
        <v>11378</v>
      </c>
      <c r="N1146" s="15" t="s">
        <v>735</v>
      </c>
      <c r="O1146" s="15"/>
      <c r="P1146" s="15" t="s">
        <v>11379</v>
      </c>
      <c r="Q1146" s="15" t="s">
        <v>11380</v>
      </c>
      <c r="R1146" s="15" t="s">
        <v>11381</v>
      </c>
      <c r="S1146" s="24" t="s">
        <v>39</v>
      </c>
      <c r="T1146" s="24" t="s">
        <v>39</v>
      </c>
      <c r="U1146" s="24" t="s">
        <v>39</v>
      </c>
      <c r="V1146" s="24" t="s">
        <v>39</v>
      </c>
      <c r="W1146" s="24"/>
      <c r="X1146" s="24"/>
      <c r="Y1146" s="15"/>
      <c r="Z1146" s="15"/>
      <c r="AA1146" s="24"/>
      <c r="AB1146" s="24"/>
      <c r="AC1146" s="24"/>
      <c r="AD1146" s="24"/>
      <c r="AE1146" s="24"/>
      <c r="AF1146" s="24"/>
      <c r="AG1146" s="24"/>
      <c r="AH1146" s="24"/>
    </row>
    <row r="1147" spans="1:34" ht="90" x14ac:dyDescent="0.25">
      <c r="A1147" s="24" t="str">
        <f>HYPERLINK("https://www.cpso.on.ca/DoctorDetails/Juveria-Shabnam-Zaheer/0242559-86864","Zaheer, Juveria Shabnam")</f>
        <v>Zaheer, Juveria Shabnam</v>
      </c>
      <c r="B1147" s="25" t="s">
        <v>11382</v>
      </c>
      <c r="C1147" s="24" t="s">
        <v>544</v>
      </c>
      <c r="D1147" s="24" t="s">
        <v>11383</v>
      </c>
      <c r="E1147" s="24" t="s">
        <v>29</v>
      </c>
      <c r="F1147" s="24" t="s">
        <v>47</v>
      </c>
      <c r="G1147" s="24" t="s">
        <v>31</v>
      </c>
      <c r="H1147" s="24" t="s">
        <v>11384</v>
      </c>
      <c r="I1147" s="24" t="s">
        <v>11385</v>
      </c>
      <c r="J1147" s="24" t="s">
        <v>1262</v>
      </c>
      <c r="K1147" s="24" t="s">
        <v>3533</v>
      </c>
      <c r="L1147" s="24" t="s">
        <v>52</v>
      </c>
      <c r="M1147" s="15"/>
      <c r="N1147" s="15"/>
      <c r="O1147" s="15" t="s">
        <v>793</v>
      </c>
      <c r="P1147" s="15" t="s">
        <v>1074</v>
      </c>
      <c r="Q1147" s="15" t="s">
        <v>11386</v>
      </c>
      <c r="R1147" s="15" t="s">
        <v>11387</v>
      </c>
      <c r="S1147" s="24" t="s">
        <v>39</v>
      </c>
      <c r="T1147" s="24" t="s">
        <v>39</v>
      </c>
      <c r="U1147" s="24" t="s">
        <v>39</v>
      </c>
      <c r="V1147" s="24" t="s">
        <v>39</v>
      </c>
      <c r="W1147" s="24"/>
      <c r="X1147" s="24"/>
      <c r="Y1147" s="15"/>
      <c r="Z1147" s="15"/>
      <c r="AA1147" s="24"/>
      <c r="AB1147" s="24"/>
      <c r="AC1147" s="24"/>
      <c r="AD1147" s="24"/>
      <c r="AE1147" s="24"/>
      <c r="AF1147" s="24"/>
      <c r="AG1147" s="24"/>
      <c r="AH1147" s="24"/>
    </row>
    <row r="1148" spans="1:34" ht="75" x14ac:dyDescent="0.25">
      <c r="A1148" s="24" t="str">
        <f>HYPERLINK("https://www.cpso.on.ca/DoctorDetails/Kaaren-Zoe-Heasman/0042800-56778","Heasman, Kaaren Zoe")</f>
        <v>Heasman, Kaaren Zoe</v>
      </c>
      <c r="B1148" s="25" t="s">
        <v>11388</v>
      </c>
      <c r="C1148" s="24" t="s">
        <v>3427</v>
      </c>
      <c r="D1148" s="24" t="s">
        <v>5698</v>
      </c>
      <c r="E1148" s="24" t="s">
        <v>29</v>
      </c>
      <c r="F1148" s="24" t="s">
        <v>47</v>
      </c>
      <c r="G1148" s="24" t="s">
        <v>31</v>
      </c>
      <c r="H1148" s="24" t="s">
        <v>3429</v>
      </c>
      <c r="I1148" s="24" t="s">
        <v>11389</v>
      </c>
      <c r="J1148" s="24" t="s">
        <v>11390</v>
      </c>
      <c r="K1148" s="24"/>
      <c r="L1148" s="24" t="s">
        <v>52</v>
      </c>
      <c r="M1148" s="15"/>
      <c r="N1148" s="15"/>
      <c r="O1148" s="15"/>
      <c r="P1148" s="15" t="s">
        <v>2293</v>
      </c>
      <c r="Q1148" s="15" t="s">
        <v>11391</v>
      </c>
      <c r="R1148" s="15" t="s">
        <v>11392</v>
      </c>
      <c r="S1148" s="24" t="s">
        <v>39</v>
      </c>
      <c r="T1148" s="24" t="s">
        <v>39</v>
      </c>
      <c r="U1148" s="24" t="s">
        <v>39</v>
      </c>
      <c r="V1148" s="24" t="s">
        <v>39</v>
      </c>
      <c r="W1148" s="24" t="s">
        <v>5263</v>
      </c>
      <c r="X1148" s="24" t="s">
        <v>5264</v>
      </c>
      <c r="Y1148" s="15" t="s">
        <v>5265</v>
      </c>
      <c r="Z1148" s="15" t="s">
        <v>5266</v>
      </c>
      <c r="AA1148" s="24"/>
      <c r="AB1148" s="24"/>
      <c r="AC1148" s="24"/>
      <c r="AD1148" s="24"/>
      <c r="AE1148" s="24"/>
      <c r="AF1148" s="24"/>
      <c r="AG1148" s="24"/>
      <c r="AH1148" s="24"/>
    </row>
    <row r="1149" spans="1:34" ht="105" x14ac:dyDescent="0.25">
      <c r="A1149" s="24" t="str">
        <f>HYPERLINK("https://www.cpso.on.ca/DoctorDetails/Kaila-Ann-Rudolph/0266162-92928","Rudolph, Kaila Ann")</f>
        <v>Rudolph, Kaila Ann</v>
      </c>
      <c r="B1149" s="25" t="s">
        <v>11393</v>
      </c>
      <c r="C1149" s="24" t="s">
        <v>570</v>
      </c>
      <c r="D1149" s="24" t="s">
        <v>11394</v>
      </c>
      <c r="E1149" s="24" t="s">
        <v>29</v>
      </c>
      <c r="F1149" s="24" t="s">
        <v>47</v>
      </c>
      <c r="G1149" s="24" t="s">
        <v>31</v>
      </c>
      <c r="H1149" s="24" t="s">
        <v>6752</v>
      </c>
      <c r="I1149" s="24" t="s">
        <v>11395</v>
      </c>
      <c r="J1149" s="24" t="s">
        <v>11396</v>
      </c>
      <c r="K1149" s="24"/>
      <c r="L1149" s="24" t="s">
        <v>52</v>
      </c>
      <c r="M1149" s="15"/>
      <c r="N1149" s="15" t="s">
        <v>5614</v>
      </c>
      <c r="O1149" s="15"/>
      <c r="P1149" s="15" t="s">
        <v>1704</v>
      </c>
      <c r="Q1149" s="15" t="s">
        <v>11397</v>
      </c>
      <c r="R1149" s="15" t="s">
        <v>11398</v>
      </c>
      <c r="S1149" s="24" t="s">
        <v>39</v>
      </c>
      <c r="T1149" s="24" t="s">
        <v>39</v>
      </c>
      <c r="U1149" s="24" t="s">
        <v>39</v>
      </c>
      <c r="V1149" s="24" t="s">
        <v>39</v>
      </c>
      <c r="W1149" s="24"/>
      <c r="X1149" s="24"/>
      <c r="Y1149" s="15"/>
      <c r="Z1149" s="15"/>
      <c r="AA1149" s="24"/>
      <c r="AB1149" s="24"/>
      <c r="AC1149" s="24"/>
      <c r="AD1149" s="24"/>
      <c r="AE1149" s="24"/>
      <c r="AF1149" s="24"/>
      <c r="AG1149" s="24"/>
      <c r="AH1149" s="24"/>
    </row>
    <row r="1150" spans="1:34" ht="105" x14ac:dyDescent="0.25">
      <c r="A1150" s="24" t="str">
        <f>HYPERLINK("https://www.cpso.on.ca/DoctorDetails/Kalam-Sutandar/0220760-82623","Sutandar, Kalam")</f>
        <v>Sutandar, Kalam</v>
      </c>
      <c r="B1150" s="25" t="s">
        <v>11399</v>
      </c>
      <c r="C1150" s="24" t="s">
        <v>2342</v>
      </c>
      <c r="D1150" s="24" t="s">
        <v>648</v>
      </c>
      <c r="E1150" s="24" t="s">
        <v>29</v>
      </c>
      <c r="F1150" s="24" t="s">
        <v>47</v>
      </c>
      <c r="G1150" s="24" t="s">
        <v>31</v>
      </c>
      <c r="H1150" s="24" t="s">
        <v>990</v>
      </c>
      <c r="I1150" s="24" t="s">
        <v>11400</v>
      </c>
      <c r="J1150" s="24" t="s">
        <v>11401</v>
      </c>
      <c r="K1150" s="24" t="s">
        <v>486</v>
      </c>
      <c r="L1150" s="24" t="s">
        <v>52</v>
      </c>
      <c r="M1150" s="15"/>
      <c r="N1150" s="15"/>
      <c r="O1150" s="15" t="s">
        <v>487</v>
      </c>
      <c r="P1150" s="15" t="s">
        <v>654</v>
      </c>
      <c r="Q1150" s="15" t="s">
        <v>11402</v>
      </c>
      <c r="R1150" s="15" t="s">
        <v>11315</v>
      </c>
      <c r="S1150" s="24" t="s">
        <v>39</v>
      </c>
      <c r="T1150" s="24" t="s">
        <v>39</v>
      </c>
      <c r="U1150" s="24" t="s">
        <v>39</v>
      </c>
      <c r="V1150" s="24" t="s">
        <v>39</v>
      </c>
      <c r="W1150" s="24" t="s">
        <v>11403</v>
      </c>
      <c r="X1150" s="24" t="s">
        <v>5198</v>
      </c>
      <c r="Y1150" s="15" t="s">
        <v>11404</v>
      </c>
      <c r="Z1150" s="15" t="s">
        <v>11405</v>
      </c>
      <c r="AA1150" s="24"/>
      <c r="AB1150" s="24"/>
      <c r="AC1150" s="24"/>
      <c r="AD1150" s="24"/>
      <c r="AE1150" s="24"/>
      <c r="AF1150" s="24"/>
      <c r="AG1150" s="24"/>
      <c r="AH1150" s="24"/>
    </row>
    <row r="1151" spans="1:34" ht="60" x14ac:dyDescent="0.25">
      <c r="A1151" s="24" t="str">
        <f>HYPERLINK("https://www.cpso.on.ca/DoctorDetails/Kamini-Vasudev/0264785-94389","Vasudev, Kamini")</f>
        <v>Vasudev, Kamini</v>
      </c>
      <c r="B1151" s="25" t="s">
        <v>11406</v>
      </c>
      <c r="C1151" s="24" t="s">
        <v>689</v>
      </c>
      <c r="D1151" s="24" t="s">
        <v>690</v>
      </c>
      <c r="E1151" s="24" t="s">
        <v>29</v>
      </c>
      <c r="F1151" s="24" t="s">
        <v>47</v>
      </c>
      <c r="G1151" s="24" t="s">
        <v>691</v>
      </c>
      <c r="H1151" s="24" t="s">
        <v>692</v>
      </c>
      <c r="I1151" s="24" t="s">
        <v>11407</v>
      </c>
      <c r="J1151" s="24" t="s">
        <v>11408</v>
      </c>
      <c r="K1151" s="24" t="s">
        <v>4969</v>
      </c>
      <c r="L1151" s="24" t="s">
        <v>135</v>
      </c>
      <c r="M1151" s="15"/>
      <c r="N1151" s="15"/>
      <c r="O1151" s="15" t="s">
        <v>4970</v>
      </c>
      <c r="P1151" s="15" t="s">
        <v>697</v>
      </c>
      <c r="Q1151" s="15"/>
      <c r="R1151" s="15" t="s">
        <v>698</v>
      </c>
      <c r="S1151" s="24" t="s">
        <v>71</v>
      </c>
      <c r="T1151" s="24" t="s">
        <v>39</v>
      </c>
      <c r="U1151" s="24" t="s">
        <v>39</v>
      </c>
      <c r="V1151" s="24" t="s">
        <v>39</v>
      </c>
      <c r="W1151" s="24" t="s">
        <v>11409</v>
      </c>
      <c r="X1151" s="24" t="s">
        <v>11410</v>
      </c>
      <c r="Y1151" s="15" t="s">
        <v>11411</v>
      </c>
      <c r="Z1151" s="15" t="s">
        <v>11412</v>
      </c>
      <c r="AA1151" s="24"/>
      <c r="AB1151" s="24"/>
      <c r="AC1151" s="24"/>
      <c r="AD1151" s="24"/>
      <c r="AE1151" s="24"/>
      <c r="AF1151" s="24"/>
      <c r="AG1151" s="24"/>
      <c r="AH1151" s="24"/>
    </row>
    <row r="1152" spans="1:34" ht="45" x14ac:dyDescent="0.25">
      <c r="A1152" s="24" t="str">
        <f>HYPERLINK("https://www.cpso.on.ca/DoctorDetails/Kamlesh-Balchand/0180384-82242","Balchand, Kamlesh")</f>
        <v>Balchand, Kamlesh</v>
      </c>
      <c r="B1152" s="25" t="s">
        <v>11413</v>
      </c>
      <c r="C1152" s="24" t="s">
        <v>11414</v>
      </c>
      <c r="D1152" s="24" t="s">
        <v>11415</v>
      </c>
      <c r="E1152" s="24" t="s">
        <v>29</v>
      </c>
      <c r="F1152" s="24" t="s">
        <v>30</v>
      </c>
      <c r="G1152" s="24" t="s">
        <v>31</v>
      </c>
      <c r="H1152" s="24" t="s">
        <v>4402</v>
      </c>
      <c r="I1152" s="24" t="s">
        <v>107</v>
      </c>
      <c r="J1152" s="24"/>
      <c r="K1152" s="24"/>
      <c r="L1152" s="24"/>
      <c r="M1152" s="15"/>
      <c r="N1152" s="15"/>
      <c r="O1152" s="15" t="s">
        <v>981</v>
      </c>
      <c r="P1152" s="15" t="s">
        <v>1149</v>
      </c>
      <c r="Q1152" s="15" t="s">
        <v>11416</v>
      </c>
      <c r="R1152" s="15" t="s">
        <v>11417</v>
      </c>
      <c r="S1152" s="24" t="s">
        <v>39</v>
      </c>
      <c r="T1152" s="24" t="s">
        <v>39</v>
      </c>
      <c r="U1152" s="24" t="s">
        <v>39</v>
      </c>
      <c r="V1152" s="24" t="s">
        <v>39</v>
      </c>
      <c r="W1152" s="24" t="s">
        <v>11418</v>
      </c>
      <c r="X1152" s="24" t="s">
        <v>11419</v>
      </c>
      <c r="Y1152" s="15" t="s">
        <v>11420</v>
      </c>
      <c r="Z1152" s="15" t="s">
        <v>3997</v>
      </c>
      <c r="AA1152" s="24"/>
      <c r="AB1152" s="24"/>
      <c r="AC1152" s="24"/>
      <c r="AD1152" s="24"/>
      <c r="AE1152" s="24"/>
      <c r="AF1152" s="24"/>
      <c r="AG1152" s="24"/>
      <c r="AH1152" s="24"/>
    </row>
    <row r="1153" spans="1:34" ht="75" x14ac:dyDescent="0.25">
      <c r="A1153" s="24" t="str">
        <f>HYPERLINK("https://www.cpso.on.ca/DoctorDetails/Kamran-Bordbar/0200462-79728","Bordbar, Kamran")</f>
        <v>Bordbar, Kamran</v>
      </c>
      <c r="B1153" s="25" t="s">
        <v>11421</v>
      </c>
      <c r="C1153" s="24" t="s">
        <v>871</v>
      </c>
      <c r="D1153" s="24" t="s">
        <v>872</v>
      </c>
      <c r="E1153" s="24" t="s">
        <v>29</v>
      </c>
      <c r="F1153" s="24" t="s">
        <v>30</v>
      </c>
      <c r="G1153" s="24" t="s">
        <v>11422</v>
      </c>
      <c r="H1153" s="24" t="s">
        <v>11423</v>
      </c>
      <c r="I1153" s="24" t="s">
        <v>11424</v>
      </c>
      <c r="J1153" s="24" t="s">
        <v>11425</v>
      </c>
      <c r="K1153" s="24" t="s">
        <v>11426</v>
      </c>
      <c r="L1153" s="24" t="s">
        <v>52</v>
      </c>
      <c r="M1153" s="15"/>
      <c r="N1153" s="15"/>
      <c r="O1153" s="15"/>
      <c r="P1153" s="15" t="s">
        <v>880</v>
      </c>
      <c r="Q1153" s="15" t="s">
        <v>11427</v>
      </c>
      <c r="R1153" s="15" t="s">
        <v>882</v>
      </c>
      <c r="S1153" s="24" t="s">
        <v>39</v>
      </c>
      <c r="T1153" s="24" t="s">
        <v>39</v>
      </c>
      <c r="U1153" s="24" t="s">
        <v>39</v>
      </c>
      <c r="V1153" s="24" t="s">
        <v>39</v>
      </c>
      <c r="W1153" s="24" t="s">
        <v>11428</v>
      </c>
      <c r="X1153" s="24" t="s">
        <v>11429</v>
      </c>
      <c r="Y1153" s="15"/>
      <c r="Z1153" s="15"/>
      <c r="AA1153" s="24" t="s">
        <v>11428</v>
      </c>
      <c r="AB1153" s="24" t="s">
        <v>11430</v>
      </c>
      <c r="AC1153" s="24" t="s">
        <v>11431</v>
      </c>
      <c r="AD1153" s="24" t="s">
        <v>11432</v>
      </c>
      <c r="AE1153" s="24"/>
      <c r="AF1153" s="24"/>
      <c r="AG1153" s="24"/>
      <c r="AH1153" s="24"/>
    </row>
    <row r="1154" spans="1:34" ht="45" x14ac:dyDescent="0.25">
      <c r="A1154" s="24" t="str">
        <f>HYPERLINK("https://www.cpso.on.ca/DoctorDetails/Kanwal-Deep-Singh-Kukreja/0259229-92036","Kukreja, Kanwal Deep Singh")</f>
        <v>Kukreja, Kanwal Deep Singh</v>
      </c>
      <c r="B1154" s="25" t="s">
        <v>11433</v>
      </c>
      <c r="C1154" s="24" t="s">
        <v>11434</v>
      </c>
      <c r="D1154" s="24" t="s">
        <v>11435</v>
      </c>
      <c r="E1154" s="24" t="s">
        <v>29</v>
      </c>
      <c r="F1154" s="24" t="s">
        <v>30</v>
      </c>
      <c r="G1154" s="24" t="s">
        <v>61</v>
      </c>
      <c r="H1154" s="24" t="s">
        <v>11436</v>
      </c>
      <c r="I1154" s="24" t="s">
        <v>11437</v>
      </c>
      <c r="J1154" s="24" t="s">
        <v>11438</v>
      </c>
      <c r="K1154" s="24" t="s">
        <v>11439</v>
      </c>
      <c r="L1154" s="24" t="s">
        <v>152</v>
      </c>
      <c r="M1154" s="15"/>
      <c r="N1154" s="15" t="s">
        <v>695</v>
      </c>
      <c r="O1154" s="15" t="s">
        <v>3768</v>
      </c>
      <c r="P1154" s="15" t="s">
        <v>590</v>
      </c>
      <c r="Q1154" s="15"/>
      <c r="R1154" s="15" t="s">
        <v>11440</v>
      </c>
      <c r="S1154" s="24" t="s">
        <v>39</v>
      </c>
      <c r="T1154" s="24" t="s">
        <v>39</v>
      </c>
      <c r="U1154" s="24" t="s">
        <v>39</v>
      </c>
      <c r="V1154" s="24" t="s">
        <v>39</v>
      </c>
      <c r="W1154" s="24" t="s">
        <v>11441</v>
      </c>
      <c r="X1154" s="24" t="s">
        <v>11442</v>
      </c>
      <c r="Y1154" s="15" t="s">
        <v>11443</v>
      </c>
      <c r="Z1154" s="15" t="s">
        <v>11444</v>
      </c>
      <c r="AA1154" s="24"/>
      <c r="AB1154" s="24"/>
      <c r="AC1154" s="24"/>
      <c r="AD1154" s="24"/>
      <c r="AE1154" s="24"/>
      <c r="AF1154" s="24"/>
      <c r="AG1154" s="24"/>
      <c r="AH1154" s="24"/>
    </row>
    <row r="1155" spans="1:34" ht="75" x14ac:dyDescent="0.25">
      <c r="A1155" s="24" t="str">
        <f>HYPERLINK("https://www.cpso.on.ca/DoctorDetails/Kar-Ming-Lee/0257372-90607","Lee, Kar Ming")</f>
        <v>Lee, Kar Ming</v>
      </c>
      <c r="B1155" s="25" t="s">
        <v>11445</v>
      </c>
      <c r="C1155" s="24" t="s">
        <v>442</v>
      </c>
      <c r="D1155" s="24" t="s">
        <v>443</v>
      </c>
      <c r="E1155" s="24" t="s">
        <v>29</v>
      </c>
      <c r="F1155" s="24" t="s">
        <v>30</v>
      </c>
      <c r="G1155" s="24" t="s">
        <v>31</v>
      </c>
      <c r="H1155" s="24" t="s">
        <v>4225</v>
      </c>
      <c r="I1155" s="24" t="s">
        <v>11446</v>
      </c>
      <c r="J1155" s="24" t="s">
        <v>11447</v>
      </c>
      <c r="K1155" s="24"/>
      <c r="L1155" s="24" t="s">
        <v>52</v>
      </c>
      <c r="M1155" s="15"/>
      <c r="N1155" s="15"/>
      <c r="O1155" s="15"/>
      <c r="P1155" s="15" t="s">
        <v>449</v>
      </c>
      <c r="Q1155" s="15" t="s">
        <v>450</v>
      </c>
      <c r="R1155" s="15" t="s">
        <v>451</v>
      </c>
      <c r="S1155" s="24" t="s">
        <v>39</v>
      </c>
      <c r="T1155" s="24" t="s">
        <v>39</v>
      </c>
      <c r="U1155" s="24" t="s">
        <v>39</v>
      </c>
      <c r="V1155" s="24" t="s">
        <v>39</v>
      </c>
      <c r="W1155" s="24" t="s">
        <v>11448</v>
      </c>
      <c r="X1155" s="24" t="s">
        <v>11449</v>
      </c>
      <c r="Y1155" s="15" t="s">
        <v>11450</v>
      </c>
      <c r="Z1155" s="15" t="s">
        <v>11451</v>
      </c>
      <c r="AA1155" s="24"/>
      <c r="AB1155" s="24"/>
      <c r="AC1155" s="24"/>
      <c r="AD1155" s="24"/>
      <c r="AE1155" s="24"/>
      <c r="AF1155" s="24"/>
      <c r="AG1155" s="24"/>
      <c r="AH1155" s="24"/>
    </row>
    <row r="1156" spans="1:34" ht="90" x14ac:dyDescent="0.25">
      <c r="A1156" s="24" t="str">
        <f>HYPERLINK("https://www.cpso.on.ca/DoctorDetails/Kara-Dawn-Dempster/0289071-100660","Dempster, Kara Dawn")</f>
        <v>Dempster, Kara Dawn</v>
      </c>
      <c r="B1156" s="25" t="s">
        <v>11452</v>
      </c>
      <c r="C1156" s="24" t="s">
        <v>199</v>
      </c>
      <c r="D1156" s="24" t="s">
        <v>200</v>
      </c>
      <c r="E1156" s="24" t="s">
        <v>29</v>
      </c>
      <c r="F1156" s="24" t="s">
        <v>47</v>
      </c>
      <c r="G1156" s="24" t="s">
        <v>31</v>
      </c>
      <c r="H1156" s="24" t="s">
        <v>201</v>
      </c>
      <c r="I1156" s="24" t="s">
        <v>11453</v>
      </c>
      <c r="J1156" s="24" t="s">
        <v>4115</v>
      </c>
      <c r="K1156" s="24"/>
      <c r="L1156" s="24" t="s">
        <v>135</v>
      </c>
      <c r="M1156" s="15"/>
      <c r="N1156" s="15"/>
      <c r="O1156" s="15"/>
      <c r="P1156" s="15" t="s">
        <v>205</v>
      </c>
      <c r="Q1156" s="15" t="s">
        <v>11454</v>
      </c>
      <c r="R1156" s="15" t="s">
        <v>207</v>
      </c>
      <c r="S1156" s="24" t="s">
        <v>39</v>
      </c>
      <c r="T1156" s="24" t="s">
        <v>39</v>
      </c>
      <c r="U1156" s="24" t="s">
        <v>39</v>
      </c>
      <c r="V1156" s="24" t="s">
        <v>39</v>
      </c>
      <c r="W1156" s="24" t="s">
        <v>11455</v>
      </c>
      <c r="X1156" s="24" t="s">
        <v>7171</v>
      </c>
      <c r="Y1156" s="15" t="s">
        <v>11456</v>
      </c>
      <c r="Z1156" s="15" t="s">
        <v>11457</v>
      </c>
      <c r="AA1156" s="24"/>
      <c r="AB1156" s="24"/>
      <c r="AC1156" s="24"/>
      <c r="AD1156" s="24"/>
      <c r="AE1156" s="24"/>
      <c r="AF1156" s="24"/>
      <c r="AG1156" s="24"/>
      <c r="AH1156" s="24"/>
    </row>
    <row r="1157" spans="1:34" ht="75" x14ac:dyDescent="0.25">
      <c r="A1157" s="24" t="str">
        <f>HYPERLINK("https://www.cpso.on.ca/DoctorDetails/Karandeep-Sonu-Gaind/0051261-65240","Gaind, Karandeep Sonu")</f>
        <v>Gaind, Karandeep Sonu</v>
      </c>
      <c r="B1157" s="25" t="s">
        <v>11458</v>
      </c>
      <c r="C1157" s="24" t="s">
        <v>296</v>
      </c>
      <c r="D1157" s="24" t="s">
        <v>8933</v>
      </c>
      <c r="E1157" s="24" t="s">
        <v>29</v>
      </c>
      <c r="F1157" s="24" t="s">
        <v>30</v>
      </c>
      <c r="G1157" s="24" t="s">
        <v>31</v>
      </c>
      <c r="H1157" s="24" t="s">
        <v>298</v>
      </c>
      <c r="I1157" s="24" t="s">
        <v>11459</v>
      </c>
      <c r="J1157" s="24" t="s">
        <v>11460</v>
      </c>
      <c r="K1157" s="24"/>
      <c r="L1157" s="24" t="s">
        <v>52</v>
      </c>
      <c r="M1157" s="15"/>
      <c r="N1157" s="15"/>
      <c r="O1157" s="15" t="s">
        <v>11461</v>
      </c>
      <c r="P1157" s="15" t="s">
        <v>2042</v>
      </c>
      <c r="Q1157" s="15" t="s">
        <v>11462</v>
      </c>
      <c r="R1157" s="15" t="s">
        <v>11463</v>
      </c>
      <c r="S1157" s="24" t="s">
        <v>39</v>
      </c>
      <c r="T1157" s="24" t="s">
        <v>39</v>
      </c>
      <c r="U1157" s="24" t="s">
        <v>39</v>
      </c>
      <c r="V1157" s="24" t="s">
        <v>39</v>
      </c>
      <c r="W1157" s="24"/>
      <c r="X1157" s="24"/>
      <c r="Y1157" s="15"/>
      <c r="Z1157" s="15"/>
      <c r="AA1157" s="24"/>
      <c r="AB1157" s="24"/>
      <c r="AC1157" s="24"/>
      <c r="AD1157" s="24"/>
      <c r="AE1157" s="24"/>
      <c r="AF1157" s="24"/>
      <c r="AG1157" s="24"/>
      <c r="AH1157" s="24"/>
    </row>
    <row r="1158" spans="1:34" ht="105" x14ac:dyDescent="0.25">
      <c r="A1158" s="24" t="str">
        <f>HYPERLINK("https://www.cpso.on.ca/DoctorDetails/Karen-Ann-Smith/0057378-68966","Smith, Karen Ann")</f>
        <v>Smith, Karen Ann</v>
      </c>
      <c r="B1158" s="25" t="s">
        <v>11464</v>
      </c>
      <c r="C1158" s="24" t="s">
        <v>11465</v>
      </c>
      <c r="D1158" s="24" t="s">
        <v>11466</v>
      </c>
      <c r="E1158" s="24" t="s">
        <v>29</v>
      </c>
      <c r="F1158" s="24" t="s">
        <v>47</v>
      </c>
      <c r="G1158" s="24" t="s">
        <v>31</v>
      </c>
      <c r="H1158" s="24" t="s">
        <v>7866</v>
      </c>
      <c r="I1158" s="24" t="s">
        <v>3204</v>
      </c>
      <c r="J1158" s="24" t="s">
        <v>3757</v>
      </c>
      <c r="K1158" s="24" t="s">
        <v>3758</v>
      </c>
      <c r="L1158" s="24" t="s">
        <v>340</v>
      </c>
      <c r="M1158" s="15"/>
      <c r="N1158" s="15"/>
      <c r="O1158" s="15" t="s">
        <v>2059</v>
      </c>
      <c r="P1158" s="15" t="s">
        <v>11467</v>
      </c>
      <c r="Q1158" s="15" t="s">
        <v>11468</v>
      </c>
      <c r="R1158" s="15" t="s">
        <v>11469</v>
      </c>
      <c r="S1158" s="24" t="s">
        <v>39</v>
      </c>
      <c r="T1158" s="24" t="s">
        <v>39</v>
      </c>
      <c r="U1158" s="24" t="s">
        <v>39</v>
      </c>
      <c r="V1158" s="24" t="s">
        <v>39</v>
      </c>
      <c r="W1158" s="24" t="s">
        <v>11470</v>
      </c>
      <c r="X1158" s="24" t="s">
        <v>11471</v>
      </c>
      <c r="Y1158" s="15" t="s">
        <v>11472</v>
      </c>
      <c r="Z1158" s="15" t="s">
        <v>11473</v>
      </c>
      <c r="AA1158" s="24"/>
      <c r="AB1158" s="24"/>
      <c r="AC1158" s="24"/>
      <c r="AD1158" s="24"/>
      <c r="AE1158" s="24"/>
      <c r="AF1158" s="24"/>
      <c r="AG1158" s="24"/>
      <c r="AH1158" s="24"/>
    </row>
    <row r="1159" spans="1:34" ht="135" x14ac:dyDescent="0.25">
      <c r="A1159" s="24" t="str">
        <f>HYPERLINK("https://www.cpso.on.ca/DoctorDetails/Karen-Denise-De-Freitas/0139614-71381","De Freitas, Karen Denise")</f>
        <v>De Freitas, Karen Denise</v>
      </c>
      <c r="B1159" s="25" t="s">
        <v>11474</v>
      </c>
      <c r="C1159" s="24" t="s">
        <v>11475</v>
      </c>
      <c r="D1159" s="24" t="s">
        <v>11476</v>
      </c>
      <c r="E1159" s="24" t="s">
        <v>29</v>
      </c>
      <c r="F1159" s="24" t="s">
        <v>47</v>
      </c>
      <c r="G1159" s="24" t="s">
        <v>31</v>
      </c>
      <c r="H1159" s="24" t="s">
        <v>1864</v>
      </c>
      <c r="I1159" s="24" t="s">
        <v>11477</v>
      </c>
      <c r="J1159" s="24" t="s">
        <v>11478</v>
      </c>
      <c r="K1159" s="24"/>
      <c r="L1159" s="24" t="s">
        <v>36</v>
      </c>
      <c r="M1159" s="15"/>
      <c r="N1159" s="15"/>
      <c r="O1159" s="15" t="s">
        <v>3590</v>
      </c>
      <c r="P1159" s="15" t="s">
        <v>11479</v>
      </c>
      <c r="Q1159" s="15" t="s">
        <v>11480</v>
      </c>
      <c r="R1159" s="15" t="s">
        <v>11481</v>
      </c>
      <c r="S1159" s="24" t="s">
        <v>39</v>
      </c>
      <c r="T1159" s="24" t="s">
        <v>39</v>
      </c>
      <c r="U1159" s="24" t="s">
        <v>39</v>
      </c>
      <c r="V1159" s="24" t="s">
        <v>39</v>
      </c>
      <c r="W1159" s="24"/>
      <c r="X1159" s="24"/>
      <c r="Y1159" s="15"/>
      <c r="Z1159" s="15"/>
      <c r="AA1159" s="24"/>
      <c r="AB1159" s="24"/>
      <c r="AC1159" s="24"/>
      <c r="AD1159" s="24"/>
      <c r="AE1159" s="24"/>
      <c r="AF1159" s="24"/>
      <c r="AG1159" s="24"/>
      <c r="AH1159" s="24"/>
    </row>
    <row r="1160" spans="1:34" ht="105" x14ac:dyDescent="0.25">
      <c r="A1160" s="24" t="str">
        <f>HYPERLINK("https://www.cpso.on.ca/DoctorDetails/Karen-Helen-Clements/0044007-57985","Clements, Karen Helen")</f>
        <v>Clements, Karen Helen</v>
      </c>
      <c r="B1160" s="25" t="s">
        <v>11482</v>
      </c>
      <c r="C1160" s="24" t="s">
        <v>1609</v>
      </c>
      <c r="D1160" s="24" t="s">
        <v>11483</v>
      </c>
      <c r="E1160" s="24" t="s">
        <v>29</v>
      </c>
      <c r="F1160" s="24" t="s">
        <v>47</v>
      </c>
      <c r="G1160" s="24" t="s">
        <v>31</v>
      </c>
      <c r="H1160" s="24" t="s">
        <v>1981</v>
      </c>
      <c r="I1160" s="24" t="s">
        <v>11484</v>
      </c>
      <c r="J1160" s="24" t="s">
        <v>11485</v>
      </c>
      <c r="K1160" s="24" t="s">
        <v>11486</v>
      </c>
      <c r="L1160" s="24" t="s">
        <v>152</v>
      </c>
      <c r="M1160" s="15" t="s">
        <v>11487</v>
      </c>
      <c r="N1160" s="15"/>
      <c r="O1160" s="15" t="s">
        <v>11488</v>
      </c>
      <c r="P1160" s="15" t="s">
        <v>11489</v>
      </c>
      <c r="Q1160" s="15" t="s">
        <v>11490</v>
      </c>
      <c r="R1160" s="15" t="s">
        <v>11491</v>
      </c>
      <c r="S1160" s="24" t="s">
        <v>39</v>
      </c>
      <c r="T1160" s="24" t="s">
        <v>39</v>
      </c>
      <c r="U1160" s="24" t="s">
        <v>39</v>
      </c>
      <c r="V1160" s="24" t="s">
        <v>39</v>
      </c>
      <c r="W1160" s="24" t="s">
        <v>11492</v>
      </c>
      <c r="X1160" s="24" t="s">
        <v>11493</v>
      </c>
      <c r="Y1160" s="15" t="s">
        <v>11494</v>
      </c>
      <c r="Z1160" s="15" t="s">
        <v>11495</v>
      </c>
      <c r="AA1160" s="24"/>
      <c r="AB1160" s="24"/>
      <c r="AC1160" s="24"/>
      <c r="AD1160" s="24"/>
      <c r="AE1160" s="24"/>
      <c r="AF1160" s="24"/>
      <c r="AG1160" s="24"/>
      <c r="AH1160" s="24"/>
    </row>
    <row r="1161" spans="1:34" ht="75" x14ac:dyDescent="0.25">
      <c r="A1161" s="24" t="str">
        <f>HYPERLINK("https://www.cpso.on.ca/DoctorDetails/Karen-HopeYin-Shin/0181595-76099","Shin, Karen Hope-Yin")</f>
        <v>Shin, Karen Hope-Yin</v>
      </c>
      <c r="B1161" s="25" t="s">
        <v>11496</v>
      </c>
      <c r="C1161" s="24" t="s">
        <v>1130</v>
      </c>
      <c r="D1161" s="24" t="s">
        <v>4401</v>
      </c>
      <c r="E1161" s="24" t="s">
        <v>29</v>
      </c>
      <c r="F1161" s="24" t="s">
        <v>47</v>
      </c>
      <c r="G1161" s="24" t="s">
        <v>1392</v>
      </c>
      <c r="H1161" s="24" t="s">
        <v>1132</v>
      </c>
      <c r="I1161" s="24" t="s">
        <v>11497</v>
      </c>
      <c r="J1161" s="24" t="s">
        <v>4414</v>
      </c>
      <c r="K1161" s="24"/>
      <c r="L1161" s="24" t="s">
        <v>52</v>
      </c>
      <c r="M1161" s="15"/>
      <c r="N1161" s="15"/>
      <c r="O1161" s="15" t="s">
        <v>219</v>
      </c>
      <c r="P1161" s="15" t="s">
        <v>1149</v>
      </c>
      <c r="Q1161" s="15" t="s">
        <v>3063</v>
      </c>
      <c r="R1161" s="15" t="s">
        <v>4407</v>
      </c>
      <c r="S1161" s="24" t="s">
        <v>39</v>
      </c>
      <c r="T1161" s="24" t="s">
        <v>39</v>
      </c>
      <c r="U1161" s="24" t="s">
        <v>39</v>
      </c>
      <c r="V1161" s="24" t="s">
        <v>39</v>
      </c>
      <c r="W1161" s="24" t="s">
        <v>11498</v>
      </c>
      <c r="X1161" s="24" t="s">
        <v>11499</v>
      </c>
      <c r="Y1161" s="15" t="s">
        <v>11500</v>
      </c>
      <c r="Z1161" s="15" t="s">
        <v>6175</v>
      </c>
      <c r="AA1161" s="24"/>
      <c r="AB1161" s="24"/>
      <c r="AC1161" s="24"/>
      <c r="AD1161" s="24"/>
      <c r="AE1161" s="24"/>
      <c r="AF1161" s="24"/>
      <c r="AG1161" s="24"/>
      <c r="AH1161" s="24"/>
    </row>
    <row r="1162" spans="1:34" ht="150" x14ac:dyDescent="0.25">
      <c r="A1162" s="24" t="str">
        <f>HYPERLINK("https://www.cpso.on.ca/DoctorDetails/Karen-Kar-Wai-Wang/0273179-95337","Wang, Karen Kar Wai")</f>
        <v>Wang, Karen Kar Wai</v>
      </c>
      <c r="B1162" s="25" t="s">
        <v>11501</v>
      </c>
      <c r="C1162" s="24" t="s">
        <v>11374</v>
      </c>
      <c r="D1162" s="24" t="s">
        <v>11375</v>
      </c>
      <c r="E1162" s="24" t="s">
        <v>29</v>
      </c>
      <c r="F1162" s="24" t="s">
        <v>47</v>
      </c>
      <c r="G1162" s="24" t="s">
        <v>31</v>
      </c>
      <c r="H1162" s="24" t="s">
        <v>4476</v>
      </c>
      <c r="I1162" s="24" t="s">
        <v>11502</v>
      </c>
      <c r="J1162" s="24" t="s">
        <v>11503</v>
      </c>
      <c r="K1162" s="24" t="s">
        <v>11504</v>
      </c>
      <c r="L1162" s="24" t="s">
        <v>52</v>
      </c>
      <c r="M1162" s="15" t="s">
        <v>11505</v>
      </c>
      <c r="N1162" s="15"/>
      <c r="O1162" s="15"/>
      <c r="P1162" s="15" t="s">
        <v>4909</v>
      </c>
      <c r="Q1162" s="15" t="s">
        <v>11506</v>
      </c>
      <c r="R1162" s="15" t="s">
        <v>11507</v>
      </c>
      <c r="S1162" s="24" t="s">
        <v>39</v>
      </c>
      <c r="T1162" s="24" t="s">
        <v>39</v>
      </c>
      <c r="U1162" s="24" t="s">
        <v>39</v>
      </c>
      <c r="V1162" s="24" t="s">
        <v>39</v>
      </c>
      <c r="W1162" s="24"/>
      <c r="X1162" s="24"/>
      <c r="Y1162" s="15"/>
      <c r="Z1162" s="15"/>
      <c r="AA1162" s="24"/>
      <c r="AB1162" s="24"/>
      <c r="AC1162" s="24"/>
      <c r="AD1162" s="24"/>
      <c r="AE1162" s="24"/>
      <c r="AF1162" s="24"/>
      <c r="AG1162" s="24"/>
      <c r="AH1162" s="24"/>
    </row>
    <row r="1163" spans="1:34" x14ac:dyDescent="0.25">
      <c r="A1163" s="24" t="str">
        <f>HYPERLINK("https://www.cpso.on.ca/DoctorDetails/Karen-Marie-Marcus-Hand/0049105-63083","Hand, Karen Marie Marcus")</f>
        <v>Hand, Karen Marie Marcus</v>
      </c>
      <c r="B1163" s="25" t="s">
        <v>11508</v>
      </c>
      <c r="C1163" s="24" t="s">
        <v>11509</v>
      </c>
      <c r="D1163" s="24" t="s">
        <v>7703</v>
      </c>
      <c r="E1163" s="24" t="s">
        <v>29</v>
      </c>
      <c r="F1163" s="24" t="s">
        <v>47</v>
      </c>
      <c r="G1163" s="24" t="s">
        <v>31</v>
      </c>
      <c r="H1163" s="24" t="s">
        <v>11510</v>
      </c>
      <c r="I1163" s="24" t="s">
        <v>11511</v>
      </c>
      <c r="J1163" s="24" t="s">
        <v>11512</v>
      </c>
      <c r="K1163" s="24" t="s">
        <v>11513</v>
      </c>
      <c r="L1163" s="24" t="s">
        <v>152</v>
      </c>
      <c r="M1163" s="15"/>
      <c r="N1163" s="15"/>
      <c r="O1163" s="15"/>
      <c r="P1163" s="15" t="s">
        <v>785</v>
      </c>
      <c r="Q1163" s="15"/>
      <c r="R1163" s="15" t="s">
        <v>11514</v>
      </c>
      <c r="S1163" s="24" t="s">
        <v>39</v>
      </c>
      <c r="T1163" s="24" t="s">
        <v>39</v>
      </c>
      <c r="U1163" s="24" t="s">
        <v>39</v>
      </c>
      <c r="V1163" s="24" t="s">
        <v>39</v>
      </c>
      <c r="W1163" s="24"/>
      <c r="X1163" s="24"/>
      <c r="Y1163" s="15"/>
      <c r="Z1163" s="15"/>
      <c r="AA1163" s="24"/>
      <c r="AB1163" s="24"/>
      <c r="AC1163" s="24"/>
      <c r="AD1163" s="24"/>
      <c r="AE1163" s="24"/>
      <c r="AF1163" s="24"/>
      <c r="AG1163" s="24"/>
      <c r="AH1163" s="24"/>
    </row>
    <row r="1164" spans="1:34" ht="105" x14ac:dyDescent="0.25">
      <c r="A1164" s="24" t="str">
        <f>HYPERLINK("https://www.cpso.on.ca/DoctorDetails/Karen-Michele-Abrams/0045349-59327","Abrams, Karen Michele")</f>
        <v>Abrams, Karen Michele</v>
      </c>
      <c r="B1164" s="25" t="s">
        <v>11515</v>
      </c>
      <c r="C1164" s="24" t="s">
        <v>2286</v>
      </c>
      <c r="D1164" s="24" t="s">
        <v>10465</v>
      </c>
      <c r="E1164" s="24" t="s">
        <v>29</v>
      </c>
      <c r="F1164" s="24" t="s">
        <v>47</v>
      </c>
      <c r="G1164" s="24" t="s">
        <v>31</v>
      </c>
      <c r="H1164" s="24" t="s">
        <v>2288</v>
      </c>
      <c r="I1164" s="24" t="s">
        <v>11516</v>
      </c>
      <c r="J1164" s="24" t="s">
        <v>11517</v>
      </c>
      <c r="K1164" s="24" t="s">
        <v>11518</v>
      </c>
      <c r="L1164" s="24" t="s">
        <v>52</v>
      </c>
      <c r="M1164" s="15"/>
      <c r="N1164" s="15" t="s">
        <v>11519</v>
      </c>
      <c r="O1164" s="15" t="s">
        <v>1867</v>
      </c>
      <c r="P1164" s="15" t="s">
        <v>2293</v>
      </c>
      <c r="Q1164" s="15" t="s">
        <v>4800</v>
      </c>
      <c r="R1164" s="15" t="s">
        <v>10469</v>
      </c>
      <c r="S1164" s="24" t="s">
        <v>39</v>
      </c>
      <c r="T1164" s="24" t="s">
        <v>39</v>
      </c>
      <c r="U1164" s="24" t="s">
        <v>39</v>
      </c>
      <c r="V1164" s="24" t="s">
        <v>39</v>
      </c>
      <c r="W1164" s="24" t="s">
        <v>11520</v>
      </c>
      <c r="X1164" s="24" t="s">
        <v>11521</v>
      </c>
      <c r="Y1164" s="15" t="s">
        <v>11522</v>
      </c>
      <c r="Z1164" s="15" t="s">
        <v>11523</v>
      </c>
      <c r="AA1164" s="24"/>
      <c r="AB1164" s="24"/>
      <c r="AC1164" s="24"/>
      <c r="AD1164" s="24"/>
      <c r="AE1164" s="24"/>
      <c r="AF1164" s="24"/>
      <c r="AG1164" s="24"/>
      <c r="AH1164" s="24"/>
    </row>
    <row r="1165" spans="1:34" ht="135" x14ac:dyDescent="0.25">
      <c r="A1165" s="24" t="str">
        <f>HYPERLINK("https://www.cpso.on.ca/DoctorDetails/Karen-Petruccelli/0201398-79453","Petruccelli, Karen")</f>
        <v>Petruccelli, Karen</v>
      </c>
      <c r="B1165" s="25" t="s">
        <v>11524</v>
      </c>
      <c r="C1165" s="24" t="s">
        <v>11525</v>
      </c>
      <c r="D1165" s="24" t="s">
        <v>11526</v>
      </c>
      <c r="E1165" s="24" t="s">
        <v>29</v>
      </c>
      <c r="F1165" s="24" t="s">
        <v>47</v>
      </c>
      <c r="G1165" s="24" t="s">
        <v>31</v>
      </c>
      <c r="H1165" s="24" t="s">
        <v>1475</v>
      </c>
      <c r="I1165" s="24" t="s">
        <v>11527</v>
      </c>
      <c r="J1165" s="24" t="s">
        <v>10946</v>
      </c>
      <c r="K1165" s="24" t="s">
        <v>10947</v>
      </c>
      <c r="L1165" s="24" t="s">
        <v>36</v>
      </c>
      <c r="M1165" s="15"/>
      <c r="N1165" s="15"/>
      <c r="O1165" s="15" t="s">
        <v>972</v>
      </c>
      <c r="P1165" s="15" t="s">
        <v>11528</v>
      </c>
      <c r="Q1165" s="15" t="s">
        <v>11529</v>
      </c>
      <c r="R1165" s="15" t="s">
        <v>11530</v>
      </c>
      <c r="S1165" s="24" t="s">
        <v>39</v>
      </c>
      <c r="T1165" s="24" t="s">
        <v>39</v>
      </c>
      <c r="U1165" s="24" t="s">
        <v>39</v>
      </c>
      <c r="V1165" s="24" t="s">
        <v>39</v>
      </c>
      <c r="W1165" s="24" t="s">
        <v>11531</v>
      </c>
      <c r="X1165" s="24" t="s">
        <v>11532</v>
      </c>
      <c r="Y1165" s="15" t="s">
        <v>11533</v>
      </c>
      <c r="Z1165" s="15" t="s">
        <v>11534</v>
      </c>
      <c r="AA1165" s="24"/>
      <c r="AB1165" s="24"/>
      <c r="AC1165" s="24"/>
      <c r="AD1165" s="24"/>
      <c r="AE1165" s="24"/>
      <c r="AF1165" s="24"/>
      <c r="AG1165" s="24"/>
      <c r="AH1165" s="24"/>
    </row>
    <row r="1166" spans="1:34" ht="90" x14ac:dyDescent="0.25">
      <c r="A1166" s="24" t="str">
        <f>HYPERLINK("https://www.cpso.on.ca/DoctorDetails/Karen-Saperson/0049036-63014","Saperson, Karen")</f>
        <v>Saperson, Karen</v>
      </c>
      <c r="B1166" s="25" t="s">
        <v>11535</v>
      </c>
      <c r="C1166" s="24" t="s">
        <v>10786</v>
      </c>
      <c r="D1166" s="24" t="s">
        <v>10223</v>
      </c>
      <c r="E1166" s="24" t="s">
        <v>29</v>
      </c>
      <c r="F1166" s="24" t="s">
        <v>47</v>
      </c>
      <c r="G1166" s="24" t="s">
        <v>4698</v>
      </c>
      <c r="H1166" s="24" t="s">
        <v>11536</v>
      </c>
      <c r="I1166" s="24" t="s">
        <v>11537</v>
      </c>
      <c r="J1166" s="24" t="s">
        <v>1436</v>
      </c>
      <c r="K1166" s="24" t="s">
        <v>11538</v>
      </c>
      <c r="L1166" s="24" t="s">
        <v>184</v>
      </c>
      <c r="M1166" s="15"/>
      <c r="N1166" s="15"/>
      <c r="O1166" s="15" t="s">
        <v>11539</v>
      </c>
      <c r="P1166" s="15" t="s">
        <v>1842</v>
      </c>
      <c r="Q1166" s="15" t="s">
        <v>6854</v>
      </c>
      <c r="R1166" s="15" t="s">
        <v>11540</v>
      </c>
      <c r="S1166" s="24" t="s">
        <v>39</v>
      </c>
      <c r="T1166" s="24" t="s">
        <v>39</v>
      </c>
      <c r="U1166" s="24" t="s">
        <v>39</v>
      </c>
      <c r="V1166" s="24" t="s">
        <v>39</v>
      </c>
      <c r="W1166" s="24" t="s">
        <v>11541</v>
      </c>
      <c r="X1166" s="24" t="s">
        <v>11542</v>
      </c>
      <c r="Y1166" s="15" t="s">
        <v>11543</v>
      </c>
      <c r="Z1166" s="15" t="s">
        <v>11544</v>
      </c>
      <c r="AA1166" s="24"/>
      <c r="AB1166" s="24"/>
      <c r="AC1166" s="24"/>
      <c r="AD1166" s="24"/>
      <c r="AE1166" s="24"/>
      <c r="AF1166" s="24"/>
      <c r="AG1166" s="24"/>
      <c r="AH1166" s="24"/>
    </row>
    <row r="1167" spans="1:34" ht="75" x14ac:dyDescent="0.25">
      <c r="A1167" s="24" t="str">
        <f>HYPERLINK("https://www.cpso.on.ca/DoctorDetails/Karen-WingKam-Ng/0250024-88621","Ng, Karen Wing-Kam")</f>
        <v>Ng, Karen Wing-Kam</v>
      </c>
      <c r="B1167" s="25" t="s">
        <v>11545</v>
      </c>
      <c r="C1167" s="24" t="s">
        <v>846</v>
      </c>
      <c r="D1167" s="24" t="s">
        <v>600</v>
      </c>
      <c r="E1167" s="24" t="s">
        <v>29</v>
      </c>
      <c r="F1167" s="24" t="s">
        <v>47</v>
      </c>
      <c r="G1167" s="24" t="s">
        <v>31</v>
      </c>
      <c r="H1167" s="24" t="s">
        <v>2356</v>
      </c>
      <c r="I1167" s="24" t="s">
        <v>11546</v>
      </c>
      <c r="J1167" s="24" t="s">
        <v>1262</v>
      </c>
      <c r="K1167" s="24"/>
      <c r="L1167" s="24" t="s">
        <v>52</v>
      </c>
      <c r="M1167" s="15"/>
      <c r="N1167" s="15"/>
      <c r="O1167" s="15" t="s">
        <v>981</v>
      </c>
      <c r="P1167" s="15" t="s">
        <v>272</v>
      </c>
      <c r="Q1167" s="15" t="s">
        <v>273</v>
      </c>
      <c r="R1167" s="15" t="s">
        <v>853</v>
      </c>
      <c r="S1167" s="24" t="s">
        <v>39</v>
      </c>
      <c r="T1167" s="24" t="s">
        <v>39</v>
      </c>
      <c r="U1167" s="24" t="s">
        <v>39</v>
      </c>
      <c r="V1167" s="24" t="s">
        <v>39</v>
      </c>
      <c r="W1167" s="24" t="s">
        <v>11547</v>
      </c>
      <c r="X1167" s="24" t="s">
        <v>11548</v>
      </c>
      <c r="Y1167" s="15" t="s">
        <v>11549</v>
      </c>
      <c r="Z1167" s="15" t="s">
        <v>11550</v>
      </c>
      <c r="AA1167" s="24"/>
      <c r="AB1167" s="24"/>
      <c r="AC1167" s="24"/>
      <c r="AD1167" s="24"/>
      <c r="AE1167" s="24"/>
      <c r="AF1167" s="24"/>
      <c r="AG1167" s="24"/>
      <c r="AH1167" s="24"/>
    </row>
    <row r="1168" spans="1:34" ht="30" x14ac:dyDescent="0.25">
      <c r="A1168" s="24" t="str">
        <f>HYPERLINK("https://www.cpso.on.ca/DoctorDetails/Karin-Elaine-Kerfoot/0274904-96461","Kerfoot, Karin Elaine")</f>
        <v>Kerfoot, Karin Elaine</v>
      </c>
      <c r="B1168" s="25" t="s">
        <v>11551</v>
      </c>
      <c r="C1168" s="24" t="s">
        <v>11552</v>
      </c>
      <c r="D1168" s="24" t="s">
        <v>11553</v>
      </c>
      <c r="E1168" s="24" t="s">
        <v>29</v>
      </c>
      <c r="F1168" s="24" t="s">
        <v>47</v>
      </c>
      <c r="G1168" s="24" t="s">
        <v>31</v>
      </c>
      <c r="H1168" s="24" t="s">
        <v>1146</v>
      </c>
      <c r="I1168" s="24" t="s">
        <v>107</v>
      </c>
      <c r="J1168" s="24"/>
      <c r="K1168" s="24"/>
      <c r="L1168" s="24"/>
      <c r="M1168" s="15"/>
      <c r="N1168" s="15"/>
      <c r="O1168" s="15" t="s">
        <v>4950</v>
      </c>
      <c r="P1168" s="15" t="s">
        <v>1149</v>
      </c>
      <c r="Q1168" s="15"/>
      <c r="R1168" s="15" t="s">
        <v>11554</v>
      </c>
      <c r="S1168" s="24" t="s">
        <v>71</v>
      </c>
      <c r="T1168" s="24" t="s">
        <v>39</v>
      </c>
      <c r="U1168" s="24" t="s">
        <v>39</v>
      </c>
      <c r="V1168" s="24" t="s">
        <v>39</v>
      </c>
      <c r="W1168" s="24"/>
      <c r="X1168" s="24"/>
      <c r="Y1168" s="15"/>
      <c r="Z1168" s="15"/>
      <c r="AA1168" s="24"/>
      <c r="AB1168" s="24"/>
      <c r="AC1168" s="24"/>
      <c r="AD1168" s="24"/>
      <c r="AE1168" s="24"/>
      <c r="AF1168" s="24"/>
      <c r="AG1168" s="24"/>
      <c r="AH1168" s="24"/>
    </row>
    <row r="1169" spans="1:34" ht="30" x14ac:dyDescent="0.25">
      <c r="A1169" s="24" t="str">
        <f>HYPERLINK("https://www.cpso.on.ca/DoctorDetails/Karl-Darko-Farcnik/0043055-57033","Farcnik, Karl Darko")</f>
        <v>Farcnik, Karl Darko</v>
      </c>
      <c r="B1169" s="25" t="s">
        <v>11555</v>
      </c>
      <c r="C1169" s="24" t="s">
        <v>3427</v>
      </c>
      <c r="D1169" s="24" t="s">
        <v>6136</v>
      </c>
      <c r="E1169" s="24" t="s">
        <v>29</v>
      </c>
      <c r="F1169" s="24" t="s">
        <v>30</v>
      </c>
      <c r="G1169" s="24" t="s">
        <v>31</v>
      </c>
      <c r="H1169" s="24" t="s">
        <v>11556</v>
      </c>
      <c r="I1169" s="24" t="s">
        <v>11557</v>
      </c>
      <c r="J1169" s="24" t="s">
        <v>11558</v>
      </c>
      <c r="K1169" s="24" t="s">
        <v>11559</v>
      </c>
      <c r="L1169" s="24" t="s">
        <v>52</v>
      </c>
      <c r="M1169" s="15" t="s">
        <v>11560</v>
      </c>
      <c r="N1169" s="15" t="s">
        <v>1370</v>
      </c>
      <c r="O1169" s="15"/>
      <c r="P1169" s="15" t="s">
        <v>1033</v>
      </c>
      <c r="Q1169" s="15" t="s">
        <v>5470</v>
      </c>
      <c r="R1169" s="15" t="s">
        <v>11561</v>
      </c>
      <c r="S1169" s="24" t="s">
        <v>39</v>
      </c>
      <c r="T1169" s="24" t="s">
        <v>39</v>
      </c>
      <c r="U1169" s="24" t="s">
        <v>39</v>
      </c>
      <c r="V1169" s="24" t="s">
        <v>39</v>
      </c>
      <c r="W1169" s="24" t="s">
        <v>11562</v>
      </c>
      <c r="X1169" s="24" t="s">
        <v>11563</v>
      </c>
      <c r="Y1169" s="15" t="s">
        <v>11564</v>
      </c>
      <c r="Z1169" s="15" t="s">
        <v>11565</v>
      </c>
      <c r="AA1169" s="24"/>
      <c r="AB1169" s="24"/>
      <c r="AC1169" s="24"/>
      <c r="AD1169" s="24"/>
      <c r="AE1169" s="24"/>
      <c r="AF1169" s="24"/>
      <c r="AG1169" s="24"/>
      <c r="AH1169" s="24"/>
    </row>
    <row r="1170" spans="1:34" x14ac:dyDescent="0.25">
      <c r="A1170" s="24" t="str">
        <f>HYPERLINK("https://www.cpso.on.ca/DoctorDetails/Karl-George-Loszak/0022882-27673","Loszak, Karl George")</f>
        <v>Loszak, Karl George</v>
      </c>
      <c r="B1170" s="25" t="s">
        <v>11566</v>
      </c>
      <c r="C1170" s="24" t="s">
        <v>11567</v>
      </c>
      <c r="D1170" s="24" t="s">
        <v>11568</v>
      </c>
      <c r="E1170" s="24" t="s">
        <v>29</v>
      </c>
      <c r="F1170" s="24" t="s">
        <v>30</v>
      </c>
      <c r="G1170" s="24" t="s">
        <v>31</v>
      </c>
      <c r="H1170" s="24" t="s">
        <v>11569</v>
      </c>
      <c r="I1170" s="24" t="s">
        <v>7344</v>
      </c>
      <c r="J1170" s="24" t="s">
        <v>11570</v>
      </c>
      <c r="K1170" s="24"/>
      <c r="L1170" s="24" t="s">
        <v>52</v>
      </c>
      <c r="M1170" s="15"/>
      <c r="N1170" s="15"/>
      <c r="O1170" s="15"/>
      <c r="P1170" s="15" t="s">
        <v>233</v>
      </c>
      <c r="Q1170" s="15"/>
      <c r="R1170" s="15" t="s">
        <v>11571</v>
      </c>
      <c r="S1170" s="24" t="s">
        <v>39</v>
      </c>
      <c r="T1170" s="24" t="s">
        <v>39</v>
      </c>
      <c r="U1170" s="24" t="s">
        <v>39</v>
      </c>
      <c r="V1170" s="24" t="s">
        <v>39</v>
      </c>
      <c r="W1170" s="24" t="s">
        <v>11572</v>
      </c>
      <c r="X1170" s="24" t="s">
        <v>11573</v>
      </c>
      <c r="Y1170" s="15" t="s">
        <v>11574</v>
      </c>
      <c r="Z1170" s="15" t="s">
        <v>11575</v>
      </c>
      <c r="AA1170" s="24"/>
      <c r="AB1170" s="24"/>
      <c r="AC1170" s="24"/>
      <c r="AD1170" s="24"/>
      <c r="AE1170" s="24"/>
      <c r="AF1170" s="24"/>
      <c r="AG1170" s="24"/>
      <c r="AH1170" s="24"/>
    </row>
    <row r="1171" spans="1:34" ht="45" x14ac:dyDescent="0.25">
      <c r="A1171" s="24" t="str">
        <f>HYPERLINK("https://www.cpso.on.ca/DoctorDetails/Kartar-Lal/0307405-108494","Lal, Kartar")</f>
        <v>Lal, Kartar</v>
      </c>
      <c r="B1171" s="25" t="s">
        <v>11576</v>
      </c>
      <c r="C1171" s="24" t="s">
        <v>11577</v>
      </c>
      <c r="D1171" s="24" t="s">
        <v>11578</v>
      </c>
      <c r="E1171" s="24" t="s">
        <v>29</v>
      </c>
      <c r="F1171" s="24" t="s">
        <v>30</v>
      </c>
      <c r="G1171" s="24" t="s">
        <v>11579</v>
      </c>
      <c r="H1171" s="24" t="s">
        <v>90</v>
      </c>
      <c r="I1171" s="24" t="s">
        <v>11580</v>
      </c>
      <c r="J1171" s="24" t="s">
        <v>4923</v>
      </c>
      <c r="K1171" s="24"/>
      <c r="L1171" s="24" t="s">
        <v>340</v>
      </c>
      <c r="M1171" s="15" t="s">
        <v>11581</v>
      </c>
      <c r="N1171" s="15" t="s">
        <v>11582</v>
      </c>
      <c r="O1171" s="15" t="s">
        <v>1073</v>
      </c>
      <c r="P1171" s="15" t="s">
        <v>381</v>
      </c>
      <c r="Q1171" s="15"/>
      <c r="R1171" s="15" t="s">
        <v>11583</v>
      </c>
      <c r="S1171" s="24" t="s">
        <v>71</v>
      </c>
      <c r="T1171" s="24" t="s">
        <v>39</v>
      </c>
      <c r="U1171" s="24" t="s">
        <v>39</v>
      </c>
      <c r="V1171" s="24" t="s">
        <v>39</v>
      </c>
      <c r="W1171" s="24" t="s">
        <v>11584</v>
      </c>
      <c r="X1171" s="24" t="s">
        <v>11585</v>
      </c>
      <c r="Y1171" s="15" t="s">
        <v>11586</v>
      </c>
      <c r="Z1171" s="15" t="s">
        <v>11587</v>
      </c>
      <c r="AA1171" s="24"/>
      <c r="AB1171" s="24"/>
      <c r="AC1171" s="24"/>
      <c r="AD1171" s="24"/>
      <c r="AE1171" s="24"/>
      <c r="AF1171" s="24"/>
      <c r="AG1171" s="24"/>
      <c r="AH1171" s="24"/>
    </row>
    <row r="1172" spans="1:34" ht="30" x14ac:dyDescent="0.25">
      <c r="A1172" s="24" t="str">
        <f>HYPERLINK("https://www.cpso.on.ca/DoctorDetails/Kaspars-Tuters/0014305-19088","Tuters, Kaspars")</f>
        <v>Tuters, Kaspars</v>
      </c>
      <c r="B1172" s="25" t="s">
        <v>11588</v>
      </c>
      <c r="C1172" s="24" t="s">
        <v>11589</v>
      </c>
      <c r="D1172" s="24" t="s">
        <v>11590</v>
      </c>
      <c r="E1172" s="24" t="s">
        <v>29</v>
      </c>
      <c r="F1172" s="24" t="s">
        <v>30</v>
      </c>
      <c r="G1172" s="24" t="s">
        <v>11591</v>
      </c>
      <c r="H1172" s="24" t="s">
        <v>1207</v>
      </c>
      <c r="I1172" s="24" t="s">
        <v>11592</v>
      </c>
      <c r="J1172" s="24" t="s">
        <v>11593</v>
      </c>
      <c r="K1172" s="24" t="s">
        <v>11593</v>
      </c>
      <c r="L1172" s="24" t="s">
        <v>52</v>
      </c>
      <c r="M1172" s="15"/>
      <c r="N1172" s="15"/>
      <c r="O1172" s="15"/>
      <c r="P1172" s="15" t="s">
        <v>4336</v>
      </c>
      <c r="Q1172" s="15"/>
      <c r="R1172" s="15" t="s">
        <v>11594</v>
      </c>
      <c r="S1172" s="24" t="s">
        <v>39</v>
      </c>
      <c r="T1172" s="24" t="s">
        <v>39</v>
      </c>
      <c r="U1172" s="24" t="s">
        <v>39</v>
      </c>
      <c r="V1172" s="24" t="s">
        <v>39</v>
      </c>
      <c r="W1172" s="24"/>
      <c r="X1172" s="24"/>
      <c r="Y1172" s="15"/>
      <c r="Z1172" s="15"/>
      <c r="AA1172" s="24"/>
      <c r="AB1172" s="24"/>
      <c r="AC1172" s="24"/>
      <c r="AD1172" s="24"/>
      <c r="AE1172" s="24"/>
      <c r="AF1172" s="24"/>
      <c r="AG1172" s="24"/>
      <c r="AH1172" s="24"/>
    </row>
    <row r="1173" spans="1:34" ht="75" x14ac:dyDescent="0.25">
      <c r="A1173" s="24" t="str">
        <f>HYPERLINK("https://www.cpso.on.ca/DoctorDetails/Kasra-Khorasani/0046759-60737","Khorasani, Kasra")</f>
        <v>Khorasani, Kasra</v>
      </c>
      <c r="B1173" s="25" t="s">
        <v>11595</v>
      </c>
      <c r="C1173" s="24" t="s">
        <v>3323</v>
      </c>
      <c r="D1173" s="24" t="s">
        <v>11596</v>
      </c>
      <c r="E1173" s="24" t="s">
        <v>29</v>
      </c>
      <c r="F1173" s="24" t="s">
        <v>30</v>
      </c>
      <c r="G1173" s="24" t="s">
        <v>522</v>
      </c>
      <c r="H1173" s="24" t="s">
        <v>3401</v>
      </c>
      <c r="I1173" s="24" t="s">
        <v>11597</v>
      </c>
      <c r="J1173" s="24" t="s">
        <v>11598</v>
      </c>
      <c r="K1173" s="24"/>
      <c r="L1173" s="24" t="s">
        <v>52</v>
      </c>
      <c r="M1173" s="15" t="s">
        <v>11599</v>
      </c>
      <c r="N1173" s="15"/>
      <c r="O1173" s="15" t="s">
        <v>4823</v>
      </c>
      <c r="P1173" s="15" t="s">
        <v>1007</v>
      </c>
      <c r="Q1173" s="15" t="s">
        <v>3328</v>
      </c>
      <c r="R1173" s="15" t="s">
        <v>11600</v>
      </c>
      <c r="S1173" s="24" t="s">
        <v>39</v>
      </c>
      <c r="T1173" s="24" t="s">
        <v>39</v>
      </c>
      <c r="U1173" s="24" t="s">
        <v>39</v>
      </c>
      <c r="V1173" s="24" t="s">
        <v>39</v>
      </c>
      <c r="W1173" s="24" t="s">
        <v>11601</v>
      </c>
      <c r="X1173" s="24" t="s">
        <v>685</v>
      </c>
      <c r="Y1173" s="15" t="s">
        <v>11602</v>
      </c>
      <c r="Z1173" s="15" t="s">
        <v>11603</v>
      </c>
      <c r="AA1173" s="24"/>
      <c r="AB1173" s="24"/>
      <c r="AC1173" s="24"/>
      <c r="AD1173" s="24"/>
      <c r="AE1173" s="24"/>
      <c r="AF1173" s="24"/>
      <c r="AG1173" s="24"/>
      <c r="AH1173" s="24"/>
    </row>
    <row r="1174" spans="1:34" ht="30" x14ac:dyDescent="0.25">
      <c r="A1174" s="24" t="str">
        <f>HYPERLINK("https://www.cpso.on.ca/DoctorDetails/Kasra-Mohseni-Koochesfahani/0274843-96630","Koochesfahani, Kasra Mohseni")</f>
        <v>Koochesfahani, Kasra Mohseni</v>
      </c>
      <c r="B1174" s="25" t="s">
        <v>11604</v>
      </c>
      <c r="C1174" s="24" t="s">
        <v>11605</v>
      </c>
      <c r="D1174" s="24" t="s">
        <v>11606</v>
      </c>
      <c r="E1174" s="24" t="s">
        <v>29</v>
      </c>
      <c r="F1174" s="24" t="s">
        <v>30</v>
      </c>
      <c r="G1174" s="24" t="s">
        <v>2579</v>
      </c>
      <c r="H1174" s="24" t="s">
        <v>11607</v>
      </c>
      <c r="I1174" s="24" t="s">
        <v>11608</v>
      </c>
      <c r="J1174" s="24" t="s">
        <v>11609</v>
      </c>
      <c r="K1174" s="24" t="s">
        <v>11610</v>
      </c>
      <c r="L1174" s="24"/>
      <c r="M1174" s="15"/>
      <c r="N1174" s="15" t="s">
        <v>2495</v>
      </c>
      <c r="O1174" s="15"/>
      <c r="P1174" s="15" t="s">
        <v>2348</v>
      </c>
      <c r="Q1174" s="15"/>
      <c r="R1174" s="15" t="s">
        <v>11611</v>
      </c>
      <c r="S1174" s="24" t="s">
        <v>39</v>
      </c>
      <c r="T1174" s="24" t="s">
        <v>39</v>
      </c>
      <c r="U1174" s="24" t="s">
        <v>39</v>
      </c>
      <c r="V1174" s="24" t="s">
        <v>39</v>
      </c>
      <c r="W1174" s="24" t="s">
        <v>11612</v>
      </c>
      <c r="X1174" s="24" t="s">
        <v>11613</v>
      </c>
      <c r="Y1174" s="15"/>
      <c r="Z1174" s="15"/>
      <c r="AA1174" s="24"/>
      <c r="AB1174" s="24"/>
      <c r="AC1174" s="24"/>
      <c r="AD1174" s="24"/>
      <c r="AE1174" s="24"/>
      <c r="AF1174" s="24"/>
      <c r="AG1174" s="24"/>
      <c r="AH1174" s="24"/>
    </row>
    <row r="1175" spans="1:34" ht="120" x14ac:dyDescent="0.25">
      <c r="A1175" s="24" t="str">
        <f>HYPERLINK("https://www.cpso.on.ca/DoctorDetails/Katalin-Gyomorey/0200780-79073","Gyomorey, Katalin")</f>
        <v>Gyomorey, Katalin</v>
      </c>
      <c r="B1175" s="25" t="s">
        <v>11614</v>
      </c>
      <c r="C1175" s="24" t="s">
        <v>871</v>
      </c>
      <c r="D1175" s="24" t="s">
        <v>11615</v>
      </c>
      <c r="E1175" s="24" t="s">
        <v>29</v>
      </c>
      <c r="F1175" s="24" t="s">
        <v>47</v>
      </c>
      <c r="G1175" s="24" t="s">
        <v>11616</v>
      </c>
      <c r="H1175" s="24" t="s">
        <v>1604</v>
      </c>
      <c r="I1175" s="24" t="s">
        <v>11617</v>
      </c>
      <c r="J1175" s="24" t="s">
        <v>11618</v>
      </c>
      <c r="K1175" s="24"/>
      <c r="L1175" s="24" t="s">
        <v>3849</v>
      </c>
      <c r="M1175" s="15"/>
      <c r="N1175" s="15"/>
      <c r="O1175" s="15" t="s">
        <v>4262</v>
      </c>
      <c r="P1175" s="15" t="s">
        <v>11619</v>
      </c>
      <c r="Q1175" s="15" t="s">
        <v>11620</v>
      </c>
      <c r="R1175" s="15" t="s">
        <v>11621</v>
      </c>
      <c r="S1175" s="24" t="s">
        <v>39</v>
      </c>
      <c r="T1175" s="24" t="s">
        <v>39</v>
      </c>
      <c r="U1175" s="24" t="s">
        <v>39</v>
      </c>
      <c r="V1175" s="24" t="s">
        <v>39</v>
      </c>
      <c r="W1175" s="24" t="s">
        <v>11622</v>
      </c>
      <c r="X1175" s="24" t="s">
        <v>11623</v>
      </c>
      <c r="Y1175" s="15" t="s">
        <v>11624</v>
      </c>
      <c r="Z1175" s="15" t="s">
        <v>10764</v>
      </c>
      <c r="AA1175" s="24"/>
      <c r="AB1175" s="24"/>
      <c r="AC1175" s="24"/>
      <c r="AD1175" s="24"/>
      <c r="AE1175" s="24"/>
      <c r="AF1175" s="24"/>
      <c r="AG1175" s="24"/>
      <c r="AH1175" s="24"/>
    </row>
    <row r="1176" spans="1:34" ht="30" x14ac:dyDescent="0.25">
      <c r="A1176" s="24" t="str">
        <f>HYPERLINK("https://www.cpso.on.ca/DoctorDetails/Katalin-Judit-Margittai/0040628-54604","Margittai, Katalin Judit")</f>
        <v>Margittai, Katalin Judit</v>
      </c>
      <c r="B1176" s="25" t="s">
        <v>11625</v>
      </c>
      <c r="C1176" s="24" t="s">
        <v>704</v>
      </c>
      <c r="D1176" s="24" t="s">
        <v>11626</v>
      </c>
      <c r="E1176" s="24" t="s">
        <v>29</v>
      </c>
      <c r="F1176" s="24" t="s">
        <v>47</v>
      </c>
      <c r="G1176" s="24" t="s">
        <v>31</v>
      </c>
      <c r="H1176" s="24" t="s">
        <v>11627</v>
      </c>
      <c r="I1176" s="24" t="s">
        <v>11628</v>
      </c>
      <c r="J1176" s="24" t="s">
        <v>11629</v>
      </c>
      <c r="K1176" s="24" t="s">
        <v>11630</v>
      </c>
      <c r="L1176" s="24" t="s">
        <v>52</v>
      </c>
      <c r="M1176" s="15" t="s">
        <v>11631</v>
      </c>
      <c r="N1176" s="15"/>
      <c r="O1176" s="15" t="s">
        <v>232</v>
      </c>
      <c r="P1176" s="15" t="s">
        <v>259</v>
      </c>
      <c r="Q1176" s="15"/>
      <c r="R1176" s="15" t="s">
        <v>11632</v>
      </c>
      <c r="S1176" s="24" t="s">
        <v>39</v>
      </c>
      <c r="T1176" s="24" t="s">
        <v>39</v>
      </c>
      <c r="U1176" s="24" t="s">
        <v>39</v>
      </c>
      <c r="V1176" s="24" t="s">
        <v>39</v>
      </c>
      <c r="W1176" s="24"/>
      <c r="X1176" s="24"/>
      <c r="Y1176" s="15"/>
      <c r="Z1176" s="15"/>
      <c r="AA1176" s="24"/>
      <c r="AB1176" s="24"/>
      <c r="AC1176" s="24"/>
      <c r="AD1176" s="24"/>
      <c r="AE1176" s="24"/>
      <c r="AF1176" s="24"/>
      <c r="AG1176" s="24"/>
      <c r="AH1176" s="24"/>
    </row>
    <row r="1177" spans="1:34" ht="30" x14ac:dyDescent="0.25">
      <c r="A1177" s="24" t="str">
        <f>HYPERLINK("https://www.cpso.on.ca/DoctorDetails/Katalin-Kovacs/0043343-57321","Kovacs, Katalin")</f>
        <v>Kovacs, Katalin</v>
      </c>
      <c r="B1177" s="25" t="s">
        <v>11633</v>
      </c>
      <c r="C1177" s="24" t="s">
        <v>801</v>
      </c>
      <c r="D1177" s="24" t="s">
        <v>11634</v>
      </c>
      <c r="E1177" s="24" t="s">
        <v>29</v>
      </c>
      <c r="F1177" s="24" t="s">
        <v>47</v>
      </c>
      <c r="G1177" s="24" t="s">
        <v>31</v>
      </c>
      <c r="H1177" s="24" t="s">
        <v>2852</v>
      </c>
      <c r="I1177" s="24" t="s">
        <v>11635</v>
      </c>
      <c r="J1177" s="24" t="s">
        <v>11636</v>
      </c>
      <c r="K1177" s="24"/>
      <c r="L1177" s="24" t="s">
        <v>84</v>
      </c>
      <c r="M1177" s="15"/>
      <c r="N1177" s="15"/>
      <c r="O1177" s="15" t="s">
        <v>549</v>
      </c>
      <c r="P1177" s="15" t="s">
        <v>808</v>
      </c>
      <c r="Q1177" s="15"/>
      <c r="R1177" s="15" t="s">
        <v>11637</v>
      </c>
      <c r="S1177" s="24" t="s">
        <v>39</v>
      </c>
      <c r="T1177" s="24" t="s">
        <v>39</v>
      </c>
      <c r="U1177" s="24" t="s">
        <v>39</v>
      </c>
      <c r="V1177" s="24" t="s">
        <v>39</v>
      </c>
      <c r="W1177" s="24" t="s">
        <v>11638</v>
      </c>
      <c r="X1177" s="24" t="s">
        <v>11639</v>
      </c>
      <c r="Y1177" s="15" t="s">
        <v>11640</v>
      </c>
      <c r="Z1177" s="15" t="s">
        <v>11641</v>
      </c>
      <c r="AA1177" s="24"/>
      <c r="AB1177" s="24"/>
      <c r="AC1177" s="24"/>
      <c r="AD1177" s="24"/>
      <c r="AE1177" s="24"/>
      <c r="AF1177" s="24"/>
      <c r="AG1177" s="24"/>
      <c r="AH1177" s="24"/>
    </row>
    <row r="1178" spans="1:34" ht="135" x14ac:dyDescent="0.25">
      <c r="A1178" s="24" t="str">
        <f>HYPERLINK("https://www.cpso.on.ca/DoctorDetails/Kate-Strasburg/0250184-88428","Strasburg, Kate")</f>
        <v>Strasburg, Kate</v>
      </c>
      <c r="B1178" s="25" t="s">
        <v>11642</v>
      </c>
      <c r="C1178" s="24" t="s">
        <v>846</v>
      </c>
      <c r="D1178" s="24" t="s">
        <v>571</v>
      </c>
      <c r="E1178" s="24" t="s">
        <v>29</v>
      </c>
      <c r="F1178" s="24" t="s">
        <v>47</v>
      </c>
      <c r="G1178" s="24" t="s">
        <v>31</v>
      </c>
      <c r="H1178" s="24" t="s">
        <v>8722</v>
      </c>
      <c r="I1178" s="24" t="s">
        <v>7084</v>
      </c>
      <c r="J1178" s="24" t="s">
        <v>11643</v>
      </c>
      <c r="K1178" s="24" t="s">
        <v>11644</v>
      </c>
      <c r="L1178" s="24" t="s">
        <v>52</v>
      </c>
      <c r="M1178" s="15"/>
      <c r="N1178" s="15"/>
      <c r="O1178" s="15" t="s">
        <v>271</v>
      </c>
      <c r="P1178" s="15" t="s">
        <v>629</v>
      </c>
      <c r="Q1178" s="15" t="s">
        <v>11645</v>
      </c>
      <c r="R1178" s="15" t="s">
        <v>11646</v>
      </c>
      <c r="S1178" s="24" t="s">
        <v>39</v>
      </c>
      <c r="T1178" s="24" t="s">
        <v>39</v>
      </c>
      <c r="U1178" s="24" t="s">
        <v>39</v>
      </c>
      <c r="V1178" s="24" t="s">
        <v>39</v>
      </c>
      <c r="W1178" s="24" t="s">
        <v>11647</v>
      </c>
      <c r="X1178" s="24" t="s">
        <v>11648</v>
      </c>
      <c r="Y1178" s="15" t="s">
        <v>11649</v>
      </c>
      <c r="Z1178" s="15" t="s">
        <v>11650</v>
      </c>
      <c r="AA1178" s="24"/>
      <c r="AB1178" s="24"/>
      <c r="AC1178" s="24"/>
      <c r="AD1178" s="24"/>
      <c r="AE1178" s="24"/>
      <c r="AF1178" s="24"/>
      <c r="AG1178" s="24"/>
      <c r="AH1178" s="24"/>
    </row>
    <row r="1179" spans="1:34" ht="105" x14ac:dyDescent="0.25">
      <c r="A1179" s="24" t="str">
        <f>HYPERLINK("https://www.cpso.on.ca/DoctorDetails/Katelyn-Bret-Reynolds/0280995-98472","Reynolds, Katelyn Bret")</f>
        <v>Reynolds, Katelyn Bret</v>
      </c>
      <c r="B1179" s="25" t="s">
        <v>11651</v>
      </c>
      <c r="C1179" s="24" t="s">
        <v>544</v>
      </c>
      <c r="D1179" s="24" t="s">
        <v>200</v>
      </c>
      <c r="E1179" s="24" t="s">
        <v>29</v>
      </c>
      <c r="F1179" s="24" t="s">
        <v>47</v>
      </c>
      <c r="G1179" s="24" t="s">
        <v>31</v>
      </c>
      <c r="H1179" s="24" t="s">
        <v>1386</v>
      </c>
      <c r="I1179" s="24" t="s">
        <v>11652</v>
      </c>
      <c r="J1179" s="24"/>
      <c r="K1179" s="24"/>
      <c r="L1179" s="24" t="s">
        <v>52</v>
      </c>
      <c r="M1179" s="15" t="s">
        <v>11653</v>
      </c>
      <c r="N1179" s="15"/>
      <c r="O1179" s="15" t="s">
        <v>793</v>
      </c>
      <c r="P1179" s="15" t="s">
        <v>205</v>
      </c>
      <c r="Q1179" s="15" t="s">
        <v>11654</v>
      </c>
      <c r="R1179" s="15" t="s">
        <v>11655</v>
      </c>
      <c r="S1179" s="24" t="s">
        <v>39</v>
      </c>
      <c r="T1179" s="24" t="s">
        <v>39</v>
      </c>
      <c r="U1179" s="24" t="s">
        <v>39</v>
      </c>
      <c r="V1179" s="24" t="s">
        <v>39</v>
      </c>
      <c r="W1179" s="24" t="s">
        <v>11656</v>
      </c>
      <c r="X1179" s="24" t="s">
        <v>566</v>
      </c>
      <c r="Y1179" s="15" t="s">
        <v>11657</v>
      </c>
      <c r="Z1179" s="15" t="s">
        <v>11658</v>
      </c>
      <c r="AA1179" s="24"/>
      <c r="AB1179" s="24"/>
      <c r="AC1179" s="24"/>
      <c r="AD1179" s="24"/>
      <c r="AE1179" s="24"/>
      <c r="AF1179" s="24"/>
      <c r="AG1179" s="24"/>
      <c r="AH1179" s="24"/>
    </row>
    <row r="1180" spans="1:34" x14ac:dyDescent="0.25">
      <c r="A1180" s="24" t="str">
        <f>HYPERLINK("https://www.cpso.on.ca/DoctorDetails/Katerina-Radmilo-Nikolitch/0323070-114158","Nikolitch, Katerina Radmilo")</f>
        <v>Nikolitch, Katerina Radmilo</v>
      </c>
      <c r="B1180" s="25" t="s">
        <v>11659</v>
      </c>
      <c r="C1180" s="24" t="s">
        <v>11660</v>
      </c>
      <c r="D1180" s="24" t="s">
        <v>11661</v>
      </c>
      <c r="E1180" s="24" t="s">
        <v>29</v>
      </c>
      <c r="F1180" s="24" t="s">
        <v>47</v>
      </c>
      <c r="G1180" s="24" t="s">
        <v>31</v>
      </c>
      <c r="H1180" s="24" t="s">
        <v>5057</v>
      </c>
      <c r="I1180" s="24" t="s">
        <v>11662</v>
      </c>
      <c r="J1180" s="24" t="s">
        <v>992</v>
      </c>
      <c r="K1180" s="24"/>
      <c r="L1180" s="24" t="s">
        <v>84</v>
      </c>
      <c r="M1180" s="15"/>
      <c r="N1180" s="15"/>
      <c r="O1180" s="15" t="s">
        <v>498</v>
      </c>
      <c r="P1180" s="15" t="s">
        <v>550</v>
      </c>
      <c r="Q1180" s="15"/>
      <c r="R1180" s="15" t="s">
        <v>11663</v>
      </c>
      <c r="S1180" s="24" t="s">
        <v>39</v>
      </c>
      <c r="T1180" s="24" t="s">
        <v>39</v>
      </c>
      <c r="U1180" s="24" t="s">
        <v>39</v>
      </c>
      <c r="V1180" s="24" t="s">
        <v>39</v>
      </c>
      <c r="W1180" s="24" t="s">
        <v>11664</v>
      </c>
      <c r="X1180" s="24" t="s">
        <v>11665</v>
      </c>
      <c r="Y1180" s="15" t="s">
        <v>11666</v>
      </c>
      <c r="Z1180" s="15" t="s">
        <v>718</v>
      </c>
      <c r="AA1180" s="24"/>
      <c r="AB1180" s="24"/>
      <c r="AC1180" s="24"/>
      <c r="AD1180" s="24"/>
      <c r="AE1180" s="24"/>
      <c r="AF1180" s="24"/>
      <c r="AG1180" s="24"/>
      <c r="AH1180" s="24"/>
    </row>
    <row r="1181" spans="1:34" ht="60" x14ac:dyDescent="0.25">
      <c r="A1181" s="24" t="str">
        <f>HYPERLINK("https://www.cpso.on.ca/DoctorDetails/Katharine-Anne-Gillis/0036667-50643","Gillis, Katharine Anne")</f>
        <v>Gillis, Katharine Anne</v>
      </c>
      <c r="B1181" s="25" t="s">
        <v>11667</v>
      </c>
      <c r="C1181" s="24" t="s">
        <v>11668</v>
      </c>
      <c r="D1181" s="24" t="s">
        <v>11669</v>
      </c>
      <c r="E1181" s="24" t="s">
        <v>11670</v>
      </c>
      <c r="F1181" s="24" t="s">
        <v>47</v>
      </c>
      <c r="G1181" s="24" t="s">
        <v>31</v>
      </c>
      <c r="H1181" s="24" t="s">
        <v>11671</v>
      </c>
      <c r="I1181" s="24" t="s">
        <v>11672</v>
      </c>
      <c r="J1181" s="24" t="s">
        <v>11673</v>
      </c>
      <c r="K1181" s="24"/>
      <c r="L1181" s="24" t="s">
        <v>84</v>
      </c>
      <c r="M1181" s="15"/>
      <c r="N1181" s="15"/>
      <c r="O1181" s="15" t="s">
        <v>11674</v>
      </c>
      <c r="P1181" s="15" t="s">
        <v>11675</v>
      </c>
      <c r="Q1181" s="15" t="s">
        <v>11676</v>
      </c>
      <c r="R1181" s="15" t="s">
        <v>11677</v>
      </c>
      <c r="S1181" s="24" t="s">
        <v>39</v>
      </c>
      <c r="T1181" s="24" t="s">
        <v>39</v>
      </c>
      <c r="U1181" s="24" t="s">
        <v>39</v>
      </c>
      <c r="V1181" s="24" t="s">
        <v>39</v>
      </c>
      <c r="W1181" s="24" t="s">
        <v>11678</v>
      </c>
      <c r="X1181" s="24" t="s">
        <v>99</v>
      </c>
      <c r="Y1181" s="15" t="s">
        <v>11679</v>
      </c>
      <c r="Z1181" s="15" t="s">
        <v>11680</v>
      </c>
      <c r="AA1181" s="24"/>
      <c r="AB1181" s="24"/>
      <c r="AC1181" s="24"/>
      <c r="AD1181" s="24"/>
      <c r="AE1181" s="24"/>
      <c r="AF1181" s="24"/>
      <c r="AG1181" s="24"/>
      <c r="AH1181" s="24"/>
    </row>
    <row r="1182" spans="1:34" ht="75" x14ac:dyDescent="0.25">
      <c r="A1182" s="24" t="str">
        <f>HYPERLINK("https://www.cpso.on.ca/DoctorDetails/Katharine-Charlton/0232755-84591","Charlton, Katharine")</f>
        <v>Charlton, Katharine</v>
      </c>
      <c r="B1182" s="25" t="s">
        <v>11681</v>
      </c>
      <c r="C1182" s="24" t="s">
        <v>647</v>
      </c>
      <c r="D1182" s="24" t="s">
        <v>648</v>
      </c>
      <c r="E1182" s="24" t="s">
        <v>29</v>
      </c>
      <c r="F1182" s="24" t="s">
        <v>47</v>
      </c>
      <c r="G1182" s="24" t="s">
        <v>31</v>
      </c>
      <c r="H1182" s="24" t="s">
        <v>11682</v>
      </c>
      <c r="I1182" s="24" t="s">
        <v>11683</v>
      </c>
      <c r="J1182" s="24" t="s">
        <v>8396</v>
      </c>
      <c r="K1182" s="24"/>
      <c r="L1182" s="24" t="s">
        <v>52</v>
      </c>
      <c r="M1182" s="15"/>
      <c r="N1182" s="15" t="s">
        <v>342</v>
      </c>
      <c r="O1182" s="15" t="s">
        <v>219</v>
      </c>
      <c r="P1182" s="15" t="s">
        <v>654</v>
      </c>
      <c r="Q1182" s="15" t="s">
        <v>11684</v>
      </c>
      <c r="R1182" s="15" t="s">
        <v>656</v>
      </c>
      <c r="S1182" s="24" t="s">
        <v>39</v>
      </c>
      <c r="T1182" s="24" t="s">
        <v>39</v>
      </c>
      <c r="U1182" s="24" t="s">
        <v>39</v>
      </c>
      <c r="V1182" s="24" t="s">
        <v>39</v>
      </c>
      <c r="W1182" s="24"/>
      <c r="X1182" s="24"/>
      <c r="Y1182" s="15"/>
      <c r="Z1182" s="15"/>
      <c r="AA1182" s="24"/>
      <c r="AB1182" s="24"/>
      <c r="AC1182" s="24"/>
      <c r="AD1182" s="24"/>
      <c r="AE1182" s="24"/>
      <c r="AF1182" s="24"/>
      <c r="AG1182" s="24"/>
      <c r="AH1182" s="24"/>
    </row>
    <row r="1183" spans="1:34" ht="135" x14ac:dyDescent="0.25">
      <c r="A1183" s="24" t="str">
        <f>HYPERLINK("https://www.cpso.on.ca/DoctorDetails/Katherine-Alexandra-CochraneBrink/0158304-74005","Cochrane-Brink, Katherine Alexandra")</f>
        <v>Cochrane-Brink, Katherine Alexandra</v>
      </c>
      <c r="B1183" s="25" t="s">
        <v>11685</v>
      </c>
      <c r="C1183" s="24" t="s">
        <v>11686</v>
      </c>
      <c r="D1183" s="24" t="s">
        <v>11687</v>
      </c>
      <c r="E1183" s="24" t="s">
        <v>29</v>
      </c>
      <c r="F1183" s="24" t="s">
        <v>47</v>
      </c>
      <c r="G1183" s="24" t="s">
        <v>31</v>
      </c>
      <c r="H1183" s="24" t="s">
        <v>2846</v>
      </c>
      <c r="I1183" s="24" t="s">
        <v>9540</v>
      </c>
      <c r="J1183" s="24" t="s">
        <v>11688</v>
      </c>
      <c r="K1183" s="24" t="s">
        <v>11689</v>
      </c>
      <c r="L1183" s="24" t="s">
        <v>52</v>
      </c>
      <c r="M1183" s="15"/>
      <c r="N1183" s="15"/>
      <c r="O1183" s="15"/>
      <c r="P1183" s="15" t="s">
        <v>1149</v>
      </c>
      <c r="Q1183" s="15" t="s">
        <v>11690</v>
      </c>
      <c r="R1183" s="15" t="s">
        <v>11691</v>
      </c>
      <c r="S1183" s="24" t="s">
        <v>39</v>
      </c>
      <c r="T1183" s="24" t="s">
        <v>39</v>
      </c>
      <c r="U1183" s="24" t="s">
        <v>39</v>
      </c>
      <c r="V1183" s="24" t="s">
        <v>39</v>
      </c>
      <c r="W1183" s="24"/>
      <c r="X1183" s="24"/>
      <c r="Y1183" s="15"/>
      <c r="Z1183" s="15"/>
      <c r="AA1183" s="24"/>
      <c r="AB1183" s="24"/>
      <c r="AC1183" s="24"/>
      <c r="AD1183" s="24"/>
      <c r="AE1183" s="24"/>
      <c r="AF1183" s="24"/>
      <c r="AG1183" s="24"/>
      <c r="AH1183" s="24"/>
    </row>
    <row r="1184" spans="1:34" ht="75" x14ac:dyDescent="0.25">
      <c r="A1184" s="24" t="str">
        <f>HYPERLINK("https://www.cpso.on.ca/DoctorDetails/Katherine-Allen/0265489-93540","Allen, Katherine")</f>
        <v>Allen, Katherine</v>
      </c>
      <c r="B1184" s="25" t="s">
        <v>11692</v>
      </c>
      <c r="C1184" s="24" t="s">
        <v>570</v>
      </c>
      <c r="D1184" s="24" t="s">
        <v>571</v>
      </c>
      <c r="E1184" s="24" t="s">
        <v>29</v>
      </c>
      <c r="F1184" s="24" t="s">
        <v>47</v>
      </c>
      <c r="G1184" s="24" t="s">
        <v>31</v>
      </c>
      <c r="H1184" s="24" t="s">
        <v>10312</v>
      </c>
      <c r="I1184" s="24" t="s">
        <v>3071</v>
      </c>
      <c r="J1184" s="24" t="s">
        <v>3072</v>
      </c>
      <c r="K1184" s="24"/>
      <c r="L1184" s="24" t="s">
        <v>84</v>
      </c>
      <c r="M1184" s="15"/>
      <c r="N1184" s="15"/>
      <c r="O1184" s="15" t="s">
        <v>817</v>
      </c>
      <c r="P1184" s="15" t="s">
        <v>629</v>
      </c>
      <c r="Q1184" s="15" t="s">
        <v>11693</v>
      </c>
      <c r="R1184" s="15" t="s">
        <v>1706</v>
      </c>
      <c r="S1184" s="24" t="s">
        <v>39</v>
      </c>
      <c r="T1184" s="24" t="s">
        <v>39</v>
      </c>
      <c r="U1184" s="24" t="s">
        <v>39</v>
      </c>
      <c r="V1184" s="24" t="s">
        <v>39</v>
      </c>
      <c r="W1184" s="24" t="s">
        <v>11694</v>
      </c>
      <c r="X1184" s="24" t="s">
        <v>1819</v>
      </c>
      <c r="Y1184" s="15" t="s">
        <v>11695</v>
      </c>
      <c r="Z1184" s="15" t="s">
        <v>11696</v>
      </c>
      <c r="AA1184" s="24"/>
      <c r="AB1184" s="24"/>
      <c r="AC1184" s="24"/>
      <c r="AD1184" s="24"/>
      <c r="AE1184" s="24"/>
      <c r="AF1184" s="24"/>
      <c r="AG1184" s="24"/>
      <c r="AH1184" s="24"/>
    </row>
    <row r="1185" spans="1:34" ht="75" x14ac:dyDescent="0.25">
      <c r="A1185" s="24" t="str">
        <f>HYPERLINK("https://www.cpso.on.ca/DoctorDetails/Katherine-Ann-McKay/0280718-97698","McKay, Katherine Ann")</f>
        <v>McKay, Katherine Ann</v>
      </c>
      <c r="B1185" s="25" t="s">
        <v>11697</v>
      </c>
      <c r="C1185" s="24" t="s">
        <v>544</v>
      </c>
      <c r="D1185" s="24" t="s">
        <v>545</v>
      </c>
      <c r="E1185" s="24" t="s">
        <v>29</v>
      </c>
      <c r="F1185" s="24" t="s">
        <v>47</v>
      </c>
      <c r="G1185" s="24" t="s">
        <v>31</v>
      </c>
      <c r="H1185" s="24" t="s">
        <v>2650</v>
      </c>
      <c r="I1185" s="24" t="s">
        <v>10040</v>
      </c>
      <c r="J1185" s="24" t="s">
        <v>2232</v>
      </c>
      <c r="K1185" s="24"/>
      <c r="L1185" s="24" t="s">
        <v>36</v>
      </c>
      <c r="M1185" s="15"/>
      <c r="N1185" s="15"/>
      <c r="O1185" s="15" t="s">
        <v>1760</v>
      </c>
      <c r="P1185" s="15" t="s">
        <v>550</v>
      </c>
      <c r="Q1185" s="15" t="s">
        <v>11698</v>
      </c>
      <c r="R1185" s="15" t="s">
        <v>552</v>
      </c>
      <c r="S1185" s="24" t="s">
        <v>39</v>
      </c>
      <c r="T1185" s="24" t="s">
        <v>39</v>
      </c>
      <c r="U1185" s="24" t="s">
        <v>39</v>
      </c>
      <c r="V1185" s="24" t="s">
        <v>39</v>
      </c>
      <c r="W1185" s="24"/>
      <c r="X1185" s="24"/>
      <c r="Y1185" s="15"/>
      <c r="Z1185" s="15"/>
      <c r="AA1185" s="24"/>
      <c r="AB1185" s="24"/>
      <c r="AC1185" s="24"/>
      <c r="AD1185" s="24"/>
      <c r="AE1185" s="24"/>
      <c r="AF1185" s="24"/>
      <c r="AG1185" s="24"/>
      <c r="AH1185" s="24"/>
    </row>
    <row r="1186" spans="1:34" x14ac:dyDescent="0.25">
      <c r="A1186" s="24" t="str">
        <f>HYPERLINK("https://www.cpso.on.ca/DoctorDetails/Katherine-Anne-Cook/0019390-24177","Cook, Katherine Anne")</f>
        <v>Cook, Katherine Anne</v>
      </c>
      <c r="B1186" s="25" t="s">
        <v>11699</v>
      </c>
      <c r="C1186" s="24" t="s">
        <v>11700</v>
      </c>
      <c r="D1186" s="24" t="s">
        <v>11701</v>
      </c>
      <c r="E1186" s="24" t="s">
        <v>29</v>
      </c>
      <c r="F1186" s="24" t="s">
        <v>47</v>
      </c>
      <c r="G1186" s="24" t="s">
        <v>31</v>
      </c>
      <c r="H1186" s="24" t="s">
        <v>2396</v>
      </c>
      <c r="I1186" s="24" t="s">
        <v>11702</v>
      </c>
      <c r="J1186" s="24" t="s">
        <v>11703</v>
      </c>
      <c r="K1186" s="24" t="s">
        <v>11704</v>
      </c>
      <c r="L1186" s="24" t="s">
        <v>52</v>
      </c>
      <c r="M1186" s="15"/>
      <c r="N1186" s="15"/>
      <c r="O1186" s="15"/>
      <c r="P1186" s="15" t="s">
        <v>5323</v>
      </c>
      <c r="Q1186" s="15"/>
      <c r="R1186" s="15" t="s">
        <v>11705</v>
      </c>
      <c r="S1186" s="24" t="s">
        <v>39</v>
      </c>
      <c r="T1186" s="24" t="s">
        <v>39</v>
      </c>
      <c r="U1186" s="24" t="s">
        <v>39</v>
      </c>
      <c r="V1186" s="24" t="s">
        <v>39</v>
      </c>
      <c r="W1186" s="24"/>
      <c r="X1186" s="24"/>
      <c r="Y1186" s="15"/>
      <c r="Z1186" s="15"/>
      <c r="AA1186" s="24"/>
      <c r="AB1186" s="24"/>
      <c r="AC1186" s="24"/>
      <c r="AD1186" s="24"/>
      <c r="AE1186" s="24"/>
      <c r="AF1186" s="24"/>
      <c r="AG1186" s="24"/>
      <c r="AH1186" s="24"/>
    </row>
    <row r="1187" spans="1:34" ht="90" x14ac:dyDescent="0.25">
      <c r="A1187" s="24" t="str">
        <f>HYPERLINK("https://www.cpso.on.ca/DoctorDetails/Katherine-Anne-Furst/0050271-64250","Furst, Katherine Anne")</f>
        <v>Furst, Katherine Anne</v>
      </c>
      <c r="B1187" s="25" t="s">
        <v>11706</v>
      </c>
      <c r="C1187" s="24" t="s">
        <v>5078</v>
      </c>
      <c r="D1187" s="24" t="s">
        <v>11707</v>
      </c>
      <c r="E1187" s="24" t="s">
        <v>29</v>
      </c>
      <c r="F1187" s="24" t="s">
        <v>47</v>
      </c>
      <c r="G1187" s="24" t="s">
        <v>31</v>
      </c>
      <c r="H1187" s="24" t="s">
        <v>7928</v>
      </c>
      <c r="I1187" s="24" t="s">
        <v>11708</v>
      </c>
      <c r="J1187" s="24" t="s">
        <v>11709</v>
      </c>
      <c r="K1187" s="24"/>
      <c r="L1187" s="24" t="s">
        <v>340</v>
      </c>
      <c r="M1187" s="15"/>
      <c r="N1187" s="15"/>
      <c r="O1187" s="15"/>
      <c r="P1187" s="15" t="s">
        <v>2042</v>
      </c>
      <c r="Q1187" s="15" t="s">
        <v>11710</v>
      </c>
      <c r="R1187" s="15" t="s">
        <v>11711</v>
      </c>
      <c r="S1187" s="24" t="s">
        <v>39</v>
      </c>
      <c r="T1187" s="24" t="s">
        <v>39</v>
      </c>
      <c r="U1187" s="24" t="s">
        <v>39</v>
      </c>
      <c r="V1187" s="24" t="s">
        <v>39</v>
      </c>
      <c r="W1187" s="24"/>
      <c r="X1187" s="24"/>
      <c r="Y1187" s="15"/>
      <c r="Z1187" s="15"/>
      <c r="AA1187" s="24"/>
      <c r="AB1187" s="24"/>
      <c r="AC1187" s="24"/>
      <c r="AD1187" s="24"/>
      <c r="AE1187" s="24"/>
      <c r="AF1187" s="24"/>
      <c r="AG1187" s="24"/>
      <c r="AH1187" s="24"/>
    </row>
    <row r="1188" spans="1:34" ht="45" x14ac:dyDescent="0.25">
      <c r="A1188" s="24" t="str">
        <f>HYPERLINK("https://www.cpso.on.ca/DoctorDetails/Katherine-Margaret-Anne-Matheson/0290173-101634","Matheson, Katherine Margaret Anne")</f>
        <v>Matheson, Katherine Margaret Anne</v>
      </c>
      <c r="B1188" s="25" t="s">
        <v>11712</v>
      </c>
      <c r="C1188" s="24" t="s">
        <v>11713</v>
      </c>
      <c r="D1188" s="24" t="s">
        <v>11714</v>
      </c>
      <c r="E1188" s="24" t="s">
        <v>29</v>
      </c>
      <c r="F1188" s="24" t="s">
        <v>47</v>
      </c>
      <c r="G1188" s="24" t="s">
        <v>31</v>
      </c>
      <c r="H1188" s="24" t="s">
        <v>5691</v>
      </c>
      <c r="I1188" s="24" t="s">
        <v>11715</v>
      </c>
      <c r="J1188" s="24" t="s">
        <v>7068</v>
      </c>
      <c r="K1188" s="24" t="s">
        <v>2155</v>
      </c>
      <c r="L1188" s="24" t="s">
        <v>84</v>
      </c>
      <c r="M1188" s="15"/>
      <c r="N1188" s="15"/>
      <c r="O1188" s="15" t="s">
        <v>4570</v>
      </c>
      <c r="P1188" s="15" t="s">
        <v>11716</v>
      </c>
      <c r="Q1188" s="15" t="s">
        <v>11717</v>
      </c>
      <c r="R1188" s="15" t="s">
        <v>11718</v>
      </c>
      <c r="S1188" s="24" t="s">
        <v>39</v>
      </c>
      <c r="T1188" s="24" t="s">
        <v>39</v>
      </c>
      <c r="U1188" s="24" t="s">
        <v>39</v>
      </c>
      <c r="V1188" s="24" t="s">
        <v>39</v>
      </c>
      <c r="W1188" s="24" t="s">
        <v>11719</v>
      </c>
      <c r="X1188" s="24" t="s">
        <v>11720</v>
      </c>
      <c r="Y1188" s="15" t="s">
        <v>11721</v>
      </c>
      <c r="Z1188" s="15" t="s">
        <v>11722</v>
      </c>
      <c r="AA1188" s="24"/>
      <c r="AB1188" s="24"/>
      <c r="AC1188" s="24"/>
      <c r="AD1188" s="24"/>
      <c r="AE1188" s="24"/>
      <c r="AF1188" s="24"/>
      <c r="AG1188" s="24"/>
      <c r="AH1188" s="24"/>
    </row>
    <row r="1189" spans="1:34" ht="75" x14ac:dyDescent="0.25">
      <c r="A1189" s="24" t="str">
        <f>HYPERLINK("https://www.cpso.on.ca/DoctorDetails/Katherine-Ram/0220752-82713","Ram, Katherine")</f>
        <v>Ram, Katherine</v>
      </c>
      <c r="B1189" s="25" t="s">
        <v>11723</v>
      </c>
      <c r="C1189" s="24" t="s">
        <v>11724</v>
      </c>
      <c r="D1189" s="24" t="s">
        <v>11725</v>
      </c>
      <c r="E1189" s="24" t="s">
        <v>29</v>
      </c>
      <c r="F1189" s="24" t="s">
        <v>47</v>
      </c>
      <c r="G1189" s="24" t="s">
        <v>31</v>
      </c>
      <c r="H1189" s="24" t="s">
        <v>990</v>
      </c>
      <c r="I1189" s="24" t="s">
        <v>11726</v>
      </c>
      <c r="J1189" s="24" t="s">
        <v>9226</v>
      </c>
      <c r="K1189" s="24" t="s">
        <v>1493</v>
      </c>
      <c r="L1189" s="24" t="s">
        <v>52</v>
      </c>
      <c r="M1189" s="15" t="s">
        <v>11727</v>
      </c>
      <c r="N1189" s="15"/>
      <c r="O1189" s="15" t="s">
        <v>981</v>
      </c>
      <c r="P1189" s="15" t="s">
        <v>2348</v>
      </c>
      <c r="Q1189" s="15" t="s">
        <v>2349</v>
      </c>
      <c r="R1189" s="15" t="s">
        <v>11728</v>
      </c>
      <c r="S1189" s="24" t="s">
        <v>39</v>
      </c>
      <c r="T1189" s="24" t="s">
        <v>39</v>
      </c>
      <c r="U1189" s="24" t="s">
        <v>39</v>
      </c>
      <c r="V1189" s="24" t="s">
        <v>39</v>
      </c>
      <c r="W1189" s="24"/>
      <c r="X1189" s="24"/>
      <c r="Y1189" s="15"/>
      <c r="Z1189" s="15"/>
      <c r="AA1189" s="24"/>
      <c r="AB1189" s="24"/>
      <c r="AC1189" s="24"/>
      <c r="AD1189" s="24"/>
      <c r="AE1189" s="24"/>
      <c r="AF1189" s="24"/>
      <c r="AG1189" s="24"/>
      <c r="AH1189" s="24"/>
    </row>
    <row r="1190" spans="1:34" ht="45" x14ac:dyDescent="0.25">
      <c r="A1190" s="24" t="str">
        <f>HYPERLINK("https://www.cpso.on.ca/DoctorDetails/Kathiraveloo-Santher/0024654-29476","Santher, Kathiraveloo")</f>
        <v>Santher, Kathiraveloo</v>
      </c>
      <c r="B1190" s="25" t="s">
        <v>11729</v>
      </c>
      <c r="C1190" s="24" t="s">
        <v>8574</v>
      </c>
      <c r="D1190" s="24" t="s">
        <v>8575</v>
      </c>
      <c r="E1190" s="24" t="s">
        <v>29</v>
      </c>
      <c r="F1190" s="24" t="s">
        <v>30</v>
      </c>
      <c r="G1190" s="24" t="s">
        <v>2255</v>
      </c>
      <c r="H1190" s="24" t="s">
        <v>11730</v>
      </c>
      <c r="I1190" s="24" t="s">
        <v>11731</v>
      </c>
      <c r="J1190" s="24" t="s">
        <v>11732</v>
      </c>
      <c r="K1190" s="24" t="s">
        <v>11733</v>
      </c>
      <c r="L1190" s="24" t="s">
        <v>184</v>
      </c>
      <c r="M1190" s="15" t="s">
        <v>11734</v>
      </c>
      <c r="N1190" s="15"/>
      <c r="O1190" s="15" t="s">
        <v>11735</v>
      </c>
      <c r="P1190" s="15" t="s">
        <v>6465</v>
      </c>
      <c r="Q1190" s="15"/>
      <c r="R1190" s="15" t="s">
        <v>8580</v>
      </c>
      <c r="S1190" s="24" t="s">
        <v>39</v>
      </c>
      <c r="T1190" s="24" t="s">
        <v>39</v>
      </c>
      <c r="U1190" s="24" t="s">
        <v>39</v>
      </c>
      <c r="V1190" s="24" t="s">
        <v>39</v>
      </c>
      <c r="W1190" s="24" t="s">
        <v>11736</v>
      </c>
      <c r="X1190" s="24" t="s">
        <v>11737</v>
      </c>
      <c r="Y1190" s="15" t="s">
        <v>11738</v>
      </c>
      <c r="Z1190" s="15" t="s">
        <v>11739</v>
      </c>
      <c r="AA1190" s="24"/>
      <c r="AB1190" s="24"/>
      <c r="AC1190" s="24"/>
      <c r="AD1190" s="24"/>
      <c r="AE1190" s="24"/>
      <c r="AF1190" s="24"/>
      <c r="AG1190" s="24"/>
      <c r="AH1190" s="24"/>
    </row>
    <row r="1191" spans="1:34" ht="90" x14ac:dyDescent="0.25">
      <c r="A1191" s="24" t="str">
        <f>HYPERLINK("https://www.cpso.on.ca/DoctorDetails/Kathleen-Ann-Pajer/0298590-107764","Pajer, Kathleen Ann")</f>
        <v>Pajer, Kathleen Ann</v>
      </c>
      <c r="B1191" s="25" t="s">
        <v>11740</v>
      </c>
      <c r="C1191" s="24" t="s">
        <v>11741</v>
      </c>
      <c r="D1191" s="24" t="s">
        <v>11742</v>
      </c>
      <c r="E1191" s="24" t="s">
        <v>29</v>
      </c>
      <c r="F1191" s="24" t="s">
        <v>47</v>
      </c>
      <c r="G1191" s="24" t="s">
        <v>31</v>
      </c>
      <c r="H1191" s="24" t="s">
        <v>11743</v>
      </c>
      <c r="I1191" s="24" t="s">
        <v>11744</v>
      </c>
      <c r="J1191" s="24" t="s">
        <v>11745</v>
      </c>
      <c r="K1191" s="24"/>
      <c r="L1191" s="24" t="s">
        <v>84</v>
      </c>
      <c r="M1191" s="15"/>
      <c r="N1191" s="15"/>
      <c r="O1191" s="15" t="s">
        <v>2806</v>
      </c>
      <c r="P1191" s="15" t="s">
        <v>11746</v>
      </c>
      <c r="Q1191" s="15"/>
      <c r="R1191" s="15" t="s">
        <v>11747</v>
      </c>
      <c r="S1191" s="24" t="s">
        <v>71</v>
      </c>
      <c r="T1191" s="24" t="s">
        <v>39</v>
      </c>
      <c r="U1191" s="24" t="s">
        <v>39</v>
      </c>
      <c r="V1191" s="24" t="s">
        <v>39</v>
      </c>
      <c r="W1191" s="24"/>
      <c r="X1191" s="24"/>
      <c r="Y1191" s="15"/>
      <c r="Z1191" s="15"/>
      <c r="AA1191" s="24"/>
      <c r="AB1191" s="24"/>
      <c r="AC1191" s="24"/>
      <c r="AD1191" s="24"/>
      <c r="AE1191" s="24"/>
      <c r="AF1191" s="24"/>
      <c r="AG1191" s="24"/>
      <c r="AH1191" s="24"/>
    </row>
    <row r="1192" spans="1:34" ht="75" x14ac:dyDescent="0.25">
      <c r="A1192" s="24" t="str">
        <f>HYPERLINK("https://www.cpso.on.ca/DoctorDetails/Kathleen-Ann-Sheehan/0266209-92836","Sheehan, Kathleen Ann")</f>
        <v>Sheehan, Kathleen Ann</v>
      </c>
      <c r="B1192" s="25" t="s">
        <v>11748</v>
      </c>
      <c r="C1192" s="24" t="s">
        <v>570</v>
      </c>
      <c r="D1192" s="24" t="s">
        <v>571</v>
      </c>
      <c r="E1192" s="24" t="s">
        <v>29</v>
      </c>
      <c r="F1192" s="24" t="s">
        <v>47</v>
      </c>
      <c r="G1192" s="24" t="s">
        <v>31</v>
      </c>
      <c r="H1192" s="24" t="s">
        <v>5730</v>
      </c>
      <c r="I1192" s="24" t="s">
        <v>10253</v>
      </c>
      <c r="J1192" s="24" t="s">
        <v>11749</v>
      </c>
      <c r="K1192" s="24"/>
      <c r="L1192" s="24" t="s">
        <v>52</v>
      </c>
      <c r="M1192" s="15"/>
      <c r="N1192" s="15"/>
      <c r="O1192" s="15" t="s">
        <v>1867</v>
      </c>
      <c r="P1192" s="15" t="s">
        <v>629</v>
      </c>
      <c r="Q1192" s="15" t="s">
        <v>4824</v>
      </c>
      <c r="R1192" s="15" t="s">
        <v>1706</v>
      </c>
      <c r="S1192" s="24" t="s">
        <v>39</v>
      </c>
      <c r="T1192" s="24" t="s">
        <v>39</v>
      </c>
      <c r="U1192" s="24" t="s">
        <v>39</v>
      </c>
      <c r="V1192" s="24" t="s">
        <v>39</v>
      </c>
      <c r="W1192" s="24"/>
      <c r="X1192" s="24"/>
      <c r="Y1192" s="15"/>
      <c r="Z1192" s="15"/>
      <c r="AA1192" s="24"/>
      <c r="AB1192" s="24"/>
      <c r="AC1192" s="24"/>
      <c r="AD1192" s="24"/>
      <c r="AE1192" s="24"/>
      <c r="AF1192" s="24"/>
      <c r="AG1192" s="24"/>
      <c r="AH1192" s="24"/>
    </row>
    <row r="1193" spans="1:34" ht="75" x14ac:dyDescent="0.25">
      <c r="A1193" s="24" t="str">
        <f>HYPERLINK("https://www.cpso.on.ca/DoctorDetails/Kathleen-Claire-Schneider/0045581-59559","Schneider, Kathleen Claire")</f>
        <v>Schneider, Kathleen Claire</v>
      </c>
      <c r="B1193" s="25" t="s">
        <v>11750</v>
      </c>
      <c r="C1193" s="24" t="s">
        <v>2286</v>
      </c>
      <c r="D1193" s="24" t="s">
        <v>11751</v>
      </c>
      <c r="E1193" s="24" t="s">
        <v>29</v>
      </c>
      <c r="F1193" s="24" t="s">
        <v>47</v>
      </c>
      <c r="G1193" s="24" t="s">
        <v>252</v>
      </c>
      <c r="H1193" s="24" t="s">
        <v>3465</v>
      </c>
      <c r="I1193" s="24" t="s">
        <v>11752</v>
      </c>
      <c r="J1193" s="24" t="s">
        <v>11753</v>
      </c>
      <c r="K1193" s="24"/>
      <c r="L1193" s="24" t="s">
        <v>52</v>
      </c>
      <c r="M1193" s="15" t="s">
        <v>11754</v>
      </c>
      <c r="N1193" s="15"/>
      <c r="O1193" s="15" t="s">
        <v>11755</v>
      </c>
      <c r="P1193" s="15" t="s">
        <v>2293</v>
      </c>
      <c r="Q1193" s="15" t="s">
        <v>11756</v>
      </c>
      <c r="R1193" s="15" t="s">
        <v>11757</v>
      </c>
      <c r="S1193" s="24" t="s">
        <v>39</v>
      </c>
      <c r="T1193" s="24" t="s">
        <v>39</v>
      </c>
      <c r="U1193" s="24" t="s">
        <v>39</v>
      </c>
      <c r="V1193" s="24" t="s">
        <v>39</v>
      </c>
      <c r="W1193" s="24" t="s">
        <v>11758</v>
      </c>
      <c r="X1193" s="24" t="s">
        <v>11759</v>
      </c>
      <c r="Y1193" s="15" t="s">
        <v>11760</v>
      </c>
      <c r="Z1193" s="15" t="s">
        <v>11761</v>
      </c>
      <c r="AA1193" s="24"/>
      <c r="AB1193" s="24"/>
      <c r="AC1193" s="24"/>
      <c r="AD1193" s="24"/>
      <c r="AE1193" s="24"/>
      <c r="AF1193" s="24"/>
      <c r="AG1193" s="24"/>
      <c r="AH1193" s="24"/>
    </row>
    <row r="1194" spans="1:34" ht="60" x14ac:dyDescent="0.25">
      <c r="A1194" s="24" t="str">
        <f>HYPERLINK("https://www.cpso.on.ca/DoctorDetails/Kathleen-Dawn-Askland/0297996-105376","Askland, Kathleen Dawn")</f>
        <v>Askland, Kathleen Dawn</v>
      </c>
      <c r="B1194" s="25" t="s">
        <v>11762</v>
      </c>
      <c r="C1194" s="24" t="s">
        <v>11763</v>
      </c>
      <c r="D1194" s="24" t="s">
        <v>11764</v>
      </c>
      <c r="E1194" s="24" t="s">
        <v>29</v>
      </c>
      <c r="F1194" s="24" t="s">
        <v>47</v>
      </c>
      <c r="G1194" s="24" t="s">
        <v>31</v>
      </c>
      <c r="H1194" s="24" t="s">
        <v>11765</v>
      </c>
      <c r="I1194" s="24" t="s">
        <v>11766</v>
      </c>
      <c r="J1194" s="24" t="s">
        <v>11767</v>
      </c>
      <c r="K1194" s="24"/>
      <c r="L1194" s="24" t="s">
        <v>36</v>
      </c>
      <c r="M1194" s="15"/>
      <c r="N1194" s="15"/>
      <c r="O1194" s="15" t="s">
        <v>1760</v>
      </c>
      <c r="P1194" s="15" t="s">
        <v>6101</v>
      </c>
      <c r="Q1194" s="15"/>
      <c r="R1194" s="15" t="s">
        <v>11768</v>
      </c>
      <c r="S1194" s="24" t="s">
        <v>71</v>
      </c>
      <c r="T1194" s="24" t="s">
        <v>39</v>
      </c>
      <c r="U1194" s="24" t="s">
        <v>39</v>
      </c>
      <c r="V1194" s="24" t="s">
        <v>39</v>
      </c>
      <c r="W1194" s="24"/>
      <c r="X1194" s="24"/>
      <c r="Y1194" s="15"/>
      <c r="Z1194" s="15"/>
      <c r="AA1194" s="24"/>
      <c r="AB1194" s="24"/>
      <c r="AC1194" s="24"/>
      <c r="AD1194" s="24"/>
      <c r="AE1194" s="24"/>
      <c r="AF1194" s="24"/>
      <c r="AG1194" s="24"/>
      <c r="AH1194" s="24"/>
    </row>
    <row r="1195" spans="1:34" ht="150" x14ac:dyDescent="0.25">
      <c r="A1195" s="24" t="str">
        <f>HYPERLINK("https://www.cpso.on.ca/DoctorDetails/Kathleen-Eleanor-Anderson/0281370-97671","Anderson, Kathleen Eleanor")</f>
        <v>Anderson, Kathleen Eleanor</v>
      </c>
      <c r="B1195" s="25" t="s">
        <v>11769</v>
      </c>
      <c r="C1195" s="24" t="s">
        <v>544</v>
      </c>
      <c r="D1195" s="24" t="s">
        <v>11770</v>
      </c>
      <c r="E1195" s="24" t="s">
        <v>29</v>
      </c>
      <c r="F1195" s="24" t="s">
        <v>47</v>
      </c>
      <c r="G1195" s="24" t="s">
        <v>31</v>
      </c>
      <c r="H1195" s="24" t="s">
        <v>11771</v>
      </c>
      <c r="I1195" s="24" t="s">
        <v>11772</v>
      </c>
      <c r="J1195" s="24" t="s">
        <v>9976</v>
      </c>
      <c r="K1195" s="24"/>
      <c r="L1195" s="24" t="s">
        <v>328</v>
      </c>
      <c r="M1195" s="15"/>
      <c r="N1195" s="15"/>
      <c r="O1195" s="15"/>
      <c r="P1195" s="15" t="s">
        <v>11773</v>
      </c>
      <c r="Q1195" s="15" t="s">
        <v>11774</v>
      </c>
      <c r="R1195" s="15" t="s">
        <v>11775</v>
      </c>
      <c r="S1195" s="24" t="s">
        <v>39</v>
      </c>
      <c r="T1195" s="24" t="s">
        <v>39</v>
      </c>
      <c r="U1195" s="24" t="s">
        <v>39</v>
      </c>
      <c r="V1195" s="24" t="s">
        <v>39</v>
      </c>
      <c r="W1195" s="24"/>
      <c r="X1195" s="24"/>
      <c r="Y1195" s="15"/>
      <c r="Z1195" s="15"/>
      <c r="AA1195" s="24"/>
      <c r="AB1195" s="24"/>
      <c r="AC1195" s="24"/>
      <c r="AD1195" s="24"/>
      <c r="AE1195" s="24"/>
      <c r="AF1195" s="24"/>
      <c r="AG1195" s="24"/>
      <c r="AH1195" s="24"/>
    </row>
    <row r="1196" spans="1:34" ht="105" x14ac:dyDescent="0.25">
      <c r="A1196" s="24" t="str">
        <f>HYPERLINK("https://www.cpso.on.ca/DoctorDetails/Kathleen-Elizabeth-Howell/0221331-83378","Howell, Kathleen Elizabeth")</f>
        <v>Howell, Kathleen Elizabeth</v>
      </c>
      <c r="B1196" s="25" t="s">
        <v>11776</v>
      </c>
      <c r="C1196" s="24" t="s">
        <v>11777</v>
      </c>
      <c r="D1196" s="24" t="s">
        <v>11778</v>
      </c>
      <c r="E1196" s="24" t="s">
        <v>29</v>
      </c>
      <c r="F1196" s="24" t="s">
        <v>47</v>
      </c>
      <c r="G1196" s="24" t="s">
        <v>31</v>
      </c>
      <c r="H1196" s="24" t="s">
        <v>1756</v>
      </c>
      <c r="I1196" s="24" t="s">
        <v>11779</v>
      </c>
      <c r="J1196" s="24" t="s">
        <v>11780</v>
      </c>
      <c r="K1196" s="24" t="s">
        <v>11781</v>
      </c>
      <c r="L1196" s="24" t="s">
        <v>84</v>
      </c>
      <c r="M1196" s="15"/>
      <c r="N1196" s="15"/>
      <c r="O1196" s="15"/>
      <c r="P1196" s="15" t="s">
        <v>11782</v>
      </c>
      <c r="Q1196" s="15" t="s">
        <v>11783</v>
      </c>
      <c r="R1196" s="15" t="s">
        <v>11784</v>
      </c>
      <c r="S1196" s="24" t="s">
        <v>39</v>
      </c>
      <c r="T1196" s="24" t="s">
        <v>39</v>
      </c>
      <c r="U1196" s="24" t="s">
        <v>39</v>
      </c>
      <c r="V1196" s="24" t="s">
        <v>39</v>
      </c>
      <c r="W1196" s="24"/>
      <c r="X1196" s="24"/>
      <c r="Y1196" s="15"/>
      <c r="Z1196" s="15"/>
      <c r="AA1196" s="24"/>
      <c r="AB1196" s="24"/>
      <c r="AC1196" s="24"/>
      <c r="AD1196" s="24"/>
      <c r="AE1196" s="24"/>
      <c r="AF1196" s="24"/>
      <c r="AG1196" s="24"/>
      <c r="AH1196" s="24"/>
    </row>
    <row r="1197" spans="1:34" ht="30" x14ac:dyDescent="0.25">
      <c r="A1197" s="24" t="str">
        <f>HYPERLINK("https://www.cpso.on.ca/DoctorDetails/Kathleen-Kimberley-Cormack/0036315-50291","Cormack, Kathleen Kimberley")</f>
        <v>Cormack, Kathleen Kimberley</v>
      </c>
      <c r="B1197" s="25" t="s">
        <v>11785</v>
      </c>
      <c r="C1197" s="24" t="s">
        <v>3746</v>
      </c>
      <c r="D1197" s="24" t="s">
        <v>11786</v>
      </c>
      <c r="E1197" s="24" t="s">
        <v>29</v>
      </c>
      <c r="F1197" s="24" t="s">
        <v>47</v>
      </c>
      <c r="G1197" s="24" t="s">
        <v>31</v>
      </c>
      <c r="H1197" s="24" t="s">
        <v>3737</v>
      </c>
      <c r="I1197" s="24" t="s">
        <v>11787</v>
      </c>
      <c r="J1197" s="24" t="s">
        <v>11788</v>
      </c>
      <c r="K1197" s="24"/>
      <c r="L1197" s="24" t="s">
        <v>36</v>
      </c>
      <c r="M1197" s="15"/>
      <c r="N1197" s="15"/>
      <c r="O1197" s="15"/>
      <c r="P1197" s="15" t="s">
        <v>3194</v>
      </c>
      <c r="Q1197" s="15"/>
      <c r="R1197" s="15" t="s">
        <v>11789</v>
      </c>
      <c r="S1197" s="24" t="s">
        <v>39</v>
      </c>
      <c r="T1197" s="24" t="s">
        <v>39</v>
      </c>
      <c r="U1197" s="24" t="s">
        <v>39</v>
      </c>
      <c r="V1197" s="24" t="s">
        <v>39</v>
      </c>
      <c r="W1197" s="24"/>
      <c r="X1197" s="24"/>
      <c r="Y1197" s="15"/>
      <c r="Z1197" s="15"/>
      <c r="AA1197" s="24"/>
      <c r="AB1197" s="24"/>
      <c r="AC1197" s="24"/>
      <c r="AD1197" s="24"/>
      <c r="AE1197" s="24"/>
      <c r="AF1197" s="24"/>
      <c r="AG1197" s="24"/>
      <c r="AH1197" s="24"/>
    </row>
    <row r="1198" spans="1:34" ht="75" x14ac:dyDescent="0.25">
      <c r="A1198" s="24" t="str">
        <f>HYPERLINK("https://www.cpso.on.ca/DoctorDetails/Kathleen-Louise-Broad/0273195-95458","Broad, Kathleen Louise")</f>
        <v>Broad, Kathleen Louise</v>
      </c>
      <c r="B1198" s="25" t="s">
        <v>11790</v>
      </c>
      <c r="C1198" s="24" t="s">
        <v>11791</v>
      </c>
      <c r="D1198" s="24" t="s">
        <v>11792</v>
      </c>
      <c r="E1198" s="24" t="s">
        <v>29</v>
      </c>
      <c r="F1198" s="24" t="s">
        <v>47</v>
      </c>
      <c r="G1198" s="24" t="s">
        <v>31</v>
      </c>
      <c r="H1198" s="24" t="s">
        <v>10617</v>
      </c>
      <c r="I1198" s="24" t="s">
        <v>11793</v>
      </c>
      <c r="J1198" s="24" t="s">
        <v>11794</v>
      </c>
      <c r="K1198" s="24"/>
      <c r="L1198" s="24" t="s">
        <v>135</v>
      </c>
      <c r="M1198" s="15"/>
      <c r="N1198" s="15" t="s">
        <v>342</v>
      </c>
      <c r="O1198" s="15" t="s">
        <v>11795</v>
      </c>
      <c r="P1198" s="15" t="s">
        <v>973</v>
      </c>
      <c r="Q1198" s="15" t="s">
        <v>4058</v>
      </c>
      <c r="R1198" s="15" t="s">
        <v>11796</v>
      </c>
      <c r="S1198" s="24" t="s">
        <v>39</v>
      </c>
      <c r="T1198" s="24" t="s">
        <v>39</v>
      </c>
      <c r="U1198" s="24" t="s">
        <v>39</v>
      </c>
      <c r="V1198" s="24" t="s">
        <v>39</v>
      </c>
      <c r="W1198" s="24" t="s">
        <v>11797</v>
      </c>
      <c r="X1198" s="24" t="s">
        <v>11798</v>
      </c>
      <c r="Y1198" s="15" t="s">
        <v>11799</v>
      </c>
      <c r="Z1198" s="15" t="s">
        <v>11800</v>
      </c>
      <c r="AA1198" s="24"/>
      <c r="AB1198" s="24"/>
      <c r="AC1198" s="24"/>
      <c r="AD1198" s="24"/>
      <c r="AE1198" s="24"/>
      <c r="AF1198" s="24"/>
      <c r="AG1198" s="24"/>
      <c r="AH1198" s="24"/>
    </row>
    <row r="1199" spans="1:34" ht="135" x14ac:dyDescent="0.25">
      <c r="A1199" s="24" t="str">
        <f>HYPERLINK("https://www.cpso.on.ca/DoctorDetails/Kathleen-Sarah-Bingham/0265543-93221","Bingham, Kathleen Sarah")</f>
        <v>Bingham, Kathleen Sarah</v>
      </c>
      <c r="B1199" s="25" t="s">
        <v>11801</v>
      </c>
      <c r="C1199" s="24" t="s">
        <v>570</v>
      </c>
      <c r="D1199" s="24" t="s">
        <v>571</v>
      </c>
      <c r="E1199" s="24" t="s">
        <v>29</v>
      </c>
      <c r="F1199" s="24" t="s">
        <v>47</v>
      </c>
      <c r="G1199" s="24" t="s">
        <v>31</v>
      </c>
      <c r="H1199" s="24" t="s">
        <v>2645</v>
      </c>
      <c r="I1199" s="24" t="s">
        <v>11802</v>
      </c>
      <c r="J1199" s="24" t="s">
        <v>11803</v>
      </c>
      <c r="K1199" s="24" t="s">
        <v>11804</v>
      </c>
      <c r="L1199" s="24" t="s">
        <v>52</v>
      </c>
      <c r="M1199" s="15"/>
      <c r="N1199" s="15"/>
      <c r="O1199" s="15" t="s">
        <v>11805</v>
      </c>
      <c r="P1199" s="15" t="s">
        <v>629</v>
      </c>
      <c r="Q1199" s="15" t="s">
        <v>11806</v>
      </c>
      <c r="R1199" s="15" t="s">
        <v>1706</v>
      </c>
      <c r="S1199" s="24" t="s">
        <v>39</v>
      </c>
      <c r="T1199" s="24" t="s">
        <v>39</v>
      </c>
      <c r="U1199" s="24" t="s">
        <v>39</v>
      </c>
      <c r="V1199" s="24" t="s">
        <v>39</v>
      </c>
      <c r="W1199" s="24"/>
      <c r="X1199" s="24"/>
      <c r="Y1199" s="15"/>
      <c r="Z1199" s="15"/>
      <c r="AA1199" s="24"/>
      <c r="AB1199" s="24"/>
      <c r="AC1199" s="24"/>
      <c r="AD1199" s="24"/>
      <c r="AE1199" s="24"/>
      <c r="AF1199" s="24"/>
      <c r="AG1199" s="24"/>
      <c r="AH1199" s="24"/>
    </row>
    <row r="1200" spans="1:34" ht="90" x14ac:dyDescent="0.25">
      <c r="A1200" s="24" t="str">
        <f>HYPERLINK("https://www.cpso.on.ca/DoctorDetails/Kathryn-Jean-Macdonald/0052585-66549","Macdonald, Kathryn Jean")</f>
        <v>Macdonald, Kathryn Jean</v>
      </c>
      <c r="B1200" s="25" t="s">
        <v>11807</v>
      </c>
      <c r="C1200" s="24" t="s">
        <v>11808</v>
      </c>
      <c r="D1200" s="24" t="s">
        <v>11809</v>
      </c>
      <c r="E1200" s="24" t="s">
        <v>29</v>
      </c>
      <c r="F1200" s="24" t="s">
        <v>47</v>
      </c>
      <c r="G1200" s="24" t="s">
        <v>813</v>
      </c>
      <c r="H1200" s="24" t="s">
        <v>4768</v>
      </c>
      <c r="I1200" s="24" t="s">
        <v>11810</v>
      </c>
      <c r="J1200" s="24" t="s">
        <v>11811</v>
      </c>
      <c r="K1200" s="24" t="s">
        <v>11812</v>
      </c>
      <c r="L1200" s="24" t="s">
        <v>184</v>
      </c>
      <c r="M1200" s="15" t="s">
        <v>11813</v>
      </c>
      <c r="N1200" s="15"/>
      <c r="O1200" s="15" t="s">
        <v>11814</v>
      </c>
      <c r="P1200" s="15" t="s">
        <v>9597</v>
      </c>
      <c r="Q1200" s="15" t="s">
        <v>11815</v>
      </c>
      <c r="R1200" s="15" t="s">
        <v>11816</v>
      </c>
      <c r="S1200" s="24" t="s">
        <v>39</v>
      </c>
      <c r="T1200" s="24" t="s">
        <v>39</v>
      </c>
      <c r="U1200" s="24" t="s">
        <v>39</v>
      </c>
      <c r="V1200" s="24" t="s">
        <v>39</v>
      </c>
      <c r="W1200" s="24"/>
      <c r="X1200" s="24"/>
      <c r="Y1200" s="15"/>
      <c r="Z1200" s="15"/>
      <c r="AA1200" s="24"/>
      <c r="AB1200" s="24"/>
      <c r="AC1200" s="24"/>
      <c r="AD1200" s="24"/>
      <c r="AE1200" s="24"/>
      <c r="AF1200" s="24"/>
      <c r="AG1200" s="24"/>
      <c r="AH1200" s="24"/>
    </row>
    <row r="1201" spans="1:34" ht="45" x14ac:dyDescent="0.25">
      <c r="A1201" s="24" t="str">
        <f>HYPERLINK("https://www.cpso.on.ca/DoctorDetails/Kathryn-Laura-Hunter/0050140-64119","Hunter, Kathryn Laura")</f>
        <v>Hunter, Kathryn Laura</v>
      </c>
      <c r="B1201" s="25" t="s">
        <v>11817</v>
      </c>
      <c r="C1201" s="24" t="s">
        <v>11818</v>
      </c>
      <c r="D1201" s="24" t="s">
        <v>10223</v>
      </c>
      <c r="E1201" s="24" t="s">
        <v>29</v>
      </c>
      <c r="F1201" s="24" t="s">
        <v>47</v>
      </c>
      <c r="G1201" s="24" t="s">
        <v>31</v>
      </c>
      <c r="H1201" s="24" t="s">
        <v>11819</v>
      </c>
      <c r="I1201" s="24" t="s">
        <v>107</v>
      </c>
      <c r="J1201" s="24"/>
      <c r="K1201" s="24"/>
      <c r="L1201" s="24"/>
      <c r="M1201" s="15"/>
      <c r="N1201" s="15"/>
      <c r="O1201" s="15" t="s">
        <v>11820</v>
      </c>
      <c r="P1201" s="15" t="s">
        <v>11821</v>
      </c>
      <c r="Q1201" s="15" t="s">
        <v>11822</v>
      </c>
      <c r="R1201" s="15" t="s">
        <v>11823</v>
      </c>
      <c r="S1201" s="24" t="s">
        <v>39</v>
      </c>
      <c r="T1201" s="24" t="s">
        <v>39</v>
      </c>
      <c r="U1201" s="24" t="s">
        <v>39</v>
      </c>
      <c r="V1201" s="24" t="s">
        <v>39</v>
      </c>
      <c r="W1201" s="24"/>
      <c r="X1201" s="24"/>
      <c r="Y1201" s="15"/>
      <c r="Z1201" s="15"/>
      <c r="AA1201" s="24"/>
      <c r="AB1201" s="24"/>
      <c r="AC1201" s="24"/>
      <c r="AD1201" s="24"/>
      <c r="AE1201" s="24"/>
      <c r="AF1201" s="24"/>
      <c r="AG1201" s="24"/>
      <c r="AH1201" s="24"/>
    </row>
    <row r="1202" spans="1:34" ht="90" x14ac:dyDescent="0.25">
      <c r="A1202" s="24" t="str">
        <f>HYPERLINK("https://www.cpso.on.ca/DoctorDetails/Katie-Hao-Yun-Zhu/0288836-100607","Zhu, Katie Hao Yun")</f>
        <v>Zhu, Katie Hao Yun</v>
      </c>
      <c r="B1202" s="25" t="s">
        <v>11824</v>
      </c>
      <c r="C1202" s="24" t="s">
        <v>199</v>
      </c>
      <c r="D1202" s="24" t="s">
        <v>200</v>
      </c>
      <c r="E1202" s="24" t="s">
        <v>29</v>
      </c>
      <c r="F1202" s="24" t="s">
        <v>47</v>
      </c>
      <c r="G1202" s="24" t="s">
        <v>31</v>
      </c>
      <c r="H1202" s="24" t="s">
        <v>11825</v>
      </c>
      <c r="I1202" s="24" t="s">
        <v>11826</v>
      </c>
      <c r="J1202" s="24" t="s">
        <v>11265</v>
      </c>
      <c r="K1202" s="24"/>
      <c r="L1202" s="24" t="s">
        <v>52</v>
      </c>
      <c r="M1202" s="15"/>
      <c r="N1202" s="15"/>
      <c r="O1202" s="15"/>
      <c r="P1202" s="15" t="s">
        <v>205</v>
      </c>
      <c r="Q1202" s="15" t="s">
        <v>11827</v>
      </c>
      <c r="R1202" s="15" t="s">
        <v>207</v>
      </c>
      <c r="S1202" s="24" t="s">
        <v>39</v>
      </c>
      <c r="T1202" s="24" t="s">
        <v>39</v>
      </c>
      <c r="U1202" s="24" t="s">
        <v>39</v>
      </c>
      <c r="V1202" s="24" t="s">
        <v>39</v>
      </c>
      <c r="W1202" s="24"/>
      <c r="X1202" s="24"/>
      <c r="Y1202" s="15"/>
      <c r="Z1202" s="15"/>
      <c r="AA1202" s="24"/>
      <c r="AB1202" s="24"/>
      <c r="AC1202" s="24"/>
      <c r="AD1202" s="24"/>
      <c r="AE1202" s="24"/>
      <c r="AF1202" s="24"/>
      <c r="AG1202" s="24"/>
      <c r="AH1202" s="24"/>
    </row>
    <row r="1203" spans="1:34" ht="90" x14ac:dyDescent="0.25">
      <c r="A1203" s="24" t="str">
        <f>HYPERLINK("https://www.cpso.on.ca/DoctorDetails/Katrina-Deanne-Huntington/0150058-72574","Huntington, Katrina Deanne")</f>
        <v>Huntington, Katrina Deanne</v>
      </c>
      <c r="B1203" s="25" t="s">
        <v>11828</v>
      </c>
      <c r="C1203" s="24" t="s">
        <v>11829</v>
      </c>
      <c r="D1203" s="24" t="s">
        <v>11830</v>
      </c>
      <c r="E1203" s="24" t="s">
        <v>29</v>
      </c>
      <c r="F1203" s="24" t="s">
        <v>47</v>
      </c>
      <c r="G1203" s="24" t="s">
        <v>31</v>
      </c>
      <c r="H1203" s="24" t="s">
        <v>8165</v>
      </c>
      <c r="I1203" s="24" t="s">
        <v>11831</v>
      </c>
      <c r="J1203" s="24" t="s">
        <v>11832</v>
      </c>
      <c r="K1203" s="24"/>
      <c r="L1203" s="24" t="s">
        <v>340</v>
      </c>
      <c r="M1203" s="15"/>
      <c r="N1203" s="15"/>
      <c r="O1203" s="15" t="s">
        <v>498</v>
      </c>
      <c r="P1203" s="15" t="s">
        <v>1330</v>
      </c>
      <c r="Q1203" s="15" t="s">
        <v>11833</v>
      </c>
      <c r="R1203" s="15" t="s">
        <v>11834</v>
      </c>
      <c r="S1203" s="24" t="s">
        <v>39</v>
      </c>
      <c r="T1203" s="24" t="s">
        <v>39</v>
      </c>
      <c r="U1203" s="24" t="s">
        <v>39</v>
      </c>
      <c r="V1203" s="24" t="s">
        <v>39</v>
      </c>
      <c r="W1203" s="24" t="s">
        <v>11835</v>
      </c>
      <c r="X1203" s="24" t="s">
        <v>11836</v>
      </c>
      <c r="Y1203" s="15" t="s">
        <v>11837</v>
      </c>
      <c r="Z1203" s="15" t="s">
        <v>11838</v>
      </c>
      <c r="AA1203" s="24"/>
      <c r="AB1203" s="24"/>
      <c r="AC1203" s="24"/>
      <c r="AD1203" s="24"/>
      <c r="AE1203" s="24"/>
      <c r="AF1203" s="24"/>
      <c r="AG1203" s="24"/>
      <c r="AH1203" s="24"/>
    </row>
    <row r="1204" spans="1:34" ht="60" x14ac:dyDescent="0.25">
      <c r="A1204" s="24" t="str">
        <f>HYPERLINK("https://www.cpso.on.ca/DoctorDetails/Katyg-Behesnilian/0039509-53485","Behesnilian, Katyg")</f>
        <v>Behesnilian, Katyg</v>
      </c>
      <c r="B1204" s="25" t="s">
        <v>11839</v>
      </c>
      <c r="C1204" s="24" t="s">
        <v>11840</v>
      </c>
      <c r="D1204" s="24" t="s">
        <v>11841</v>
      </c>
      <c r="E1204" s="24" t="s">
        <v>29</v>
      </c>
      <c r="F1204" s="24" t="s">
        <v>47</v>
      </c>
      <c r="G1204" s="24" t="s">
        <v>11842</v>
      </c>
      <c r="H1204" s="24" t="s">
        <v>11843</v>
      </c>
      <c r="I1204" s="24" t="s">
        <v>11844</v>
      </c>
      <c r="J1204" s="24" t="s">
        <v>11845</v>
      </c>
      <c r="K1204" s="24" t="s">
        <v>4720</v>
      </c>
      <c r="L1204" s="24" t="s">
        <v>52</v>
      </c>
      <c r="M1204" s="15"/>
      <c r="N1204" s="15"/>
      <c r="O1204" s="15" t="s">
        <v>271</v>
      </c>
      <c r="P1204" s="15" t="s">
        <v>2470</v>
      </c>
      <c r="Q1204" s="15" t="s">
        <v>8155</v>
      </c>
      <c r="R1204" s="15" t="s">
        <v>11846</v>
      </c>
      <c r="S1204" s="24" t="s">
        <v>39</v>
      </c>
      <c r="T1204" s="24" t="s">
        <v>39</v>
      </c>
      <c r="U1204" s="24" t="s">
        <v>39</v>
      </c>
      <c r="V1204" s="24" t="s">
        <v>39</v>
      </c>
      <c r="W1204" s="24" t="s">
        <v>11847</v>
      </c>
      <c r="X1204" s="24" t="s">
        <v>11848</v>
      </c>
      <c r="Y1204" s="15" t="s">
        <v>11849</v>
      </c>
      <c r="Z1204" s="15" t="s">
        <v>11850</v>
      </c>
      <c r="AA1204" s="24"/>
      <c r="AB1204" s="24"/>
      <c r="AC1204" s="24"/>
      <c r="AD1204" s="24"/>
      <c r="AE1204" s="24"/>
      <c r="AF1204" s="24"/>
      <c r="AG1204" s="24"/>
      <c r="AH1204" s="24"/>
    </row>
    <row r="1205" spans="1:34" x14ac:dyDescent="0.25">
      <c r="A1205" s="24" t="str">
        <f>HYPERLINK("https://www.cpso.on.ca/DoctorDetails/Kawsar-Kamel-Wassef/0052188-66167","Wassef, Kawsar Kamel")</f>
        <v>Wassef, Kawsar Kamel</v>
      </c>
      <c r="B1205" s="25" t="s">
        <v>11851</v>
      </c>
      <c r="C1205" s="24" t="s">
        <v>11852</v>
      </c>
      <c r="D1205" s="24" t="s">
        <v>11853</v>
      </c>
      <c r="E1205" s="24" t="s">
        <v>29</v>
      </c>
      <c r="F1205" s="24" t="s">
        <v>47</v>
      </c>
      <c r="G1205" s="24" t="s">
        <v>105</v>
      </c>
      <c r="H1205" s="24" t="s">
        <v>11854</v>
      </c>
      <c r="I1205" s="24" t="s">
        <v>11855</v>
      </c>
      <c r="J1205" s="24" t="s">
        <v>11856</v>
      </c>
      <c r="K1205" s="24" t="s">
        <v>11857</v>
      </c>
      <c r="L1205" s="24" t="s">
        <v>84</v>
      </c>
      <c r="M1205" s="15"/>
      <c r="N1205" s="15"/>
      <c r="O1205" s="15" t="s">
        <v>5060</v>
      </c>
      <c r="P1205" s="15" t="s">
        <v>3232</v>
      </c>
      <c r="Q1205" s="15"/>
      <c r="R1205" s="15" t="s">
        <v>11858</v>
      </c>
      <c r="S1205" s="24" t="s">
        <v>39</v>
      </c>
      <c r="T1205" s="24" t="s">
        <v>39</v>
      </c>
      <c r="U1205" s="24" t="s">
        <v>39</v>
      </c>
      <c r="V1205" s="24" t="s">
        <v>39</v>
      </c>
      <c r="W1205" s="24" t="s">
        <v>11859</v>
      </c>
      <c r="X1205" s="24" t="s">
        <v>11860</v>
      </c>
      <c r="Y1205" s="15" t="s">
        <v>11861</v>
      </c>
      <c r="Z1205" s="15" t="s">
        <v>11862</v>
      </c>
      <c r="AA1205" s="24"/>
      <c r="AB1205" s="24"/>
      <c r="AC1205" s="24"/>
      <c r="AD1205" s="24"/>
      <c r="AE1205" s="24"/>
      <c r="AF1205" s="24"/>
      <c r="AG1205" s="24"/>
      <c r="AH1205" s="24"/>
    </row>
    <row r="1206" spans="1:34" ht="45" x14ac:dyDescent="0.25">
      <c r="A1206" s="24" t="str">
        <f>HYPERLINK("https://www.cpso.on.ca/DoctorDetails/Kayhan-Reza-Ghatavi/0139682-71668","Ghatavi, Kayhan Reza")</f>
        <v>Ghatavi, Kayhan Reza</v>
      </c>
      <c r="B1206" s="25" t="s">
        <v>11863</v>
      </c>
      <c r="C1206" s="24" t="s">
        <v>11864</v>
      </c>
      <c r="D1206" s="24" t="s">
        <v>11865</v>
      </c>
      <c r="E1206" s="24" t="s">
        <v>29</v>
      </c>
      <c r="F1206" s="24" t="s">
        <v>30</v>
      </c>
      <c r="G1206" s="24" t="s">
        <v>31</v>
      </c>
      <c r="H1206" s="24" t="s">
        <v>1864</v>
      </c>
      <c r="I1206" s="24" t="s">
        <v>11866</v>
      </c>
      <c r="J1206" s="24" t="s">
        <v>2056</v>
      </c>
      <c r="K1206" s="24" t="s">
        <v>2057</v>
      </c>
      <c r="L1206" s="24" t="s">
        <v>340</v>
      </c>
      <c r="M1206" s="15"/>
      <c r="N1206" s="15"/>
      <c r="O1206" s="15" t="s">
        <v>2059</v>
      </c>
      <c r="P1206" s="15" t="s">
        <v>11867</v>
      </c>
      <c r="Q1206" s="15" t="s">
        <v>11868</v>
      </c>
      <c r="R1206" s="15" t="s">
        <v>11869</v>
      </c>
      <c r="S1206" s="24" t="s">
        <v>39</v>
      </c>
      <c r="T1206" s="24" t="s">
        <v>39</v>
      </c>
      <c r="U1206" s="24" t="s">
        <v>39</v>
      </c>
      <c r="V1206" s="24" t="s">
        <v>39</v>
      </c>
      <c r="W1206" s="24" t="s">
        <v>11870</v>
      </c>
      <c r="X1206" s="24" t="s">
        <v>11871</v>
      </c>
      <c r="Y1206" s="15" t="s">
        <v>11872</v>
      </c>
      <c r="Z1206" s="15" t="s">
        <v>11873</v>
      </c>
      <c r="AA1206" s="24"/>
      <c r="AB1206" s="24"/>
      <c r="AC1206" s="24"/>
      <c r="AD1206" s="24"/>
      <c r="AE1206" s="24"/>
      <c r="AF1206" s="24"/>
      <c r="AG1206" s="24"/>
      <c r="AH1206" s="24"/>
    </row>
    <row r="1207" spans="1:34" ht="75" x14ac:dyDescent="0.25">
      <c r="A1207" s="24" t="str">
        <f>HYPERLINK("https://www.cpso.on.ca/DoctorDetails/Kaylee-Nicole-Bodnarchuk/0280434-97808","Bodnarchuk, Kaylee Nicole")</f>
        <v>Bodnarchuk, Kaylee Nicole</v>
      </c>
      <c r="B1207" s="25" t="s">
        <v>11874</v>
      </c>
      <c r="C1207" s="24" t="s">
        <v>544</v>
      </c>
      <c r="D1207" s="24" t="s">
        <v>545</v>
      </c>
      <c r="E1207" s="24" t="s">
        <v>29</v>
      </c>
      <c r="F1207" s="24" t="s">
        <v>47</v>
      </c>
      <c r="G1207" s="24" t="s">
        <v>31</v>
      </c>
      <c r="H1207" s="24" t="s">
        <v>7398</v>
      </c>
      <c r="I1207" s="24" t="s">
        <v>11875</v>
      </c>
      <c r="J1207" s="24" t="s">
        <v>11876</v>
      </c>
      <c r="K1207" s="24"/>
      <c r="L1207" s="24" t="s">
        <v>84</v>
      </c>
      <c r="M1207" s="15"/>
      <c r="N1207" s="15"/>
      <c r="O1207" s="15" t="s">
        <v>549</v>
      </c>
      <c r="P1207" s="15" t="s">
        <v>550</v>
      </c>
      <c r="Q1207" s="15" t="s">
        <v>551</v>
      </c>
      <c r="R1207" s="15" t="s">
        <v>552</v>
      </c>
      <c r="S1207" s="24" t="s">
        <v>39</v>
      </c>
      <c r="T1207" s="24" t="s">
        <v>39</v>
      </c>
      <c r="U1207" s="24" t="s">
        <v>39</v>
      </c>
      <c r="V1207" s="24" t="s">
        <v>39</v>
      </c>
      <c r="W1207" s="24"/>
      <c r="X1207" s="24"/>
      <c r="Y1207" s="15"/>
      <c r="Z1207" s="15"/>
      <c r="AA1207" s="24"/>
      <c r="AB1207" s="24"/>
      <c r="AC1207" s="24"/>
      <c r="AD1207" s="24"/>
      <c r="AE1207" s="24"/>
      <c r="AF1207" s="24"/>
      <c r="AG1207" s="24"/>
      <c r="AH1207" s="24"/>
    </row>
    <row r="1208" spans="1:34" ht="90" x14ac:dyDescent="0.25">
      <c r="A1208" s="24" t="str">
        <f>HYPERLINK("https://www.cpso.on.ca/DoctorDetails/Kayli-Shira-Balaban/0210564-80995","Balaban, Kayli Shira")</f>
        <v>Balaban, Kayli Shira</v>
      </c>
      <c r="B1208" s="25" t="s">
        <v>11877</v>
      </c>
      <c r="C1208" s="24" t="s">
        <v>11878</v>
      </c>
      <c r="D1208" s="24" t="s">
        <v>11879</v>
      </c>
      <c r="E1208" s="24" t="s">
        <v>29</v>
      </c>
      <c r="F1208" s="24" t="s">
        <v>47</v>
      </c>
      <c r="G1208" s="24" t="s">
        <v>31</v>
      </c>
      <c r="H1208" s="24" t="s">
        <v>1170</v>
      </c>
      <c r="I1208" s="24" t="s">
        <v>11880</v>
      </c>
      <c r="J1208" s="24" t="s">
        <v>11881</v>
      </c>
      <c r="K1208" s="24" t="s">
        <v>11882</v>
      </c>
      <c r="L1208" s="24" t="s">
        <v>52</v>
      </c>
      <c r="M1208" s="15"/>
      <c r="N1208" s="15"/>
      <c r="O1208" s="15" t="s">
        <v>11883</v>
      </c>
      <c r="P1208" s="15" t="s">
        <v>10411</v>
      </c>
      <c r="Q1208" s="15" t="s">
        <v>11884</v>
      </c>
      <c r="R1208" s="15" t="s">
        <v>11885</v>
      </c>
      <c r="S1208" s="24" t="s">
        <v>39</v>
      </c>
      <c r="T1208" s="24" t="s">
        <v>39</v>
      </c>
      <c r="U1208" s="24" t="s">
        <v>39</v>
      </c>
      <c r="V1208" s="24" t="s">
        <v>39</v>
      </c>
      <c r="W1208" s="24"/>
      <c r="X1208" s="24"/>
      <c r="Y1208" s="15"/>
      <c r="Z1208" s="15"/>
      <c r="AA1208" s="24"/>
      <c r="AB1208" s="24"/>
      <c r="AC1208" s="24"/>
      <c r="AD1208" s="24"/>
      <c r="AE1208" s="24"/>
      <c r="AF1208" s="24"/>
      <c r="AG1208" s="24"/>
      <c r="AH1208" s="24"/>
    </row>
    <row r="1209" spans="1:34" ht="45" x14ac:dyDescent="0.25">
      <c r="A1209" s="24" t="str">
        <f>HYPERLINK("https://www.cpso.on.ca/DoctorDetails/Kehinde-Adekunle-Aladetoyinbo/0323367-114235","Aladetoyinbo, Kehinde Adekunle")</f>
        <v>Aladetoyinbo, Kehinde Adekunle</v>
      </c>
      <c r="B1209" s="25" t="s">
        <v>11886</v>
      </c>
      <c r="C1209" s="24" t="s">
        <v>11887</v>
      </c>
      <c r="D1209" s="24" t="s">
        <v>11888</v>
      </c>
      <c r="E1209" s="24" t="s">
        <v>29</v>
      </c>
      <c r="F1209" s="24" t="s">
        <v>30</v>
      </c>
      <c r="G1209" s="24" t="s">
        <v>31</v>
      </c>
      <c r="H1209" s="24" t="s">
        <v>11889</v>
      </c>
      <c r="I1209" s="24" t="s">
        <v>11890</v>
      </c>
      <c r="J1209" s="24" t="s">
        <v>11891</v>
      </c>
      <c r="K1209" s="24"/>
      <c r="L1209" s="24" t="s">
        <v>65</v>
      </c>
      <c r="M1209" s="15" t="s">
        <v>11892</v>
      </c>
      <c r="N1209" s="15" t="s">
        <v>4485</v>
      </c>
      <c r="O1209" s="15" t="s">
        <v>2415</v>
      </c>
      <c r="P1209" s="15" t="s">
        <v>2105</v>
      </c>
      <c r="Q1209" s="15"/>
      <c r="R1209" s="15" t="s">
        <v>11893</v>
      </c>
      <c r="S1209" s="24" t="s">
        <v>39</v>
      </c>
      <c r="T1209" s="24" t="s">
        <v>39</v>
      </c>
      <c r="U1209" s="24" t="s">
        <v>39</v>
      </c>
      <c r="V1209" s="24" t="s">
        <v>39</v>
      </c>
      <c r="W1209" s="24" t="s">
        <v>11894</v>
      </c>
      <c r="X1209" s="24" t="s">
        <v>11895</v>
      </c>
      <c r="Y1209" s="15" t="s">
        <v>11896</v>
      </c>
      <c r="Z1209" s="15" t="s">
        <v>11897</v>
      </c>
      <c r="AA1209" s="24"/>
      <c r="AB1209" s="24"/>
      <c r="AC1209" s="24"/>
      <c r="AD1209" s="24"/>
      <c r="AE1209" s="24"/>
      <c r="AF1209" s="24"/>
      <c r="AG1209" s="24"/>
      <c r="AH1209" s="24"/>
    </row>
    <row r="1210" spans="1:34" x14ac:dyDescent="0.25">
      <c r="A1210" s="24" t="str">
        <f>HYPERLINK("https://www.cpso.on.ca/DoctorDetails/Keith-Henry-Anderson/0019450-24237","Anderson, Keith Henry")</f>
        <v>Anderson, Keith Henry</v>
      </c>
      <c r="B1210" s="25" t="s">
        <v>11898</v>
      </c>
      <c r="C1210" s="24" t="s">
        <v>11899</v>
      </c>
      <c r="D1210" s="24" t="s">
        <v>11900</v>
      </c>
      <c r="E1210" s="24" t="s">
        <v>29</v>
      </c>
      <c r="F1210" s="24" t="s">
        <v>30</v>
      </c>
      <c r="G1210" s="24" t="s">
        <v>31</v>
      </c>
      <c r="H1210" s="24" t="s">
        <v>11901</v>
      </c>
      <c r="I1210" s="24" t="s">
        <v>11902</v>
      </c>
      <c r="J1210" s="24" t="s">
        <v>11903</v>
      </c>
      <c r="K1210" s="24" t="s">
        <v>11904</v>
      </c>
      <c r="L1210" s="24" t="s">
        <v>84</v>
      </c>
      <c r="M1210" s="15"/>
      <c r="N1210" s="15"/>
      <c r="O1210" s="15"/>
      <c r="P1210" s="15" t="s">
        <v>4666</v>
      </c>
      <c r="Q1210" s="15"/>
      <c r="R1210" s="15" t="s">
        <v>11905</v>
      </c>
      <c r="S1210" s="24" t="s">
        <v>39</v>
      </c>
      <c r="T1210" s="24" t="s">
        <v>39</v>
      </c>
      <c r="U1210" s="24" t="s">
        <v>39</v>
      </c>
      <c r="V1210" s="24" t="s">
        <v>71</v>
      </c>
      <c r="W1210" s="24"/>
      <c r="X1210" s="24"/>
      <c r="Y1210" s="15"/>
      <c r="Z1210" s="15"/>
      <c r="AA1210" s="24"/>
      <c r="AB1210" s="24"/>
      <c r="AC1210" s="24"/>
      <c r="AD1210" s="24"/>
      <c r="AE1210" s="24"/>
      <c r="AF1210" s="24"/>
      <c r="AG1210" s="24"/>
      <c r="AH1210" s="24"/>
    </row>
    <row r="1211" spans="1:34" ht="120" x14ac:dyDescent="0.25">
      <c r="A1211" s="24" t="str">
        <f>HYPERLINK("https://www.cpso.on.ca/DoctorDetails/Kelly-Joanna-Mascioli/0272944-96156","Mascioli, Kelly Joanna")</f>
        <v>Mascioli, Kelly Joanna</v>
      </c>
      <c r="B1211" s="25" t="s">
        <v>11906</v>
      </c>
      <c r="C1211" s="24" t="s">
        <v>1266</v>
      </c>
      <c r="D1211" s="24" t="s">
        <v>11907</v>
      </c>
      <c r="E1211" s="24" t="s">
        <v>29</v>
      </c>
      <c r="F1211" s="24" t="s">
        <v>47</v>
      </c>
      <c r="G1211" s="24" t="s">
        <v>31</v>
      </c>
      <c r="H1211" s="24" t="s">
        <v>11908</v>
      </c>
      <c r="I1211" s="24" t="s">
        <v>4974</v>
      </c>
      <c r="J1211" s="24" t="s">
        <v>4975</v>
      </c>
      <c r="K1211" s="24" t="s">
        <v>6703</v>
      </c>
      <c r="L1211" s="24" t="s">
        <v>84</v>
      </c>
      <c r="M1211" s="15"/>
      <c r="N1211" s="15"/>
      <c r="O1211" s="15" t="s">
        <v>3979</v>
      </c>
      <c r="P1211" s="15" t="s">
        <v>7367</v>
      </c>
      <c r="Q1211" s="15" t="s">
        <v>11909</v>
      </c>
      <c r="R1211" s="15" t="s">
        <v>11910</v>
      </c>
      <c r="S1211" s="24" t="s">
        <v>39</v>
      </c>
      <c r="T1211" s="24" t="s">
        <v>39</v>
      </c>
      <c r="U1211" s="24" t="s">
        <v>39</v>
      </c>
      <c r="V1211" s="24" t="s">
        <v>39</v>
      </c>
      <c r="W1211" s="24" t="s">
        <v>11911</v>
      </c>
      <c r="X1211" s="24" t="s">
        <v>2618</v>
      </c>
      <c r="Y1211" s="15" t="s">
        <v>11912</v>
      </c>
      <c r="Z1211" s="15" t="s">
        <v>11913</v>
      </c>
      <c r="AA1211" s="24"/>
      <c r="AB1211" s="24"/>
      <c r="AC1211" s="24"/>
      <c r="AD1211" s="24"/>
      <c r="AE1211" s="24"/>
      <c r="AF1211" s="24"/>
      <c r="AG1211" s="24"/>
      <c r="AH1211" s="24"/>
    </row>
    <row r="1212" spans="1:34" x14ac:dyDescent="0.25">
      <c r="A1212" s="24" t="str">
        <f>HYPERLINK("https://www.cpso.on.ca/DoctorDetails/Kenneth-David-Boss/0249244-88161","Boss, Kenneth David")</f>
        <v>Boss, Kenneth David</v>
      </c>
      <c r="B1212" s="25" t="s">
        <v>11914</v>
      </c>
      <c r="C1212" s="24" t="s">
        <v>11915</v>
      </c>
      <c r="D1212" s="24" t="s">
        <v>11916</v>
      </c>
      <c r="E1212" s="24" t="s">
        <v>29</v>
      </c>
      <c r="F1212" s="24" t="s">
        <v>30</v>
      </c>
      <c r="G1212" s="24" t="s">
        <v>31</v>
      </c>
      <c r="H1212" s="24" t="s">
        <v>7093</v>
      </c>
      <c r="I1212" s="24" t="s">
        <v>11917</v>
      </c>
      <c r="J1212" s="24" t="s">
        <v>11918</v>
      </c>
      <c r="K1212" s="24" t="s">
        <v>11919</v>
      </c>
      <c r="L1212" s="24" t="s">
        <v>328</v>
      </c>
      <c r="M1212" s="15"/>
      <c r="N1212" s="15"/>
      <c r="O1212" s="15" t="s">
        <v>329</v>
      </c>
      <c r="P1212" s="15" t="s">
        <v>1239</v>
      </c>
      <c r="Q1212" s="15"/>
      <c r="R1212" s="15" t="s">
        <v>11920</v>
      </c>
      <c r="S1212" s="24" t="s">
        <v>39</v>
      </c>
      <c r="T1212" s="24" t="s">
        <v>39</v>
      </c>
      <c r="U1212" s="24" t="s">
        <v>39</v>
      </c>
      <c r="V1212" s="24" t="s">
        <v>39</v>
      </c>
      <c r="W1212" s="24"/>
      <c r="X1212" s="24"/>
      <c r="Y1212" s="15"/>
      <c r="Z1212" s="15"/>
      <c r="AA1212" s="24"/>
      <c r="AB1212" s="24"/>
      <c r="AC1212" s="24"/>
      <c r="AD1212" s="24"/>
      <c r="AE1212" s="24"/>
      <c r="AF1212" s="24"/>
      <c r="AG1212" s="24"/>
      <c r="AH1212" s="24"/>
    </row>
    <row r="1213" spans="1:34" ht="30" x14ac:dyDescent="0.25">
      <c r="A1213" s="24" t="str">
        <f>HYPERLINK("https://www.cpso.on.ca/DoctorDetails/Kenneth-Earle-Balderson/0048332-62310","Balderson, Kenneth Earle")</f>
        <v>Balderson, Kenneth Earle</v>
      </c>
      <c r="B1213" s="25" t="s">
        <v>11921</v>
      </c>
      <c r="C1213" s="24" t="s">
        <v>1954</v>
      </c>
      <c r="D1213" s="24" t="s">
        <v>1028</v>
      </c>
      <c r="E1213" s="24" t="s">
        <v>29</v>
      </c>
      <c r="F1213" s="24" t="s">
        <v>30</v>
      </c>
      <c r="G1213" s="24" t="s">
        <v>31</v>
      </c>
      <c r="H1213" s="24" t="s">
        <v>3892</v>
      </c>
      <c r="I1213" s="24" t="s">
        <v>107</v>
      </c>
      <c r="J1213" s="24"/>
      <c r="K1213" s="24"/>
      <c r="L1213" s="24"/>
      <c r="M1213" s="15"/>
      <c r="N1213" s="15"/>
      <c r="O1213" s="15" t="s">
        <v>11922</v>
      </c>
      <c r="P1213" s="15" t="s">
        <v>169</v>
      </c>
      <c r="Q1213" s="15" t="s">
        <v>11923</v>
      </c>
      <c r="R1213" s="15" t="s">
        <v>5155</v>
      </c>
      <c r="S1213" s="24" t="s">
        <v>39</v>
      </c>
      <c r="T1213" s="24" t="s">
        <v>39</v>
      </c>
      <c r="U1213" s="24" t="s">
        <v>39</v>
      </c>
      <c r="V1213" s="24" t="s">
        <v>39</v>
      </c>
      <c r="W1213" s="24" t="s">
        <v>11924</v>
      </c>
      <c r="X1213" s="24" t="s">
        <v>11925</v>
      </c>
      <c r="Y1213" s="15" t="s">
        <v>11926</v>
      </c>
      <c r="Z1213" s="15" t="s">
        <v>3997</v>
      </c>
      <c r="AA1213" s="24"/>
      <c r="AB1213" s="24"/>
      <c r="AC1213" s="24"/>
      <c r="AD1213" s="24"/>
      <c r="AE1213" s="24"/>
      <c r="AF1213" s="24"/>
      <c r="AG1213" s="24"/>
      <c r="AH1213" s="24"/>
    </row>
    <row r="1214" spans="1:34" x14ac:dyDescent="0.25">
      <c r="A1214" s="24" t="str">
        <f>HYPERLINK("https://www.cpso.on.ca/DoctorDetails/Kenneth-HsingChung-Huang/0320765-113538","Huang, Kenneth Hsing-Chung")</f>
        <v>Huang, Kenneth Hsing-Chung</v>
      </c>
      <c r="B1214" s="25" t="s">
        <v>11927</v>
      </c>
      <c r="C1214" s="24" t="s">
        <v>11928</v>
      </c>
      <c r="D1214" s="24" t="s">
        <v>11929</v>
      </c>
      <c r="E1214" s="24" t="s">
        <v>29</v>
      </c>
      <c r="F1214" s="24" t="s">
        <v>30</v>
      </c>
      <c r="G1214" s="24" t="s">
        <v>31</v>
      </c>
      <c r="H1214" s="24" t="s">
        <v>11930</v>
      </c>
      <c r="I1214" s="24" t="s">
        <v>11931</v>
      </c>
      <c r="J1214" s="24" t="s">
        <v>548</v>
      </c>
      <c r="K1214" s="24"/>
      <c r="L1214" s="24" t="s">
        <v>84</v>
      </c>
      <c r="M1214" s="15"/>
      <c r="N1214" s="15"/>
      <c r="O1214" s="15"/>
      <c r="P1214" s="15" t="s">
        <v>550</v>
      </c>
      <c r="Q1214" s="15"/>
      <c r="R1214" s="15" t="s">
        <v>11932</v>
      </c>
      <c r="S1214" s="24" t="s">
        <v>39</v>
      </c>
      <c r="T1214" s="24" t="s">
        <v>39</v>
      </c>
      <c r="U1214" s="24" t="s">
        <v>39</v>
      </c>
      <c r="V1214" s="24" t="s">
        <v>39</v>
      </c>
      <c r="W1214" s="24"/>
      <c r="X1214" s="24"/>
      <c r="Y1214" s="15"/>
      <c r="Z1214" s="15"/>
      <c r="AA1214" s="24"/>
      <c r="AB1214" s="24"/>
      <c r="AC1214" s="24"/>
      <c r="AD1214" s="24"/>
      <c r="AE1214" s="24"/>
      <c r="AF1214" s="24"/>
      <c r="AG1214" s="24"/>
      <c r="AH1214" s="24"/>
    </row>
    <row r="1215" spans="1:34" x14ac:dyDescent="0.25">
      <c r="A1215" s="24" t="str">
        <f>HYPERLINK("https://www.cpso.on.ca/DoctorDetails/Kenneth-Israel-Shulman/0022378-27168","Shulman, Kenneth Israel")</f>
        <v>Shulman, Kenneth Israel</v>
      </c>
      <c r="B1215" s="25" t="s">
        <v>11933</v>
      </c>
      <c r="C1215" s="24" t="s">
        <v>11934</v>
      </c>
      <c r="D1215" s="24" t="s">
        <v>11935</v>
      </c>
      <c r="E1215" s="24" t="s">
        <v>29</v>
      </c>
      <c r="F1215" s="24" t="s">
        <v>30</v>
      </c>
      <c r="G1215" s="24" t="s">
        <v>6470</v>
      </c>
      <c r="H1215" s="24" t="s">
        <v>455</v>
      </c>
      <c r="I1215" s="24" t="s">
        <v>11936</v>
      </c>
      <c r="J1215" s="24" t="s">
        <v>11937</v>
      </c>
      <c r="K1215" s="24" t="s">
        <v>2136</v>
      </c>
      <c r="L1215" s="24" t="s">
        <v>52</v>
      </c>
      <c r="M1215" s="15"/>
      <c r="N1215" s="15"/>
      <c r="O1215" s="15" t="s">
        <v>1397</v>
      </c>
      <c r="P1215" s="15" t="s">
        <v>7327</v>
      </c>
      <c r="Q1215" s="15"/>
      <c r="R1215" s="15" t="s">
        <v>11938</v>
      </c>
      <c r="S1215" s="24" t="s">
        <v>39</v>
      </c>
      <c r="T1215" s="24" t="s">
        <v>39</v>
      </c>
      <c r="U1215" s="24" t="s">
        <v>39</v>
      </c>
      <c r="V1215" s="24" t="s">
        <v>39</v>
      </c>
      <c r="W1215" s="24" t="s">
        <v>11939</v>
      </c>
      <c r="X1215" s="24" t="s">
        <v>11940</v>
      </c>
      <c r="Y1215" s="15" t="s">
        <v>11941</v>
      </c>
      <c r="Z1215" s="15" t="s">
        <v>11942</v>
      </c>
      <c r="AA1215" s="24"/>
      <c r="AB1215" s="24"/>
      <c r="AC1215" s="24"/>
      <c r="AD1215" s="24"/>
      <c r="AE1215" s="24"/>
      <c r="AF1215" s="24"/>
      <c r="AG1215" s="24"/>
      <c r="AH1215" s="24"/>
    </row>
    <row r="1216" spans="1:34" ht="45" x14ac:dyDescent="0.25">
      <c r="A1216" s="24" t="str">
        <f>HYPERLINK("https://www.cpso.on.ca/DoctorDetails/Kenneth-Jeffery-Cooper/0052234-66213","Cooper, Kenneth Jeffery")</f>
        <v>Cooper, Kenneth Jeffery</v>
      </c>
      <c r="B1216" s="25" t="s">
        <v>11943</v>
      </c>
      <c r="C1216" s="24" t="s">
        <v>11944</v>
      </c>
      <c r="D1216" s="24" t="s">
        <v>11945</v>
      </c>
      <c r="E1216" s="24" t="s">
        <v>29</v>
      </c>
      <c r="F1216" s="24" t="s">
        <v>30</v>
      </c>
      <c r="G1216" s="24" t="s">
        <v>31</v>
      </c>
      <c r="H1216" s="24" t="s">
        <v>11946</v>
      </c>
      <c r="I1216" s="24" t="s">
        <v>107</v>
      </c>
      <c r="J1216" s="24"/>
      <c r="K1216" s="24"/>
      <c r="L1216" s="24"/>
      <c r="M1216" s="15"/>
      <c r="N1216" s="15"/>
      <c r="O1216" s="15"/>
      <c r="P1216" s="15" t="s">
        <v>11867</v>
      </c>
      <c r="Q1216" s="15" t="s">
        <v>11947</v>
      </c>
      <c r="R1216" s="15" t="s">
        <v>11948</v>
      </c>
      <c r="S1216" s="24" t="s">
        <v>39</v>
      </c>
      <c r="T1216" s="24" t="s">
        <v>39</v>
      </c>
      <c r="U1216" s="24" t="s">
        <v>39</v>
      </c>
      <c r="V1216" s="24" t="s">
        <v>39</v>
      </c>
      <c r="W1216" s="24"/>
      <c r="X1216" s="24"/>
      <c r="Y1216" s="15"/>
      <c r="Z1216" s="15"/>
      <c r="AA1216" s="24"/>
      <c r="AB1216" s="24"/>
      <c r="AC1216" s="24"/>
      <c r="AD1216" s="24"/>
      <c r="AE1216" s="24"/>
      <c r="AF1216" s="24"/>
      <c r="AG1216" s="24"/>
      <c r="AH1216" s="24"/>
    </row>
    <row r="1217" spans="1:34" ht="90" x14ac:dyDescent="0.25">
      <c r="A1217" s="24" t="str">
        <f>HYPERLINK("https://www.cpso.on.ca/DoctorDetails/Kenneth-Lorne-Handelman/0057556-69144","Handelman, Kenneth Lorne")</f>
        <v>Handelman, Kenneth Lorne</v>
      </c>
      <c r="B1217" s="25" t="s">
        <v>11949</v>
      </c>
      <c r="C1217" s="24" t="s">
        <v>3831</v>
      </c>
      <c r="D1217" s="24" t="s">
        <v>214</v>
      </c>
      <c r="E1217" s="24" t="s">
        <v>29</v>
      </c>
      <c r="F1217" s="24" t="s">
        <v>30</v>
      </c>
      <c r="G1217" s="24" t="s">
        <v>31</v>
      </c>
      <c r="H1217" s="24" t="s">
        <v>4511</v>
      </c>
      <c r="I1217" s="24" t="s">
        <v>11950</v>
      </c>
      <c r="J1217" s="24" t="s">
        <v>11951</v>
      </c>
      <c r="K1217" s="24" t="s">
        <v>11952</v>
      </c>
      <c r="L1217" s="24" t="s">
        <v>184</v>
      </c>
      <c r="M1217" s="15" t="s">
        <v>11953</v>
      </c>
      <c r="N1217" s="15"/>
      <c r="O1217" s="15" t="s">
        <v>2169</v>
      </c>
      <c r="P1217" s="15" t="s">
        <v>1343</v>
      </c>
      <c r="Q1217" s="15" t="s">
        <v>11954</v>
      </c>
      <c r="R1217" s="15" t="s">
        <v>3839</v>
      </c>
      <c r="S1217" s="24" t="s">
        <v>39</v>
      </c>
      <c r="T1217" s="24" t="s">
        <v>39</v>
      </c>
      <c r="U1217" s="24" t="s">
        <v>39</v>
      </c>
      <c r="V1217" s="24" t="s">
        <v>39</v>
      </c>
      <c r="W1217" s="24" t="s">
        <v>11955</v>
      </c>
      <c r="X1217" s="24" t="s">
        <v>11956</v>
      </c>
      <c r="Y1217" s="15" t="s">
        <v>11957</v>
      </c>
      <c r="Z1217" s="15" t="s">
        <v>5623</v>
      </c>
      <c r="AA1217" s="24"/>
      <c r="AB1217" s="24"/>
      <c r="AC1217" s="24"/>
      <c r="AD1217" s="24"/>
      <c r="AE1217" s="24"/>
      <c r="AF1217" s="24"/>
      <c r="AG1217" s="24"/>
      <c r="AH1217" s="24"/>
    </row>
    <row r="1218" spans="1:34" ht="45" x14ac:dyDescent="0.25">
      <c r="A1218" s="24" t="str">
        <f>HYPERLINK("https://www.cpso.on.ca/DoctorDetails/Kenneth-Martin-Schwartz/0028072-32895","Schwartz, Kenneth Martin")</f>
        <v>Schwartz, Kenneth Martin</v>
      </c>
      <c r="B1218" s="25" t="s">
        <v>11958</v>
      </c>
      <c r="C1218" s="24" t="s">
        <v>11959</v>
      </c>
      <c r="D1218" s="24" t="s">
        <v>3854</v>
      </c>
      <c r="E1218" s="24" t="s">
        <v>29</v>
      </c>
      <c r="F1218" s="24" t="s">
        <v>30</v>
      </c>
      <c r="G1218" s="24" t="s">
        <v>31</v>
      </c>
      <c r="H1218" s="24" t="s">
        <v>11960</v>
      </c>
      <c r="I1218" s="24" t="s">
        <v>11961</v>
      </c>
      <c r="J1218" s="24" t="s">
        <v>11962</v>
      </c>
      <c r="K1218" s="24" t="s">
        <v>3920</v>
      </c>
      <c r="L1218" s="24" t="s">
        <v>52</v>
      </c>
      <c r="M1218" s="15"/>
      <c r="N1218" s="15"/>
      <c r="O1218" s="15" t="s">
        <v>3921</v>
      </c>
      <c r="P1218" s="15" t="s">
        <v>316</v>
      </c>
      <c r="Q1218" s="15"/>
      <c r="R1218" s="15" t="s">
        <v>11963</v>
      </c>
      <c r="S1218" s="24" t="s">
        <v>39</v>
      </c>
      <c r="T1218" s="24" t="s">
        <v>39</v>
      </c>
      <c r="U1218" s="24" t="s">
        <v>39</v>
      </c>
      <c r="V1218" s="24" t="s">
        <v>39</v>
      </c>
      <c r="W1218" s="24" t="s">
        <v>11964</v>
      </c>
      <c r="X1218" s="24" t="s">
        <v>9777</v>
      </c>
      <c r="Y1218" s="15" t="s">
        <v>11965</v>
      </c>
      <c r="Z1218" s="15" t="s">
        <v>11966</v>
      </c>
      <c r="AA1218" s="24"/>
      <c r="AB1218" s="24"/>
      <c r="AC1218" s="24"/>
      <c r="AD1218" s="24"/>
      <c r="AE1218" s="24"/>
      <c r="AF1218" s="24"/>
      <c r="AG1218" s="24"/>
      <c r="AH1218" s="24"/>
    </row>
    <row r="1219" spans="1:34" ht="105" x14ac:dyDescent="0.25">
      <c r="A1219" s="24" t="str">
        <f>HYPERLINK("https://www.cpso.on.ca/DoctorDetails/Kenneth-PoLun-Fung/0057515-69103","Fung, Kenneth Po-Lun")</f>
        <v>Fung, Kenneth Po-Lun</v>
      </c>
      <c r="B1219" s="25" t="s">
        <v>11967</v>
      </c>
      <c r="C1219" s="24" t="s">
        <v>3831</v>
      </c>
      <c r="D1219" s="24" t="s">
        <v>214</v>
      </c>
      <c r="E1219" s="24" t="s">
        <v>29</v>
      </c>
      <c r="F1219" s="24" t="s">
        <v>30</v>
      </c>
      <c r="G1219" s="24" t="s">
        <v>11968</v>
      </c>
      <c r="H1219" s="24" t="s">
        <v>4511</v>
      </c>
      <c r="I1219" s="24" t="s">
        <v>11969</v>
      </c>
      <c r="J1219" s="24" t="s">
        <v>11970</v>
      </c>
      <c r="K1219" s="24" t="s">
        <v>11971</v>
      </c>
      <c r="L1219" s="24" t="s">
        <v>52</v>
      </c>
      <c r="M1219" s="15" t="s">
        <v>11972</v>
      </c>
      <c r="N1219" s="15"/>
      <c r="O1219" s="15" t="s">
        <v>3482</v>
      </c>
      <c r="P1219" s="15" t="s">
        <v>1343</v>
      </c>
      <c r="Q1219" s="15" t="s">
        <v>11973</v>
      </c>
      <c r="R1219" s="15" t="s">
        <v>3839</v>
      </c>
      <c r="S1219" s="24" t="s">
        <v>39</v>
      </c>
      <c r="T1219" s="24" t="s">
        <v>39</v>
      </c>
      <c r="U1219" s="24" t="s">
        <v>39</v>
      </c>
      <c r="V1219" s="24" t="s">
        <v>39</v>
      </c>
      <c r="W1219" s="24"/>
      <c r="X1219" s="24"/>
      <c r="Y1219" s="15"/>
      <c r="Z1219" s="15"/>
      <c r="AA1219" s="24"/>
      <c r="AB1219" s="24"/>
      <c r="AC1219" s="24"/>
      <c r="AD1219" s="24"/>
      <c r="AE1219" s="24"/>
      <c r="AF1219" s="24"/>
      <c r="AG1219" s="24"/>
      <c r="AH1219" s="24"/>
    </row>
    <row r="1220" spans="1:34" ht="60" x14ac:dyDescent="0.25">
      <c r="A1220" s="24" t="str">
        <f>HYPERLINK("https://www.cpso.on.ca/DoctorDetails/Kenneth-Richter/0042949-56927","Richter, Kenneth")</f>
        <v>Richter, Kenneth</v>
      </c>
      <c r="B1220" s="25" t="s">
        <v>11974</v>
      </c>
      <c r="C1220" s="24" t="s">
        <v>11975</v>
      </c>
      <c r="D1220" s="24" t="s">
        <v>11976</v>
      </c>
      <c r="E1220" s="24" t="s">
        <v>29</v>
      </c>
      <c r="F1220" s="24" t="s">
        <v>30</v>
      </c>
      <c r="G1220" s="24" t="s">
        <v>813</v>
      </c>
      <c r="H1220" s="24" t="s">
        <v>11037</v>
      </c>
      <c r="I1220" s="24" t="s">
        <v>11977</v>
      </c>
      <c r="J1220" s="24" t="s">
        <v>11978</v>
      </c>
      <c r="K1220" s="24" t="s">
        <v>11979</v>
      </c>
      <c r="L1220" s="24"/>
      <c r="M1220" s="15"/>
      <c r="N1220" s="15" t="s">
        <v>710</v>
      </c>
      <c r="O1220" s="15"/>
      <c r="P1220" s="15" t="s">
        <v>2250</v>
      </c>
      <c r="Q1220" s="15"/>
      <c r="R1220" s="15" t="s">
        <v>11980</v>
      </c>
      <c r="S1220" s="24" t="s">
        <v>39</v>
      </c>
      <c r="T1220" s="24" t="s">
        <v>39</v>
      </c>
      <c r="U1220" s="24" t="s">
        <v>39</v>
      </c>
      <c r="V1220" s="24" t="s">
        <v>39</v>
      </c>
      <c r="W1220" s="24" t="s">
        <v>11981</v>
      </c>
      <c r="X1220" s="24" t="s">
        <v>11982</v>
      </c>
      <c r="Y1220" s="15"/>
      <c r="Z1220" s="15"/>
      <c r="AA1220" s="24" t="s">
        <v>11981</v>
      </c>
      <c r="AB1220" s="24" t="s">
        <v>11983</v>
      </c>
      <c r="AC1220" s="24"/>
      <c r="AD1220" s="24"/>
      <c r="AE1220" s="24"/>
      <c r="AF1220" s="24"/>
      <c r="AG1220" s="24"/>
      <c r="AH1220" s="24"/>
    </row>
    <row r="1221" spans="1:34" ht="30" x14ac:dyDescent="0.25">
      <c r="A1221" s="24" t="str">
        <f>HYPERLINK("https://www.cpso.on.ca/DoctorDetails/Kenneth-Stephen-Kruger/0027128-31951","Kruger, Kenneth Stephen")</f>
        <v>Kruger, Kenneth Stephen</v>
      </c>
      <c r="B1221" s="25" t="s">
        <v>11984</v>
      </c>
      <c r="C1221" s="24" t="s">
        <v>11985</v>
      </c>
      <c r="D1221" s="24" t="s">
        <v>11986</v>
      </c>
      <c r="E1221" s="24" t="s">
        <v>29</v>
      </c>
      <c r="F1221" s="24" t="s">
        <v>30</v>
      </c>
      <c r="G1221" s="24" t="s">
        <v>31</v>
      </c>
      <c r="H1221" s="24" t="s">
        <v>10710</v>
      </c>
      <c r="I1221" s="24" t="s">
        <v>11987</v>
      </c>
      <c r="J1221" s="24" t="s">
        <v>11988</v>
      </c>
      <c r="K1221" s="24" t="s">
        <v>11989</v>
      </c>
      <c r="L1221" s="24" t="s">
        <v>36</v>
      </c>
      <c r="M1221" s="15"/>
      <c r="N1221" s="15"/>
      <c r="O1221" s="15"/>
      <c r="P1221" s="15" t="s">
        <v>9291</v>
      </c>
      <c r="Q1221" s="15"/>
      <c r="R1221" s="15" t="s">
        <v>11990</v>
      </c>
      <c r="S1221" s="24" t="s">
        <v>39</v>
      </c>
      <c r="T1221" s="24" t="s">
        <v>39</v>
      </c>
      <c r="U1221" s="24" t="s">
        <v>39</v>
      </c>
      <c r="V1221" s="24" t="s">
        <v>39</v>
      </c>
      <c r="W1221" s="24"/>
      <c r="X1221" s="24"/>
      <c r="Y1221" s="15"/>
      <c r="Z1221" s="15"/>
      <c r="AA1221" s="24"/>
      <c r="AB1221" s="24"/>
      <c r="AC1221" s="24"/>
      <c r="AD1221" s="24"/>
      <c r="AE1221" s="24"/>
      <c r="AF1221" s="24"/>
      <c r="AG1221" s="24"/>
      <c r="AH1221" s="24"/>
    </row>
    <row r="1222" spans="1:34" x14ac:dyDescent="0.25">
      <c r="A1222" s="24" t="str">
        <f>HYPERLINK("https://www.cpso.on.ca/DoctorDetails/Kenneth-William-Gregory-Suddaby/0056822-68410","Suddaby, Kenneth William Gregory")</f>
        <v>Suddaby, Kenneth William Gregory</v>
      </c>
      <c r="B1222" s="25" t="s">
        <v>11991</v>
      </c>
      <c r="C1222" s="24" t="s">
        <v>11992</v>
      </c>
      <c r="D1222" s="24" t="s">
        <v>11993</v>
      </c>
      <c r="E1222" s="24" t="s">
        <v>29</v>
      </c>
      <c r="F1222" s="24" t="s">
        <v>30</v>
      </c>
      <c r="G1222" s="24" t="s">
        <v>31</v>
      </c>
      <c r="H1222" s="24" t="s">
        <v>1004</v>
      </c>
      <c r="I1222" s="24" t="s">
        <v>11994</v>
      </c>
      <c r="J1222" s="24" t="s">
        <v>11995</v>
      </c>
      <c r="K1222" s="24" t="s">
        <v>11996</v>
      </c>
      <c r="L1222" s="24" t="s">
        <v>84</v>
      </c>
      <c r="M1222" s="15"/>
      <c r="N1222" s="15"/>
      <c r="O1222" s="15"/>
      <c r="P1222" s="15" t="s">
        <v>1007</v>
      </c>
      <c r="Q1222" s="15"/>
      <c r="R1222" s="15" t="s">
        <v>11997</v>
      </c>
      <c r="S1222" s="24" t="s">
        <v>39</v>
      </c>
      <c r="T1222" s="24" t="s">
        <v>39</v>
      </c>
      <c r="U1222" s="24" t="s">
        <v>39</v>
      </c>
      <c r="V1222" s="24" t="s">
        <v>39</v>
      </c>
      <c r="W1222" s="24"/>
      <c r="X1222" s="24"/>
      <c r="Y1222" s="15"/>
      <c r="Z1222" s="15"/>
      <c r="AA1222" s="24"/>
      <c r="AB1222" s="24"/>
      <c r="AC1222" s="24"/>
      <c r="AD1222" s="24"/>
      <c r="AE1222" s="24"/>
      <c r="AF1222" s="24"/>
      <c r="AG1222" s="24"/>
      <c r="AH1222" s="24"/>
    </row>
    <row r="1223" spans="1:34" ht="75" x14ac:dyDescent="0.25">
      <c r="A1223" s="24" t="str">
        <f>HYPERLINK("https://www.cpso.on.ca/DoctorDetails/Kent-Edward-Dunn/0181930-76115","Dunn, Kent Edward")</f>
        <v>Dunn, Kent Edward</v>
      </c>
      <c r="B1223" s="25" t="s">
        <v>11998</v>
      </c>
      <c r="C1223" s="24" t="s">
        <v>1130</v>
      </c>
      <c r="D1223" s="24" t="s">
        <v>4401</v>
      </c>
      <c r="E1223" s="24" t="s">
        <v>29</v>
      </c>
      <c r="F1223" s="24" t="s">
        <v>30</v>
      </c>
      <c r="G1223" s="24" t="s">
        <v>31</v>
      </c>
      <c r="H1223" s="24" t="s">
        <v>7638</v>
      </c>
      <c r="I1223" s="24" t="s">
        <v>11999</v>
      </c>
      <c r="J1223" s="24" t="s">
        <v>1935</v>
      </c>
      <c r="K1223" s="24" t="s">
        <v>1936</v>
      </c>
      <c r="L1223" s="24" t="s">
        <v>36</v>
      </c>
      <c r="M1223" s="15"/>
      <c r="N1223" s="15" t="s">
        <v>1370</v>
      </c>
      <c r="O1223" s="15" t="s">
        <v>12000</v>
      </c>
      <c r="P1223" s="15" t="s">
        <v>1149</v>
      </c>
      <c r="Q1223" s="15" t="s">
        <v>12001</v>
      </c>
      <c r="R1223" s="15" t="s">
        <v>4407</v>
      </c>
      <c r="S1223" s="24" t="s">
        <v>39</v>
      </c>
      <c r="T1223" s="24" t="s">
        <v>39</v>
      </c>
      <c r="U1223" s="24" t="s">
        <v>39</v>
      </c>
      <c r="V1223" s="24" t="s">
        <v>39</v>
      </c>
      <c r="W1223" s="24"/>
      <c r="X1223" s="24"/>
      <c r="Y1223" s="15"/>
      <c r="Z1223" s="15"/>
      <c r="AA1223" s="24"/>
      <c r="AB1223" s="24"/>
      <c r="AC1223" s="24"/>
      <c r="AD1223" s="24"/>
      <c r="AE1223" s="24"/>
      <c r="AF1223" s="24"/>
      <c r="AG1223" s="24"/>
      <c r="AH1223" s="24"/>
    </row>
    <row r="1224" spans="1:34" ht="75" x14ac:dyDescent="0.25">
      <c r="A1224" s="24" t="str">
        <f>HYPERLINK("https://www.cpso.on.ca/DoctorDetails/Kerry-Ellen-Boyd/0045529-59507","Boyd, Kerry Ellen")</f>
        <v>Boyd, Kerry Ellen</v>
      </c>
      <c r="B1224" s="25" t="s">
        <v>12002</v>
      </c>
      <c r="C1224" s="24" t="s">
        <v>3282</v>
      </c>
      <c r="D1224" s="24" t="s">
        <v>12003</v>
      </c>
      <c r="E1224" s="24" t="s">
        <v>12004</v>
      </c>
      <c r="F1224" s="24" t="s">
        <v>47</v>
      </c>
      <c r="G1224" s="24" t="s">
        <v>31</v>
      </c>
      <c r="H1224" s="24" t="s">
        <v>5992</v>
      </c>
      <c r="I1224" s="24" t="s">
        <v>12005</v>
      </c>
      <c r="J1224" s="24" t="s">
        <v>12006</v>
      </c>
      <c r="K1224" s="24" t="s">
        <v>12007</v>
      </c>
      <c r="L1224" s="24" t="s">
        <v>184</v>
      </c>
      <c r="M1224" s="15" t="s">
        <v>12008</v>
      </c>
      <c r="N1224" s="15"/>
      <c r="O1224" s="15" t="s">
        <v>12009</v>
      </c>
      <c r="P1224" s="15" t="s">
        <v>5550</v>
      </c>
      <c r="Q1224" s="15" t="s">
        <v>12010</v>
      </c>
      <c r="R1224" s="15" t="s">
        <v>12011</v>
      </c>
      <c r="S1224" s="24" t="s">
        <v>39</v>
      </c>
      <c r="T1224" s="24" t="s">
        <v>39</v>
      </c>
      <c r="U1224" s="24" t="s">
        <v>39</v>
      </c>
      <c r="V1224" s="24" t="s">
        <v>39</v>
      </c>
      <c r="W1224" s="24"/>
      <c r="X1224" s="24"/>
      <c r="Y1224" s="15"/>
      <c r="Z1224" s="15"/>
      <c r="AA1224" s="24"/>
      <c r="AB1224" s="24"/>
      <c r="AC1224" s="24"/>
      <c r="AD1224" s="24"/>
      <c r="AE1224" s="24"/>
      <c r="AF1224" s="24"/>
      <c r="AG1224" s="24"/>
      <c r="AH1224" s="24"/>
    </row>
    <row r="1225" spans="1:34" ht="90" x14ac:dyDescent="0.25">
      <c r="A1225" s="24" t="str">
        <f>HYPERLINK("https://www.cpso.on.ca/DoctorDetails/Ketan-Vegda/0266301-93871","Vegda, Ketan")</f>
        <v>Vegda, Ketan</v>
      </c>
      <c r="B1225" s="25" t="s">
        <v>12012</v>
      </c>
      <c r="C1225" s="24" t="s">
        <v>570</v>
      </c>
      <c r="D1225" s="24" t="s">
        <v>12013</v>
      </c>
      <c r="E1225" s="24" t="s">
        <v>29</v>
      </c>
      <c r="F1225" s="24" t="s">
        <v>30</v>
      </c>
      <c r="G1225" s="24" t="s">
        <v>31</v>
      </c>
      <c r="H1225" s="24" t="s">
        <v>968</v>
      </c>
      <c r="I1225" s="24" t="s">
        <v>12014</v>
      </c>
      <c r="J1225" s="24" t="s">
        <v>12015</v>
      </c>
      <c r="K1225" s="24" t="s">
        <v>12016</v>
      </c>
      <c r="L1225" s="24" t="s">
        <v>52</v>
      </c>
      <c r="M1225" s="15" t="s">
        <v>12017</v>
      </c>
      <c r="N1225" s="15"/>
      <c r="O1225" s="15" t="s">
        <v>981</v>
      </c>
      <c r="P1225" s="15" t="s">
        <v>12018</v>
      </c>
      <c r="Q1225" s="15" t="s">
        <v>12019</v>
      </c>
      <c r="R1225" s="15" t="s">
        <v>12020</v>
      </c>
      <c r="S1225" s="24" t="s">
        <v>39</v>
      </c>
      <c r="T1225" s="24" t="s">
        <v>39</v>
      </c>
      <c r="U1225" s="24" t="s">
        <v>39</v>
      </c>
      <c r="V1225" s="24" t="s">
        <v>39</v>
      </c>
      <c r="W1225" s="24"/>
      <c r="X1225" s="24"/>
      <c r="Y1225" s="15"/>
      <c r="Z1225" s="15"/>
      <c r="AA1225" s="24"/>
      <c r="AB1225" s="24"/>
      <c r="AC1225" s="24"/>
      <c r="AD1225" s="24"/>
      <c r="AE1225" s="24"/>
      <c r="AF1225" s="24"/>
      <c r="AG1225" s="24"/>
      <c r="AH1225" s="24"/>
    </row>
    <row r="1226" spans="1:34" ht="75" x14ac:dyDescent="0.25">
      <c r="A1226" s="24" t="str">
        <f>HYPERLINK("https://www.cpso.on.ca/DoctorDetails/Kevin-Byrne-Nugent/0037308-51284","Nugent, Kevin Byrne")</f>
        <v>Nugent, Kevin Byrne</v>
      </c>
      <c r="B1226" s="25" t="s">
        <v>12021</v>
      </c>
      <c r="C1226" s="24" t="s">
        <v>826</v>
      </c>
      <c r="D1226" s="24" t="s">
        <v>12022</v>
      </c>
      <c r="E1226" s="24" t="s">
        <v>29</v>
      </c>
      <c r="F1226" s="24" t="s">
        <v>30</v>
      </c>
      <c r="G1226" s="24" t="s">
        <v>31</v>
      </c>
      <c r="H1226" s="24" t="s">
        <v>9318</v>
      </c>
      <c r="I1226" s="24" t="s">
        <v>12023</v>
      </c>
      <c r="J1226" s="24" t="s">
        <v>12024</v>
      </c>
      <c r="K1226" s="24" t="s">
        <v>12025</v>
      </c>
      <c r="L1226" s="24" t="s">
        <v>340</v>
      </c>
      <c r="M1226" s="15" t="s">
        <v>12026</v>
      </c>
      <c r="N1226" s="15"/>
      <c r="O1226" s="15" t="s">
        <v>12027</v>
      </c>
      <c r="P1226" s="15" t="s">
        <v>1947</v>
      </c>
      <c r="Q1226" s="15"/>
      <c r="R1226" s="15" t="s">
        <v>12028</v>
      </c>
      <c r="S1226" s="24" t="s">
        <v>39</v>
      </c>
      <c r="T1226" s="24" t="s">
        <v>39</v>
      </c>
      <c r="U1226" s="24" t="s">
        <v>39</v>
      </c>
      <c r="V1226" s="24" t="s">
        <v>39</v>
      </c>
      <c r="W1226" s="24"/>
      <c r="X1226" s="24"/>
      <c r="Y1226" s="15"/>
      <c r="Z1226" s="15"/>
      <c r="AA1226" s="24"/>
      <c r="AB1226" s="24"/>
      <c r="AC1226" s="24"/>
      <c r="AD1226" s="24"/>
      <c r="AE1226" s="24"/>
      <c r="AF1226" s="24"/>
      <c r="AG1226" s="24"/>
      <c r="AH1226" s="24"/>
    </row>
    <row r="1227" spans="1:34" ht="75" x14ac:dyDescent="0.25">
      <c r="A1227" s="24" t="str">
        <f>HYPERLINK("https://www.cpso.on.ca/DoctorDetails/Kevin-Charles-Wilberforce/0040784-54760","Wilberforce, Kevin Charles")</f>
        <v>Wilberforce, Kevin Charles</v>
      </c>
      <c r="B1227" s="25" t="s">
        <v>12029</v>
      </c>
      <c r="C1227" s="24" t="s">
        <v>12030</v>
      </c>
      <c r="D1227" s="24" t="s">
        <v>12031</v>
      </c>
      <c r="E1227" s="24" t="s">
        <v>29</v>
      </c>
      <c r="F1227" s="24" t="s">
        <v>30</v>
      </c>
      <c r="G1227" s="24" t="s">
        <v>31</v>
      </c>
      <c r="H1227" s="24" t="s">
        <v>7846</v>
      </c>
      <c r="I1227" s="24" t="s">
        <v>12032</v>
      </c>
      <c r="J1227" s="24" t="s">
        <v>12033</v>
      </c>
      <c r="K1227" s="24" t="s">
        <v>12034</v>
      </c>
      <c r="L1227" s="24" t="s">
        <v>3849</v>
      </c>
      <c r="M1227" s="15"/>
      <c r="N1227" s="15"/>
      <c r="O1227" s="15" t="s">
        <v>2315</v>
      </c>
      <c r="P1227" s="15" t="s">
        <v>6158</v>
      </c>
      <c r="Q1227" s="15" t="s">
        <v>12035</v>
      </c>
      <c r="R1227" s="15" t="s">
        <v>12036</v>
      </c>
      <c r="S1227" s="24" t="s">
        <v>39</v>
      </c>
      <c r="T1227" s="24" t="s">
        <v>39</v>
      </c>
      <c r="U1227" s="24" t="s">
        <v>39</v>
      </c>
      <c r="V1227" s="24" t="s">
        <v>39</v>
      </c>
      <c r="W1227" s="24" t="s">
        <v>12037</v>
      </c>
      <c r="X1227" s="24" t="s">
        <v>12038</v>
      </c>
      <c r="Y1227" s="15" t="s">
        <v>12039</v>
      </c>
      <c r="Z1227" s="15" t="s">
        <v>12040</v>
      </c>
      <c r="AA1227" s="24"/>
      <c r="AB1227" s="24"/>
      <c r="AC1227" s="24"/>
      <c r="AD1227" s="24"/>
      <c r="AE1227" s="24"/>
      <c r="AF1227" s="24"/>
      <c r="AG1227" s="24"/>
      <c r="AH1227" s="24"/>
    </row>
    <row r="1228" spans="1:34" ht="90" x14ac:dyDescent="0.25">
      <c r="A1228" s="24" t="str">
        <f>HYPERLINK("https://www.cpso.on.ca/DoctorDetails/Kevin-David-Gabel/0232710-84751","Gabel, Kevin David")</f>
        <v>Gabel, Kevin David</v>
      </c>
      <c r="B1228" s="25" t="s">
        <v>12041</v>
      </c>
      <c r="C1228" s="24" t="s">
        <v>647</v>
      </c>
      <c r="D1228" s="24" t="s">
        <v>648</v>
      </c>
      <c r="E1228" s="24" t="s">
        <v>29</v>
      </c>
      <c r="F1228" s="24" t="s">
        <v>30</v>
      </c>
      <c r="G1228" s="24" t="s">
        <v>31</v>
      </c>
      <c r="H1228" s="24" t="s">
        <v>12042</v>
      </c>
      <c r="I1228" s="24" t="s">
        <v>12043</v>
      </c>
      <c r="J1228" s="24" t="s">
        <v>12044</v>
      </c>
      <c r="K1228" s="24" t="s">
        <v>10361</v>
      </c>
      <c r="L1228" s="24" t="s">
        <v>52</v>
      </c>
      <c r="M1228" s="15"/>
      <c r="N1228" s="15"/>
      <c r="O1228" s="15" t="s">
        <v>232</v>
      </c>
      <c r="P1228" s="15" t="s">
        <v>12045</v>
      </c>
      <c r="Q1228" s="15" t="s">
        <v>12046</v>
      </c>
      <c r="R1228" s="15" t="s">
        <v>656</v>
      </c>
      <c r="S1228" s="24" t="s">
        <v>39</v>
      </c>
      <c r="T1228" s="24" t="s">
        <v>39</v>
      </c>
      <c r="U1228" s="24" t="s">
        <v>39</v>
      </c>
      <c r="V1228" s="24" t="s">
        <v>39</v>
      </c>
      <c r="W1228" s="24" t="s">
        <v>12047</v>
      </c>
      <c r="X1228" s="24" t="s">
        <v>12048</v>
      </c>
      <c r="Y1228" s="15" t="s">
        <v>12049</v>
      </c>
      <c r="Z1228" s="15" t="s">
        <v>12050</v>
      </c>
      <c r="AA1228" s="24"/>
      <c r="AB1228" s="24"/>
      <c r="AC1228" s="24"/>
      <c r="AD1228" s="24"/>
      <c r="AE1228" s="24"/>
      <c r="AF1228" s="24"/>
      <c r="AG1228" s="24"/>
      <c r="AH1228" s="24"/>
    </row>
    <row r="1229" spans="1:34" ht="75" x14ac:dyDescent="0.25">
      <c r="A1229" s="24" t="str">
        <f>HYPERLINK("https://www.cpso.on.ca/DoctorDetails/Kevin-Kaveh-Rohani/0321127-113840","Rohani, Kevin Kaveh")</f>
        <v>Rohani, Kevin Kaveh</v>
      </c>
      <c r="B1229" s="25" t="s">
        <v>12051</v>
      </c>
      <c r="C1229" s="24" t="s">
        <v>1548</v>
      </c>
      <c r="D1229" s="24" t="s">
        <v>200</v>
      </c>
      <c r="E1229" s="24" t="s">
        <v>29</v>
      </c>
      <c r="F1229" s="24" t="s">
        <v>30</v>
      </c>
      <c r="G1229" s="24" t="s">
        <v>12052</v>
      </c>
      <c r="H1229" s="24" t="s">
        <v>1893</v>
      </c>
      <c r="I1229" s="24" t="s">
        <v>12053</v>
      </c>
      <c r="J1229" s="24"/>
      <c r="K1229" s="24"/>
      <c r="L1229" s="24" t="s">
        <v>52</v>
      </c>
      <c r="M1229" s="15"/>
      <c r="N1229" s="15"/>
      <c r="O1229" s="15"/>
      <c r="P1229" s="15" t="s">
        <v>205</v>
      </c>
      <c r="Q1229" s="15" t="s">
        <v>12054</v>
      </c>
      <c r="R1229" s="15" t="s">
        <v>12055</v>
      </c>
      <c r="S1229" s="24" t="s">
        <v>39</v>
      </c>
      <c r="T1229" s="24" t="s">
        <v>39</v>
      </c>
      <c r="U1229" s="24" t="s">
        <v>39</v>
      </c>
      <c r="V1229" s="24" t="s">
        <v>39</v>
      </c>
      <c r="W1229" s="24"/>
      <c r="X1229" s="24"/>
      <c r="Y1229" s="15"/>
      <c r="Z1229" s="15"/>
      <c r="AA1229" s="24"/>
      <c r="AB1229" s="24"/>
      <c r="AC1229" s="24"/>
      <c r="AD1229" s="24"/>
      <c r="AE1229" s="24"/>
      <c r="AF1229" s="24"/>
      <c r="AG1229" s="24"/>
      <c r="AH1229" s="24"/>
    </row>
    <row r="1230" spans="1:34" ht="90" x14ac:dyDescent="0.25">
      <c r="A1230" s="24" t="str">
        <f>HYPERLINK("https://www.cpso.on.ca/DoctorDetails/Kevin-Kumar-Chopra/0172696-74847","Chopra, Kevin Kumar")</f>
        <v>Chopra, Kevin Kumar</v>
      </c>
      <c r="B1230" s="25" t="s">
        <v>12056</v>
      </c>
      <c r="C1230" s="24" t="s">
        <v>3642</v>
      </c>
      <c r="D1230" s="24" t="s">
        <v>1234</v>
      </c>
      <c r="E1230" s="24" t="s">
        <v>29</v>
      </c>
      <c r="F1230" s="24" t="s">
        <v>30</v>
      </c>
      <c r="G1230" s="24" t="s">
        <v>31</v>
      </c>
      <c r="H1230" s="24" t="s">
        <v>7093</v>
      </c>
      <c r="I1230" s="24" t="s">
        <v>12057</v>
      </c>
      <c r="J1230" s="24" t="s">
        <v>12058</v>
      </c>
      <c r="K1230" s="24"/>
      <c r="L1230" s="24" t="s">
        <v>36</v>
      </c>
      <c r="M1230" s="15"/>
      <c r="N1230" s="15"/>
      <c r="O1230" s="15" t="s">
        <v>12059</v>
      </c>
      <c r="P1230" s="15" t="s">
        <v>1239</v>
      </c>
      <c r="Q1230" s="15" t="s">
        <v>12060</v>
      </c>
      <c r="R1230" s="15" t="s">
        <v>3649</v>
      </c>
      <c r="S1230" s="24" t="s">
        <v>39</v>
      </c>
      <c r="T1230" s="24" t="s">
        <v>39</v>
      </c>
      <c r="U1230" s="24" t="s">
        <v>39</v>
      </c>
      <c r="V1230" s="24" t="s">
        <v>39</v>
      </c>
      <c r="W1230" s="24" t="s">
        <v>12061</v>
      </c>
      <c r="X1230" s="24" t="s">
        <v>12062</v>
      </c>
      <c r="Y1230" s="15" t="s">
        <v>12063</v>
      </c>
      <c r="Z1230" s="15" t="s">
        <v>12064</v>
      </c>
      <c r="AA1230" s="24"/>
      <c r="AB1230" s="24"/>
      <c r="AC1230" s="24"/>
      <c r="AD1230" s="24"/>
      <c r="AE1230" s="24"/>
      <c r="AF1230" s="24"/>
      <c r="AG1230" s="24"/>
      <c r="AH1230" s="24"/>
    </row>
    <row r="1231" spans="1:34" ht="75" x14ac:dyDescent="0.25">
      <c r="A1231" s="24" t="str">
        <f>HYPERLINK("https://www.cpso.on.ca/DoctorDetails/Kevin-Robert-Varley/0220766-82626","Varley, Kevin Robert")</f>
        <v>Varley, Kevin Robert</v>
      </c>
      <c r="B1231" s="25" t="s">
        <v>12065</v>
      </c>
      <c r="C1231" s="24" t="s">
        <v>4520</v>
      </c>
      <c r="D1231" s="24" t="s">
        <v>4521</v>
      </c>
      <c r="E1231" s="24" t="s">
        <v>29</v>
      </c>
      <c r="F1231" s="24" t="s">
        <v>30</v>
      </c>
      <c r="G1231" s="24" t="s">
        <v>31</v>
      </c>
      <c r="H1231" s="24" t="s">
        <v>990</v>
      </c>
      <c r="I1231" s="24" t="s">
        <v>12066</v>
      </c>
      <c r="J1231" s="24" t="s">
        <v>12067</v>
      </c>
      <c r="K1231" s="24"/>
      <c r="L1231" s="24" t="s">
        <v>340</v>
      </c>
      <c r="M1231" s="15"/>
      <c r="N1231" s="15"/>
      <c r="O1231" s="15" t="s">
        <v>2972</v>
      </c>
      <c r="P1231" s="15" t="s">
        <v>2348</v>
      </c>
      <c r="Q1231" s="15" t="s">
        <v>6129</v>
      </c>
      <c r="R1231" s="15" t="s">
        <v>12068</v>
      </c>
      <c r="S1231" s="24" t="s">
        <v>39</v>
      </c>
      <c r="T1231" s="24" t="s">
        <v>39</v>
      </c>
      <c r="U1231" s="24" t="s">
        <v>39</v>
      </c>
      <c r="V1231" s="24" t="s">
        <v>39</v>
      </c>
      <c r="W1231" s="24" t="s">
        <v>12069</v>
      </c>
      <c r="X1231" s="24" t="s">
        <v>12070</v>
      </c>
      <c r="Y1231" s="15" t="s">
        <v>12071</v>
      </c>
      <c r="Z1231" s="15" t="s">
        <v>12072</v>
      </c>
      <c r="AA1231" s="24"/>
      <c r="AB1231" s="24"/>
      <c r="AC1231" s="24"/>
      <c r="AD1231" s="24"/>
      <c r="AE1231" s="24"/>
      <c r="AF1231" s="24"/>
      <c r="AG1231" s="24"/>
      <c r="AH1231" s="24"/>
    </row>
    <row r="1232" spans="1:34" ht="180" x14ac:dyDescent="0.25">
      <c r="A1232" s="24" t="str">
        <f>HYPERLINK("https://www.cpso.on.ca/DoctorDetails/Kevin-Shiffman/0049364-63342","Shiffman, Kevin")</f>
        <v>Shiffman, Kevin</v>
      </c>
      <c r="B1232" s="25" t="s">
        <v>12073</v>
      </c>
      <c r="C1232" s="24" t="s">
        <v>12074</v>
      </c>
      <c r="D1232" s="24" t="s">
        <v>12075</v>
      </c>
      <c r="E1232" s="24" t="s">
        <v>29</v>
      </c>
      <c r="F1232" s="24" t="s">
        <v>30</v>
      </c>
      <c r="G1232" s="24" t="s">
        <v>4698</v>
      </c>
      <c r="H1232" s="24" t="s">
        <v>12076</v>
      </c>
      <c r="I1232" s="24" t="s">
        <v>12077</v>
      </c>
      <c r="J1232" s="24" t="s">
        <v>12078</v>
      </c>
      <c r="K1232" s="24" t="s">
        <v>12079</v>
      </c>
      <c r="L1232" s="24" t="s">
        <v>36</v>
      </c>
      <c r="M1232" s="15"/>
      <c r="N1232" s="15"/>
      <c r="O1232" s="15"/>
      <c r="P1232" s="15" t="s">
        <v>5981</v>
      </c>
      <c r="Q1232" s="15" t="s">
        <v>12080</v>
      </c>
      <c r="R1232" s="15" t="s">
        <v>12081</v>
      </c>
      <c r="S1232" s="24" t="s">
        <v>39</v>
      </c>
      <c r="T1232" s="24" t="s">
        <v>39</v>
      </c>
      <c r="U1232" s="24" t="s">
        <v>39</v>
      </c>
      <c r="V1232" s="24" t="s">
        <v>39</v>
      </c>
      <c r="W1232" s="24" t="s">
        <v>12082</v>
      </c>
      <c r="X1232" s="24" t="s">
        <v>12083</v>
      </c>
      <c r="Y1232" s="15" t="s">
        <v>12084</v>
      </c>
      <c r="Z1232" s="15" t="s">
        <v>12085</v>
      </c>
      <c r="AA1232" s="24"/>
      <c r="AB1232" s="24"/>
      <c r="AC1232" s="24"/>
      <c r="AD1232" s="24"/>
      <c r="AE1232" s="24"/>
      <c r="AF1232" s="24"/>
      <c r="AG1232" s="24"/>
      <c r="AH1232" s="24"/>
    </row>
    <row r="1233" spans="1:34" ht="120" x14ac:dyDescent="0.25">
      <c r="A1233" s="24" t="str">
        <f>HYPERLINK("https://www.cpso.on.ca/DoctorDetails/Keyghobad-Farid-Araki/0235650-85535","Farid Araki, Keyghobad")</f>
        <v>Farid Araki, Keyghobad</v>
      </c>
      <c r="B1233" s="25" t="s">
        <v>12086</v>
      </c>
      <c r="C1233" s="24" t="s">
        <v>12087</v>
      </c>
      <c r="D1233" s="24" t="s">
        <v>12088</v>
      </c>
      <c r="E1233" s="24" t="s">
        <v>29</v>
      </c>
      <c r="F1233" s="24" t="s">
        <v>30</v>
      </c>
      <c r="G1233" s="24" t="s">
        <v>522</v>
      </c>
      <c r="H1233" s="24" t="s">
        <v>12089</v>
      </c>
      <c r="I1233" s="24" t="s">
        <v>12090</v>
      </c>
      <c r="J1233" s="24" t="s">
        <v>1262</v>
      </c>
      <c r="K1233" s="24"/>
      <c r="L1233" s="24" t="s">
        <v>52</v>
      </c>
      <c r="M1233" s="15"/>
      <c r="N1233" s="15"/>
      <c r="O1233" s="15" t="s">
        <v>981</v>
      </c>
      <c r="P1233" s="15" t="s">
        <v>12091</v>
      </c>
      <c r="Q1233" s="15" t="s">
        <v>12092</v>
      </c>
      <c r="R1233" s="15" t="s">
        <v>12093</v>
      </c>
      <c r="S1233" s="24" t="s">
        <v>39</v>
      </c>
      <c r="T1233" s="24" t="s">
        <v>39</v>
      </c>
      <c r="U1233" s="24" t="s">
        <v>39</v>
      </c>
      <c r="V1233" s="24" t="s">
        <v>39</v>
      </c>
      <c r="W1233" s="24" t="s">
        <v>12094</v>
      </c>
      <c r="X1233" s="24" t="s">
        <v>276</v>
      </c>
      <c r="Y1233" s="15" t="s">
        <v>12095</v>
      </c>
      <c r="Z1233" s="15" t="s">
        <v>12096</v>
      </c>
      <c r="AA1233" s="24"/>
      <c r="AB1233" s="24"/>
      <c r="AC1233" s="24"/>
      <c r="AD1233" s="24"/>
      <c r="AE1233" s="24"/>
      <c r="AF1233" s="24"/>
      <c r="AG1233" s="24"/>
      <c r="AH1233" s="24"/>
    </row>
    <row r="1234" spans="1:34" ht="105" x14ac:dyDescent="0.25">
      <c r="A1234" s="24" t="str">
        <f>HYPERLINK("https://www.cpso.on.ca/DoctorDetails/Khalid-Awad-Saleh-Bazaid/0056727-68315","Bazaid, Khalid Awad Saleh")</f>
        <v>Bazaid, Khalid Awad Saleh</v>
      </c>
      <c r="B1234" s="25" t="s">
        <v>12097</v>
      </c>
      <c r="C1234" s="24" t="s">
        <v>12098</v>
      </c>
      <c r="D1234" s="24" t="s">
        <v>12099</v>
      </c>
      <c r="E1234" s="24" t="s">
        <v>29</v>
      </c>
      <c r="F1234" s="24" t="s">
        <v>30</v>
      </c>
      <c r="G1234" s="24" t="s">
        <v>105</v>
      </c>
      <c r="H1234" s="24" t="s">
        <v>12100</v>
      </c>
      <c r="I1234" s="24" t="s">
        <v>11662</v>
      </c>
      <c r="J1234" s="24" t="s">
        <v>12101</v>
      </c>
      <c r="K1234" s="24"/>
      <c r="L1234" s="24" t="s">
        <v>84</v>
      </c>
      <c r="M1234" s="15"/>
      <c r="N1234" s="15" t="s">
        <v>4220</v>
      </c>
      <c r="O1234" s="15" t="s">
        <v>2156</v>
      </c>
      <c r="P1234" s="15" t="s">
        <v>12102</v>
      </c>
      <c r="Q1234" s="15" t="s">
        <v>12103</v>
      </c>
      <c r="R1234" s="15" t="s">
        <v>12104</v>
      </c>
      <c r="S1234" s="24" t="s">
        <v>71</v>
      </c>
      <c r="T1234" s="24" t="s">
        <v>39</v>
      </c>
      <c r="U1234" s="24" t="s">
        <v>39</v>
      </c>
      <c r="V1234" s="24" t="s">
        <v>39</v>
      </c>
      <c r="W1234" s="24" t="s">
        <v>12105</v>
      </c>
      <c r="X1234" s="24" t="s">
        <v>9123</v>
      </c>
      <c r="Y1234" s="15" t="s">
        <v>12106</v>
      </c>
      <c r="Z1234" s="15" t="s">
        <v>12107</v>
      </c>
      <c r="AA1234" s="24"/>
      <c r="AB1234" s="24"/>
      <c r="AC1234" s="24"/>
      <c r="AD1234" s="24"/>
      <c r="AE1234" s="24"/>
      <c r="AF1234" s="24"/>
      <c r="AG1234" s="24"/>
      <c r="AH1234" s="24"/>
    </row>
    <row r="1235" spans="1:34" ht="30" x14ac:dyDescent="0.25">
      <c r="A1235" s="24" t="str">
        <f>HYPERLINK("https://www.cpso.on.ca/DoctorDetails/Khalil-Asayesh/0040836-54812","Asayesh, Khalil")</f>
        <v>Asayesh, Khalil</v>
      </c>
      <c r="B1235" s="25" t="s">
        <v>12108</v>
      </c>
      <c r="C1235" s="24" t="s">
        <v>12109</v>
      </c>
      <c r="D1235" s="24" t="s">
        <v>12110</v>
      </c>
      <c r="E1235" s="24" t="s">
        <v>29</v>
      </c>
      <c r="F1235" s="24" t="s">
        <v>30</v>
      </c>
      <c r="G1235" s="24" t="s">
        <v>2579</v>
      </c>
      <c r="H1235" s="24" t="s">
        <v>12111</v>
      </c>
      <c r="I1235" s="24" t="s">
        <v>12112</v>
      </c>
      <c r="J1235" s="24" t="s">
        <v>12113</v>
      </c>
      <c r="K1235" s="24" t="s">
        <v>12114</v>
      </c>
      <c r="L1235" s="24" t="s">
        <v>36</v>
      </c>
      <c r="M1235" s="15"/>
      <c r="N1235" s="15"/>
      <c r="O1235" s="15" t="s">
        <v>833</v>
      </c>
      <c r="P1235" s="15" t="s">
        <v>1947</v>
      </c>
      <c r="Q1235" s="15"/>
      <c r="R1235" s="15" t="s">
        <v>12115</v>
      </c>
      <c r="S1235" s="24" t="s">
        <v>39</v>
      </c>
      <c r="T1235" s="24" t="s">
        <v>39</v>
      </c>
      <c r="U1235" s="24" t="s">
        <v>39</v>
      </c>
      <c r="V1235" s="24" t="s">
        <v>39</v>
      </c>
      <c r="W1235" s="24"/>
      <c r="X1235" s="24"/>
      <c r="Y1235" s="15"/>
      <c r="Z1235" s="15"/>
      <c r="AA1235" s="24"/>
      <c r="AB1235" s="24"/>
      <c r="AC1235" s="24"/>
      <c r="AD1235" s="24"/>
      <c r="AE1235" s="24"/>
      <c r="AF1235" s="24"/>
      <c r="AG1235" s="24"/>
      <c r="AH1235" s="24"/>
    </row>
    <row r="1236" spans="1:34" ht="135" x14ac:dyDescent="0.25">
      <c r="A1236" s="24" t="str">
        <f>HYPERLINK("https://www.cpso.on.ca/DoctorDetails/Khrista-Rea-Anne-Boylan/0161862-73741","Boylan, Khrista Rea Anne")</f>
        <v>Boylan, Khrista Rea Anne</v>
      </c>
      <c r="B1236" s="25" t="s">
        <v>12116</v>
      </c>
      <c r="C1236" s="24" t="s">
        <v>280</v>
      </c>
      <c r="D1236" s="24" t="s">
        <v>281</v>
      </c>
      <c r="E1236" s="24" t="s">
        <v>29</v>
      </c>
      <c r="F1236" s="24" t="s">
        <v>47</v>
      </c>
      <c r="G1236" s="24" t="s">
        <v>31</v>
      </c>
      <c r="H1236" s="24" t="s">
        <v>12117</v>
      </c>
      <c r="I1236" s="24" t="s">
        <v>12118</v>
      </c>
      <c r="J1236" s="24" t="s">
        <v>12119</v>
      </c>
      <c r="K1236" s="24" t="s">
        <v>12120</v>
      </c>
      <c r="L1236" s="24" t="s">
        <v>184</v>
      </c>
      <c r="M1236" s="15"/>
      <c r="N1236" s="15"/>
      <c r="O1236" s="15" t="s">
        <v>12121</v>
      </c>
      <c r="P1236" s="15" t="s">
        <v>288</v>
      </c>
      <c r="Q1236" s="15" t="s">
        <v>12122</v>
      </c>
      <c r="R1236" s="15" t="s">
        <v>290</v>
      </c>
      <c r="S1236" s="24" t="s">
        <v>39</v>
      </c>
      <c r="T1236" s="24" t="s">
        <v>39</v>
      </c>
      <c r="U1236" s="24" t="s">
        <v>39</v>
      </c>
      <c r="V1236" s="24" t="s">
        <v>39</v>
      </c>
      <c r="W1236" s="24" t="s">
        <v>12123</v>
      </c>
      <c r="X1236" s="24" t="s">
        <v>12124</v>
      </c>
      <c r="Y1236" s="15" t="s">
        <v>12125</v>
      </c>
      <c r="Z1236" s="15" t="s">
        <v>12126</v>
      </c>
      <c r="AA1236" s="24"/>
      <c r="AB1236" s="24"/>
      <c r="AC1236" s="24"/>
      <c r="AD1236" s="24"/>
      <c r="AE1236" s="24"/>
      <c r="AF1236" s="24"/>
      <c r="AG1236" s="24"/>
      <c r="AH1236" s="24"/>
    </row>
    <row r="1237" spans="1:34" x14ac:dyDescent="0.25">
      <c r="A1237" s="24" t="str">
        <f>HYPERLINK("https://www.cpso.on.ca/DoctorDetails/Kien-Gniap-Jacques-Siu/0018276-23062","Siu, Kien Gniap Jacques")</f>
        <v>Siu, Kien Gniap Jacques</v>
      </c>
      <c r="B1237" s="25" t="s">
        <v>12127</v>
      </c>
      <c r="C1237" s="24" t="s">
        <v>12128</v>
      </c>
      <c r="D1237" s="24" t="s">
        <v>12129</v>
      </c>
      <c r="E1237" s="24" t="s">
        <v>29</v>
      </c>
      <c r="F1237" s="24" t="s">
        <v>30</v>
      </c>
      <c r="G1237" s="24" t="s">
        <v>31</v>
      </c>
      <c r="H1237" s="24" t="s">
        <v>12130</v>
      </c>
      <c r="I1237" s="24" t="s">
        <v>12131</v>
      </c>
      <c r="J1237" s="24" t="s">
        <v>12132</v>
      </c>
      <c r="K1237" s="24" t="s">
        <v>12133</v>
      </c>
      <c r="L1237" s="24" t="s">
        <v>340</v>
      </c>
      <c r="M1237" s="15"/>
      <c r="N1237" s="15"/>
      <c r="O1237" s="15" t="s">
        <v>12134</v>
      </c>
      <c r="P1237" s="15" t="s">
        <v>10533</v>
      </c>
      <c r="Q1237" s="15"/>
      <c r="R1237" s="15" t="s">
        <v>12135</v>
      </c>
      <c r="S1237" s="24" t="s">
        <v>39</v>
      </c>
      <c r="T1237" s="24" t="s">
        <v>39</v>
      </c>
      <c r="U1237" s="24" t="s">
        <v>39</v>
      </c>
      <c r="V1237" s="24" t="s">
        <v>39</v>
      </c>
      <c r="W1237" s="24" t="s">
        <v>12136</v>
      </c>
      <c r="X1237" s="24" t="s">
        <v>12137</v>
      </c>
      <c r="Y1237" s="15" t="s">
        <v>12138</v>
      </c>
      <c r="Z1237" s="15" t="s">
        <v>12139</v>
      </c>
      <c r="AA1237" s="24"/>
      <c r="AB1237" s="24"/>
      <c r="AC1237" s="24"/>
      <c r="AD1237" s="24"/>
      <c r="AE1237" s="24"/>
      <c r="AF1237" s="24"/>
      <c r="AG1237" s="24"/>
      <c r="AH1237" s="24"/>
    </row>
    <row r="1238" spans="1:34" ht="75" x14ac:dyDescent="0.25">
      <c r="A1238" s="24" t="str">
        <f>HYPERLINK("https://www.cpso.on.ca/DoctorDetails/Kien-Trung-Dang/0180406-76519","Dang, Kien Trung")</f>
        <v>Dang, Kien Trung</v>
      </c>
      <c r="B1238" s="25" t="s">
        <v>12140</v>
      </c>
      <c r="C1238" s="24" t="s">
        <v>1130</v>
      </c>
      <c r="D1238" s="24" t="s">
        <v>4401</v>
      </c>
      <c r="E1238" s="24" t="s">
        <v>29</v>
      </c>
      <c r="F1238" s="24" t="s">
        <v>30</v>
      </c>
      <c r="G1238" s="24" t="s">
        <v>31</v>
      </c>
      <c r="H1238" s="24" t="s">
        <v>4402</v>
      </c>
      <c r="I1238" s="24" t="s">
        <v>12141</v>
      </c>
      <c r="J1238" s="24" t="s">
        <v>4763</v>
      </c>
      <c r="K1238" s="24" t="s">
        <v>218</v>
      </c>
      <c r="L1238" s="24" t="s">
        <v>52</v>
      </c>
      <c r="M1238" s="15"/>
      <c r="N1238" s="15"/>
      <c r="O1238" s="15" t="s">
        <v>219</v>
      </c>
      <c r="P1238" s="15" t="s">
        <v>1149</v>
      </c>
      <c r="Q1238" s="15" t="s">
        <v>3063</v>
      </c>
      <c r="R1238" s="15" t="s">
        <v>4407</v>
      </c>
      <c r="S1238" s="24" t="s">
        <v>39</v>
      </c>
      <c r="T1238" s="24" t="s">
        <v>39</v>
      </c>
      <c r="U1238" s="24" t="s">
        <v>39</v>
      </c>
      <c r="V1238" s="24" t="s">
        <v>39</v>
      </c>
      <c r="W1238" s="24"/>
      <c r="X1238" s="24"/>
      <c r="Y1238" s="15"/>
      <c r="Z1238" s="15"/>
      <c r="AA1238" s="24"/>
      <c r="AB1238" s="24"/>
      <c r="AC1238" s="24"/>
      <c r="AD1238" s="24"/>
      <c r="AE1238" s="24"/>
      <c r="AF1238" s="24"/>
      <c r="AG1238" s="24"/>
      <c r="AH1238" s="24"/>
    </row>
    <row r="1239" spans="1:34" x14ac:dyDescent="0.25">
      <c r="A1239" s="24" t="str">
        <f>HYPERLINK("https://www.cpso.on.ca/DoctorDetails/Kiloran-Elizabeth-Distin/0154871-72889","Distin, Kiloran Elizabeth")</f>
        <v>Distin, Kiloran Elizabeth</v>
      </c>
      <c r="B1239" s="25" t="s">
        <v>12142</v>
      </c>
      <c r="C1239" s="24" t="s">
        <v>12143</v>
      </c>
      <c r="D1239" s="24" t="s">
        <v>12144</v>
      </c>
      <c r="E1239" s="24" t="s">
        <v>29</v>
      </c>
      <c r="F1239" s="24" t="s">
        <v>47</v>
      </c>
      <c r="G1239" s="24" t="s">
        <v>31</v>
      </c>
      <c r="H1239" s="24" t="s">
        <v>4768</v>
      </c>
      <c r="I1239" s="24" t="s">
        <v>12145</v>
      </c>
      <c r="J1239" s="24" t="s">
        <v>12146</v>
      </c>
      <c r="K1239" s="24" t="s">
        <v>12147</v>
      </c>
      <c r="L1239" s="24" t="s">
        <v>52</v>
      </c>
      <c r="M1239" s="15"/>
      <c r="N1239" s="15"/>
      <c r="O1239" s="15"/>
      <c r="P1239" s="15" t="s">
        <v>303</v>
      </c>
      <c r="Q1239" s="15"/>
      <c r="R1239" s="15" t="s">
        <v>12148</v>
      </c>
      <c r="S1239" s="24" t="s">
        <v>39</v>
      </c>
      <c r="T1239" s="24" t="s">
        <v>39</v>
      </c>
      <c r="U1239" s="24" t="s">
        <v>39</v>
      </c>
      <c r="V1239" s="24" t="s">
        <v>39</v>
      </c>
      <c r="W1239" s="24"/>
      <c r="X1239" s="24"/>
      <c r="Y1239" s="15"/>
      <c r="Z1239" s="15"/>
      <c r="AA1239" s="24"/>
      <c r="AB1239" s="24"/>
      <c r="AC1239" s="24"/>
      <c r="AD1239" s="24"/>
      <c r="AE1239" s="24"/>
      <c r="AF1239" s="24"/>
      <c r="AG1239" s="24"/>
      <c r="AH1239" s="24"/>
    </row>
    <row r="1240" spans="1:34" ht="75" x14ac:dyDescent="0.25">
      <c r="A1240" s="24" t="str">
        <f>HYPERLINK("https://www.cpso.on.ca/DoctorDetails/Kim-Bill-Mah/0152602-72161","Mah, Kim Bill")</f>
        <v>Mah, Kim Bill</v>
      </c>
      <c r="B1240" s="25" t="s">
        <v>12149</v>
      </c>
      <c r="C1240" s="24" t="s">
        <v>12150</v>
      </c>
      <c r="D1240" s="24" t="s">
        <v>12151</v>
      </c>
      <c r="E1240" s="24" t="s">
        <v>29</v>
      </c>
      <c r="F1240" s="24" t="s">
        <v>30</v>
      </c>
      <c r="G1240" s="24" t="s">
        <v>31</v>
      </c>
      <c r="H1240" s="24" t="s">
        <v>12152</v>
      </c>
      <c r="I1240" s="24" t="s">
        <v>12153</v>
      </c>
      <c r="J1240" s="24" t="s">
        <v>12154</v>
      </c>
      <c r="K1240" s="24" t="s">
        <v>1528</v>
      </c>
      <c r="L1240" s="24" t="s">
        <v>52</v>
      </c>
      <c r="M1240" s="15" t="s">
        <v>12155</v>
      </c>
      <c r="N1240" s="15"/>
      <c r="O1240" s="15" t="s">
        <v>438</v>
      </c>
      <c r="P1240" s="15" t="s">
        <v>1330</v>
      </c>
      <c r="Q1240" s="15" t="s">
        <v>12156</v>
      </c>
      <c r="R1240" s="15" t="s">
        <v>12157</v>
      </c>
      <c r="S1240" s="24" t="s">
        <v>39</v>
      </c>
      <c r="T1240" s="24" t="s">
        <v>39</v>
      </c>
      <c r="U1240" s="24" t="s">
        <v>39</v>
      </c>
      <c r="V1240" s="24" t="s">
        <v>39</v>
      </c>
      <c r="W1240" s="24" t="s">
        <v>12158</v>
      </c>
      <c r="X1240" s="24" t="s">
        <v>12159</v>
      </c>
      <c r="Y1240" s="15" t="s">
        <v>12160</v>
      </c>
      <c r="Z1240" s="15" t="s">
        <v>12161</v>
      </c>
      <c r="AA1240" s="24"/>
      <c r="AB1240" s="24"/>
      <c r="AC1240" s="24"/>
      <c r="AD1240" s="24"/>
      <c r="AE1240" s="24"/>
      <c r="AF1240" s="24"/>
      <c r="AG1240" s="24"/>
      <c r="AH1240" s="24"/>
    </row>
    <row r="1241" spans="1:34" ht="75" x14ac:dyDescent="0.25">
      <c r="A1241" s="24" t="str">
        <f>HYPERLINK("https://www.cpso.on.ca/DoctorDetails/Kim-Louise-McNichol/0057737-69325","McNichol, Kim Louise")</f>
        <v>McNichol, Kim Louise</v>
      </c>
      <c r="B1241" s="25" t="s">
        <v>12162</v>
      </c>
      <c r="C1241" s="24" t="s">
        <v>3831</v>
      </c>
      <c r="D1241" s="24" t="s">
        <v>214</v>
      </c>
      <c r="E1241" s="24" t="s">
        <v>29</v>
      </c>
      <c r="F1241" s="24" t="s">
        <v>47</v>
      </c>
      <c r="G1241" s="24" t="s">
        <v>31</v>
      </c>
      <c r="H1241" s="24" t="s">
        <v>12163</v>
      </c>
      <c r="I1241" s="24" t="s">
        <v>12164</v>
      </c>
      <c r="J1241" s="24" t="s">
        <v>12165</v>
      </c>
      <c r="K1241" s="24" t="s">
        <v>1783</v>
      </c>
      <c r="L1241" s="24" t="s">
        <v>52</v>
      </c>
      <c r="M1241" s="15"/>
      <c r="N1241" s="15"/>
      <c r="O1241" s="15" t="s">
        <v>1784</v>
      </c>
      <c r="P1241" s="15" t="s">
        <v>1343</v>
      </c>
      <c r="Q1241" s="15" t="s">
        <v>4714</v>
      </c>
      <c r="R1241" s="15" t="s">
        <v>3839</v>
      </c>
      <c r="S1241" s="24" t="s">
        <v>39</v>
      </c>
      <c r="T1241" s="24" t="s">
        <v>39</v>
      </c>
      <c r="U1241" s="24" t="s">
        <v>39</v>
      </c>
      <c r="V1241" s="24" t="s">
        <v>39</v>
      </c>
      <c r="W1241" s="24"/>
      <c r="X1241" s="24"/>
      <c r="Y1241" s="15"/>
      <c r="Z1241" s="15"/>
      <c r="AA1241" s="24"/>
      <c r="AB1241" s="24"/>
      <c r="AC1241" s="24"/>
      <c r="AD1241" s="24"/>
      <c r="AE1241" s="24"/>
      <c r="AF1241" s="24"/>
      <c r="AG1241" s="24"/>
      <c r="AH1241" s="24"/>
    </row>
    <row r="1242" spans="1:34" ht="105" x14ac:dyDescent="0.25">
      <c r="A1242" s="24" t="str">
        <f>HYPERLINK("https://www.cpso.on.ca/DoctorDetails/Kimberley-Deanne-Mollot/0221360-82417","Mollot, Kimberley Deanne")</f>
        <v>Mollot, Kimberley Deanne</v>
      </c>
      <c r="B1242" s="25" t="s">
        <v>12166</v>
      </c>
      <c r="C1242" s="24" t="s">
        <v>2342</v>
      </c>
      <c r="D1242" s="24" t="s">
        <v>12167</v>
      </c>
      <c r="E1242" s="24" t="s">
        <v>29</v>
      </c>
      <c r="F1242" s="24" t="s">
        <v>47</v>
      </c>
      <c r="G1242" s="24" t="s">
        <v>813</v>
      </c>
      <c r="H1242" s="24" t="s">
        <v>1756</v>
      </c>
      <c r="I1242" s="24" t="s">
        <v>12168</v>
      </c>
      <c r="J1242" s="24" t="s">
        <v>5121</v>
      </c>
      <c r="K1242" s="24" t="s">
        <v>12169</v>
      </c>
      <c r="L1242" s="24" t="s">
        <v>184</v>
      </c>
      <c r="M1242" s="15" t="s">
        <v>12170</v>
      </c>
      <c r="N1242" s="15"/>
      <c r="O1242" s="15" t="s">
        <v>2169</v>
      </c>
      <c r="P1242" s="15" t="s">
        <v>12171</v>
      </c>
      <c r="Q1242" s="15" t="s">
        <v>12172</v>
      </c>
      <c r="R1242" s="15" t="s">
        <v>12173</v>
      </c>
      <c r="S1242" s="24" t="s">
        <v>39</v>
      </c>
      <c r="T1242" s="24" t="s">
        <v>39</v>
      </c>
      <c r="U1242" s="24" t="s">
        <v>39</v>
      </c>
      <c r="V1242" s="24" t="s">
        <v>39</v>
      </c>
      <c r="W1242" s="24" t="s">
        <v>12174</v>
      </c>
      <c r="X1242" s="24" t="s">
        <v>9844</v>
      </c>
      <c r="Y1242" s="15" t="s">
        <v>12175</v>
      </c>
      <c r="Z1242" s="15" t="s">
        <v>12176</v>
      </c>
      <c r="AA1242" s="24"/>
      <c r="AB1242" s="24"/>
      <c r="AC1242" s="24"/>
      <c r="AD1242" s="24"/>
      <c r="AE1242" s="24"/>
      <c r="AF1242" s="24"/>
      <c r="AG1242" s="24"/>
      <c r="AH1242" s="24"/>
    </row>
    <row r="1243" spans="1:34" ht="75" x14ac:dyDescent="0.25">
      <c r="A1243" s="24" t="str">
        <f>HYPERLINK("https://www.cpso.on.ca/DoctorDetails/Kimberley-Lauren-Miller/0056716-68304","Miller, Kimberley Lauren")</f>
        <v>Miller, Kimberley Lauren</v>
      </c>
      <c r="B1243" s="25" t="s">
        <v>12177</v>
      </c>
      <c r="C1243" s="24" t="s">
        <v>12178</v>
      </c>
      <c r="D1243" s="24" t="s">
        <v>12179</v>
      </c>
      <c r="E1243" s="24" t="s">
        <v>29</v>
      </c>
      <c r="F1243" s="24" t="s">
        <v>47</v>
      </c>
      <c r="G1243" s="24" t="s">
        <v>31</v>
      </c>
      <c r="H1243" s="24" t="s">
        <v>12180</v>
      </c>
      <c r="I1243" s="24" t="s">
        <v>12181</v>
      </c>
      <c r="J1243" s="24" t="s">
        <v>12182</v>
      </c>
      <c r="K1243" s="24" t="s">
        <v>7631</v>
      </c>
      <c r="L1243" s="24" t="s">
        <v>52</v>
      </c>
      <c r="M1243" s="15"/>
      <c r="N1243" s="15"/>
      <c r="O1243" s="15" t="s">
        <v>5784</v>
      </c>
      <c r="P1243" s="15" t="s">
        <v>1677</v>
      </c>
      <c r="Q1243" s="15" t="s">
        <v>12183</v>
      </c>
      <c r="R1243" s="15" t="s">
        <v>12184</v>
      </c>
      <c r="S1243" s="24" t="s">
        <v>39</v>
      </c>
      <c r="T1243" s="24" t="s">
        <v>39</v>
      </c>
      <c r="U1243" s="24" t="s">
        <v>39</v>
      </c>
      <c r="V1243" s="24" t="s">
        <v>39</v>
      </c>
      <c r="W1243" s="24"/>
      <c r="X1243" s="24"/>
      <c r="Y1243" s="15"/>
      <c r="Z1243" s="15"/>
      <c r="AA1243" s="24"/>
      <c r="AB1243" s="24"/>
      <c r="AC1243" s="24"/>
      <c r="AD1243" s="24"/>
      <c r="AE1243" s="24"/>
      <c r="AF1243" s="24"/>
      <c r="AG1243" s="24"/>
      <c r="AH1243" s="24"/>
    </row>
    <row r="1244" spans="1:34" ht="60" x14ac:dyDescent="0.25">
      <c r="A1244" s="24" t="str">
        <f>HYPERLINK("https://www.cpso.on.ca/DoctorDetails/Kimberly-Joy-Danielson/0040673-54649","Danielson, Kimberly Joy")</f>
        <v>Danielson, Kimberly Joy</v>
      </c>
      <c r="B1244" s="25" t="s">
        <v>12185</v>
      </c>
      <c r="C1244" s="24" t="s">
        <v>12186</v>
      </c>
      <c r="D1244" s="24" t="s">
        <v>12187</v>
      </c>
      <c r="E1244" s="24" t="s">
        <v>29</v>
      </c>
      <c r="F1244" s="24" t="s">
        <v>47</v>
      </c>
      <c r="G1244" s="24" t="s">
        <v>31</v>
      </c>
      <c r="H1244" s="24" t="s">
        <v>3412</v>
      </c>
      <c r="I1244" s="24" t="s">
        <v>12188</v>
      </c>
      <c r="J1244" s="24" t="s">
        <v>12189</v>
      </c>
      <c r="K1244" s="24"/>
      <c r="L1244" s="24" t="s">
        <v>52</v>
      </c>
      <c r="M1244" s="15"/>
      <c r="N1244" s="15"/>
      <c r="O1244" s="15"/>
      <c r="P1244" s="15" t="s">
        <v>3857</v>
      </c>
      <c r="Q1244" s="15" t="s">
        <v>12190</v>
      </c>
      <c r="R1244" s="15" t="s">
        <v>12191</v>
      </c>
      <c r="S1244" s="24" t="s">
        <v>39</v>
      </c>
      <c r="T1244" s="24" t="s">
        <v>39</v>
      </c>
      <c r="U1244" s="24" t="s">
        <v>39</v>
      </c>
      <c r="V1244" s="24" t="s">
        <v>39</v>
      </c>
      <c r="W1244" s="24"/>
      <c r="X1244" s="24"/>
      <c r="Y1244" s="15"/>
      <c r="Z1244" s="15"/>
      <c r="AA1244" s="24"/>
      <c r="AB1244" s="24"/>
      <c r="AC1244" s="24"/>
      <c r="AD1244" s="24"/>
      <c r="AE1244" s="24"/>
      <c r="AF1244" s="24"/>
      <c r="AG1244" s="24"/>
      <c r="AH1244" s="24"/>
    </row>
    <row r="1245" spans="1:34" ht="90" x14ac:dyDescent="0.25">
      <c r="A1245" s="24" t="str">
        <f>HYPERLINK("https://www.cpso.on.ca/DoctorDetails/Kiran-Angelina-Massey/0288837-101706","Massey, Kiran Angelina")</f>
        <v>Massey, Kiran Angelina</v>
      </c>
      <c r="B1245" s="25" t="s">
        <v>12192</v>
      </c>
      <c r="C1245" s="24" t="s">
        <v>12193</v>
      </c>
      <c r="D1245" s="24" t="s">
        <v>12194</v>
      </c>
      <c r="E1245" s="24" t="s">
        <v>29</v>
      </c>
      <c r="F1245" s="24" t="s">
        <v>47</v>
      </c>
      <c r="G1245" s="24" t="s">
        <v>31</v>
      </c>
      <c r="H1245" s="24" t="s">
        <v>11825</v>
      </c>
      <c r="I1245" s="24" t="s">
        <v>12195</v>
      </c>
      <c r="J1245" s="24"/>
      <c r="K1245" s="24"/>
      <c r="L1245" s="24" t="s">
        <v>52</v>
      </c>
      <c r="M1245" s="15"/>
      <c r="N1245" s="15"/>
      <c r="O1245" s="15"/>
      <c r="P1245" s="15" t="s">
        <v>12196</v>
      </c>
      <c r="Q1245" s="15" t="s">
        <v>12197</v>
      </c>
      <c r="R1245" s="15" t="s">
        <v>12198</v>
      </c>
      <c r="S1245" s="24" t="s">
        <v>39</v>
      </c>
      <c r="T1245" s="24" t="s">
        <v>39</v>
      </c>
      <c r="U1245" s="24" t="s">
        <v>39</v>
      </c>
      <c r="V1245" s="24" t="s">
        <v>39</v>
      </c>
      <c r="W1245" s="24"/>
      <c r="X1245" s="24"/>
      <c r="Y1245" s="15"/>
      <c r="Z1245" s="15"/>
      <c r="AA1245" s="24"/>
      <c r="AB1245" s="24"/>
      <c r="AC1245" s="24"/>
      <c r="AD1245" s="24"/>
      <c r="AE1245" s="24"/>
      <c r="AF1245" s="24"/>
      <c r="AG1245" s="24"/>
      <c r="AH1245" s="24"/>
    </row>
    <row r="1246" spans="1:34" ht="60" x14ac:dyDescent="0.25">
      <c r="A1246" s="24" t="str">
        <f>HYPERLINK("https://www.cpso.on.ca/DoctorDetails/Kiran-Bala-Mantro/0037188-51164","Mantro, Kiran Bala")</f>
        <v>Mantro, Kiran Bala</v>
      </c>
      <c r="B1246" s="25" t="s">
        <v>12199</v>
      </c>
      <c r="C1246" s="24" t="s">
        <v>12200</v>
      </c>
      <c r="D1246" s="24" t="s">
        <v>12201</v>
      </c>
      <c r="E1246" s="24" t="s">
        <v>29</v>
      </c>
      <c r="F1246" s="24" t="s">
        <v>47</v>
      </c>
      <c r="G1246" s="24" t="s">
        <v>61</v>
      </c>
      <c r="H1246" s="24" t="s">
        <v>12202</v>
      </c>
      <c r="I1246" s="24" t="s">
        <v>12203</v>
      </c>
      <c r="J1246" s="24" t="s">
        <v>12204</v>
      </c>
      <c r="K1246" s="24" t="s">
        <v>12204</v>
      </c>
      <c r="L1246" s="24" t="s">
        <v>52</v>
      </c>
      <c r="M1246" s="15"/>
      <c r="N1246" s="15"/>
      <c r="O1246" s="15"/>
      <c r="P1246" s="15" t="s">
        <v>2484</v>
      </c>
      <c r="Q1246" s="15"/>
      <c r="R1246" s="15" t="s">
        <v>12205</v>
      </c>
      <c r="S1246" s="24" t="s">
        <v>39</v>
      </c>
      <c r="T1246" s="24" t="s">
        <v>39</v>
      </c>
      <c r="U1246" s="24" t="s">
        <v>39</v>
      </c>
      <c r="V1246" s="24" t="s">
        <v>39</v>
      </c>
      <c r="W1246" s="24"/>
      <c r="X1246" s="24"/>
      <c r="Y1246" s="15"/>
      <c r="Z1246" s="15"/>
      <c r="AA1246" s="24"/>
      <c r="AB1246" s="24"/>
      <c r="AC1246" s="24"/>
      <c r="AD1246" s="24"/>
      <c r="AE1246" s="24"/>
      <c r="AF1246" s="24"/>
      <c r="AG1246" s="24"/>
      <c r="AH1246" s="24"/>
    </row>
    <row r="1247" spans="1:34" ht="105" x14ac:dyDescent="0.25">
      <c r="A1247" s="24" t="str">
        <f>HYPERLINK("https://www.cpso.on.ca/DoctorDetails/Kiran-Patel/0293912-104305","Patel, Kiran")</f>
        <v>Patel, Kiran</v>
      </c>
      <c r="B1247" s="25" t="s">
        <v>12206</v>
      </c>
      <c r="C1247" s="24" t="s">
        <v>3302</v>
      </c>
      <c r="D1247" s="24" t="s">
        <v>3303</v>
      </c>
      <c r="E1247" s="24" t="s">
        <v>29</v>
      </c>
      <c r="F1247" s="24" t="s">
        <v>30</v>
      </c>
      <c r="G1247" s="24" t="s">
        <v>5905</v>
      </c>
      <c r="H1247" s="24" t="s">
        <v>12207</v>
      </c>
      <c r="I1247" s="24" t="s">
        <v>12208</v>
      </c>
      <c r="J1247" s="24" t="s">
        <v>12209</v>
      </c>
      <c r="K1247" s="24"/>
      <c r="L1247" s="24" t="s">
        <v>52</v>
      </c>
      <c r="M1247" s="15" t="s">
        <v>12210</v>
      </c>
      <c r="N1247" s="15" t="s">
        <v>398</v>
      </c>
      <c r="O1247" s="15" t="s">
        <v>981</v>
      </c>
      <c r="P1247" s="15" t="s">
        <v>4909</v>
      </c>
      <c r="Q1247" s="15"/>
      <c r="R1247" s="15" t="s">
        <v>12211</v>
      </c>
      <c r="S1247" s="24" t="s">
        <v>39</v>
      </c>
      <c r="T1247" s="24" t="s">
        <v>39</v>
      </c>
      <c r="U1247" s="24" t="s">
        <v>39</v>
      </c>
      <c r="V1247" s="24" t="s">
        <v>39</v>
      </c>
      <c r="W1247" s="24" t="s">
        <v>12212</v>
      </c>
      <c r="X1247" s="24" t="s">
        <v>12213</v>
      </c>
      <c r="Y1247" s="15" t="s">
        <v>12214</v>
      </c>
      <c r="Z1247" s="15" t="s">
        <v>12215</v>
      </c>
      <c r="AA1247" s="24"/>
      <c r="AB1247" s="24"/>
      <c r="AC1247" s="24"/>
      <c r="AD1247" s="24"/>
      <c r="AE1247" s="24"/>
      <c r="AF1247" s="24"/>
      <c r="AG1247" s="24"/>
      <c r="AH1247" s="24"/>
    </row>
    <row r="1248" spans="1:34" ht="75" x14ac:dyDescent="0.25">
      <c r="A1248" s="24" t="str">
        <f>HYPERLINK("https://www.cpso.on.ca/DoctorDetails/Kiran-Rabheru/0027671-32494","Rabheru, Kiran")</f>
        <v>Rabheru, Kiran</v>
      </c>
      <c r="B1248" s="25" t="s">
        <v>12216</v>
      </c>
      <c r="C1248" s="24" t="s">
        <v>12217</v>
      </c>
      <c r="D1248" s="24" t="s">
        <v>12218</v>
      </c>
      <c r="E1248" s="24" t="s">
        <v>29</v>
      </c>
      <c r="F1248" s="24" t="s">
        <v>30</v>
      </c>
      <c r="G1248" s="24" t="s">
        <v>5905</v>
      </c>
      <c r="H1248" s="24" t="s">
        <v>6296</v>
      </c>
      <c r="I1248" s="24" t="s">
        <v>12219</v>
      </c>
      <c r="J1248" s="24" t="s">
        <v>3977</v>
      </c>
      <c r="K1248" s="24" t="s">
        <v>3978</v>
      </c>
      <c r="L1248" s="24" t="s">
        <v>84</v>
      </c>
      <c r="M1248" s="15" t="s">
        <v>12220</v>
      </c>
      <c r="N1248" s="15" t="s">
        <v>11519</v>
      </c>
      <c r="O1248" s="15" t="s">
        <v>12221</v>
      </c>
      <c r="P1248" s="15" t="s">
        <v>12222</v>
      </c>
      <c r="Q1248" s="15" t="s">
        <v>12223</v>
      </c>
      <c r="R1248" s="15" t="s">
        <v>12224</v>
      </c>
      <c r="S1248" s="24" t="s">
        <v>39</v>
      </c>
      <c r="T1248" s="24" t="s">
        <v>39</v>
      </c>
      <c r="U1248" s="24" t="s">
        <v>39</v>
      </c>
      <c r="V1248" s="24" t="s">
        <v>39</v>
      </c>
      <c r="W1248" s="24" t="s">
        <v>12225</v>
      </c>
      <c r="X1248" s="24" t="s">
        <v>9249</v>
      </c>
      <c r="Y1248" s="15" t="s">
        <v>12226</v>
      </c>
      <c r="Z1248" s="15" t="s">
        <v>12227</v>
      </c>
      <c r="AA1248" s="24"/>
      <c r="AB1248" s="24"/>
      <c r="AC1248" s="24"/>
      <c r="AD1248" s="24"/>
      <c r="AE1248" s="24"/>
      <c r="AF1248" s="24"/>
      <c r="AG1248" s="24"/>
      <c r="AH1248" s="24"/>
    </row>
    <row r="1249" spans="1:34" ht="105" x14ac:dyDescent="0.25">
      <c r="A1249" s="24" t="str">
        <f>HYPERLINK("https://www.cpso.on.ca/DoctorDetails/Kirandeep-Somal/0256046-90323","Somal, Kirandeep")</f>
        <v>Somal, Kirandeep</v>
      </c>
      <c r="B1249" s="25" t="s">
        <v>12228</v>
      </c>
      <c r="C1249" s="24" t="s">
        <v>2214</v>
      </c>
      <c r="D1249" s="24" t="s">
        <v>12229</v>
      </c>
      <c r="E1249" s="24" t="s">
        <v>29</v>
      </c>
      <c r="F1249" s="24" t="s">
        <v>47</v>
      </c>
      <c r="G1249" s="24" t="s">
        <v>31</v>
      </c>
      <c r="H1249" s="24" t="s">
        <v>268</v>
      </c>
      <c r="I1249" s="24" t="s">
        <v>12230</v>
      </c>
      <c r="J1249" s="24" t="s">
        <v>12231</v>
      </c>
      <c r="K1249" s="24" t="s">
        <v>12232</v>
      </c>
      <c r="L1249" s="24" t="s">
        <v>184</v>
      </c>
      <c r="M1249" s="15"/>
      <c r="N1249" s="15"/>
      <c r="O1249" s="15" t="s">
        <v>1662</v>
      </c>
      <c r="P1249" s="15" t="s">
        <v>449</v>
      </c>
      <c r="Q1249" s="15" t="s">
        <v>12233</v>
      </c>
      <c r="R1249" s="15" t="s">
        <v>12234</v>
      </c>
      <c r="S1249" s="24" t="s">
        <v>39</v>
      </c>
      <c r="T1249" s="24" t="s">
        <v>39</v>
      </c>
      <c r="U1249" s="24" t="s">
        <v>39</v>
      </c>
      <c r="V1249" s="24" t="s">
        <v>39</v>
      </c>
      <c r="W1249" s="24" t="s">
        <v>12235</v>
      </c>
      <c r="X1249" s="24" t="s">
        <v>10865</v>
      </c>
      <c r="Y1249" s="15" t="s">
        <v>12236</v>
      </c>
      <c r="Z1249" s="15" t="s">
        <v>12237</v>
      </c>
      <c r="AA1249" s="24"/>
      <c r="AB1249" s="24"/>
      <c r="AC1249" s="24"/>
      <c r="AD1249" s="24"/>
      <c r="AE1249" s="24"/>
      <c r="AF1249" s="24"/>
      <c r="AG1249" s="24"/>
      <c r="AH1249" s="24"/>
    </row>
    <row r="1250" spans="1:34" ht="75" x14ac:dyDescent="0.25">
      <c r="A1250" s="24" t="str">
        <f>HYPERLINK("https://www.cpso.on.ca/DoctorDetails/Kofi-Edward-Amlyn-Ofosu/0150090-72407","Ofosu, Kofi Edward Amlyn")</f>
        <v>Ofosu, Kofi Edward Amlyn</v>
      </c>
      <c r="B1250" s="25" t="s">
        <v>12238</v>
      </c>
      <c r="C1250" s="24" t="s">
        <v>954</v>
      </c>
      <c r="D1250" s="24" t="s">
        <v>1323</v>
      </c>
      <c r="E1250" s="24" t="s">
        <v>29</v>
      </c>
      <c r="F1250" s="24" t="s">
        <v>30</v>
      </c>
      <c r="G1250" s="24" t="s">
        <v>31</v>
      </c>
      <c r="H1250" s="24" t="s">
        <v>8165</v>
      </c>
      <c r="I1250" s="24" t="s">
        <v>12239</v>
      </c>
      <c r="J1250" s="24" t="s">
        <v>12240</v>
      </c>
      <c r="K1250" s="24" t="s">
        <v>12241</v>
      </c>
      <c r="L1250" s="24" t="s">
        <v>184</v>
      </c>
      <c r="M1250" s="15" t="s">
        <v>12242</v>
      </c>
      <c r="N1250" s="15"/>
      <c r="O1250" s="15" t="s">
        <v>10229</v>
      </c>
      <c r="P1250" s="15" t="s">
        <v>1330</v>
      </c>
      <c r="Q1250" s="15" t="s">
        <v>12243</v>
      </c>
      <c r="R1250" s="15" t="s">
        <v>2171</v>
      </c>
      <c r="S1250" s="24" t="s">
        <v>39</v>
      </c>
      <c r="T1250" s="24" t="s">
        <v>39</v>
      </c>
      <c r="U1250" s="24" t="s">
        <v>39</v>
      </c>
      <c r="V1250" s="24" t="s">
        <v>39</v>
      </c>
      <c r="W1250" s="24" t="s">
        <v>12244</v>
      </c>
      <c r="X1250" s="24" t="s">
        <v>12245</v>
      </c>
      <c r="Y1250" s="15" t="s">
        <v>12246</v>
      </c>
      <c r="Z1250" s="15" t="s">
        <v>12247</v>
      </c>
      <c r="AA1250" s="24"/>
      <c r="AB1250" s="24"/>
      <c r="AC1250" s="24"/>
      <c r="AD1250" s="24"/>
      <c r="AE1250" s="24"/>
      <c r="AF1250" s="24"/>
      <c r="AG1250" s="24"/>
      <c r="AH1250" s="24"/>
    </row>
    <row r="1251" spans="1:34" ht="90" x14ac:dyDescent="0.25">
      <c r="A1251" s="24" t="str">
        <f>HYPERLINK("https://www.cpso.on.ca/DoctorDetails/Krista-Kornelia-Lemke/0056599-68187","Lemke, Krista Kornelia")</f>
        <v>Lemke, Krista Kornelia</v>
      </c>
      <c r="B1251" s="25" t="s">
        <v>12248</v>
      </c>
      <c r="C1251" s="24" t="s">
        <v>1669</v>
      </c>
      <c r="D1251" s="24" t="s">
        <v>1670</v>
      </c>
      <c r="E1251" s="24" t="s">
        <v>29</v>
      </c>
      <c r="F1251" s="24" t="s">
        <v>47</v>
      </c>
      <c r="G1251" s="24" t="s">
        <v>31</v>
      </c>
      <c r="H1251" s="24" t="s">
        <v>12249</v>
      </c>
      <c r="I1251" s="24" t="s">
        <v>12250</v>
      </c>
      <c r="J1251" s="24" t="s">
        <v>12251</v>
      </c>
      <c r="K1251" s="24" t="s">
        <v>3578</v>
      </c>
      <c r="L1251" s="24" t="s">
        <v>52</v>
      </c>
      <c r="M1251" s="15"/>
      <c r="N1251" s="15"/>
      <c r="O1251" s="15" t="s">
        <v>1191</v>
      </c>
      <c r="P1251" s="15" t="s">
        <v>1677</v>
      </c>
      <c r="Q1251" s="15" t="s">
        <v>12252</v>
      </c>
      <c r="R1251" s="15" t="s">
        <v>1679</v>
      </c>
      <c r="S1251" s="24" t="s">
        <v>39</v>
      </c>
      <c r="T1251" s="24" t="s">
        <v>39</v>
      </c>
      <c r="U1251" s="24" t="s">
        <v>39</v>
      </c>
      <c r="V1251" s="24" t="s">
        <v>39</v>
      </c>
      <c r="W1251" s="24"/>
      <c r="X1251" s="24"/>
      <c r="Y1251" s="15"/>
      <c r="Z1251" s="15"/>
      <c r="AA1251" s="24"/>
      <c r="AB1251" s="24"/>
      <c r="AC1251" s="24"/>
      <c r="AD1251" s="24"/>
      <c r="AE1251" s="24"/>
      <c r="AF1251" s="24"/>
      <c r="AG1251" s="24"/>
      <c r="AH1251" s="24"/>
    </row>
    <row r="1252" spans="1:34" ht="120" x14ac:dyDescent="0.25">
      <c r="A1252" s="24" t="str">
        <f>HYPERLINK("https://www.cpso.on.ca/DoctorDetails/Kristiina-Anne-Sutherland/0238775-85886","Sutherland, Kristiina Anne")</f>
        <v>Sutherland, Kristiina Anne</v>
      </c>
      <c r="B1252" s="25" t="s">
        <v>12253</v>
      </c>
      <c r="C1252" s="24" t="s">
        <v>12254</v>
      </c>
      <c r="D1252" s="24" t="s">
        <v>12255</v>
      </c>
      <c r="E1252" s="24" t="s">
        <v>29</v>
      </c>
      <c r="F1252" s="24" t="s">
        <v>47</v>
      </c>
      <c r="G1252" s="24" t="s">
        <v>31</v>
      </c>
      <c r="H1252" s="24" t="s">
        <v>2613</v>
      </c>
      <c r="I1252" s="24" t="s">
        <v>12256</v>
      </c>
      <c r="J1252" s="24" t="s">
        <v>12257</v>
      </c>
      <c r="K1252" s="24"/>
      <c r="L1252" s="24" t="s">
        <v>328</v>
      </c>
      <c r="M1252" s="15"/>
      <c r="N1252" s="15"/>
      <c r="O1252" s="15"/>
      <c r="P1252" s="15" t="s">
        <v>1074</v>
      </c>
      <c r="Q1252" s="15" t="s">
        <v>12258</v>
      </c>
      <c r="R1252" s="15" t="s">
        <v>12259</v>
      </c>
      <c r="S1252" s="24" t="s">
        <v>39</v>
      </c>
      <c r="T1252" s="24" t="s">
        <v>39</v>
      </c>
      <c r="U1252" s="24" t="s">
        <v>39</v>
      </c>
      <c r="V1252" s="24" t="s">
        <v>39</v>
      </c>
      <c r="W1252" s="24" t="s">
        <v>12260</v>
      </c>
      <c r="X1252" s="24" t="s">
        <v>12261</v>
      </c>
      <c r="Y1252" s="15" t="s">
        <v>12262</v>
      </c>
      <c r="Z1252" s="15" t="s">
        <v>12263</v>
      </c>
      <c r="AA1252" s="24"/>
      <c r="AB1252" s="24"/>
      <c r="AC1252" s="24"/>
      <c r="AD1252" s="24"/>
      <c r="AE1252" s="24"/>
      <c r="AF1252" s="24"/>
      <c r="AG1252" s="24"/>
      <c r="AH1252" s="24"/>
    </row>
    <row r="1253" spans="1:34" ht="75" x14ac:dyDescent="0.25">
      <c r="A1253" s="24" t="str">
        <f>HYPERLINK("https://www.cpso.on.ca/DoctorDetails/Kristina-Davison/0159086-75299","Davison, Kristina")</f>
        <v>Davison, Kristina</v>
      </c>
      <c r="B1253" s="25" t="s">
        <v>12264</v>
      </c>
      <c r="C1253" s="24" t="s">
        <v>3642</v>
      </c>
      <c r="D1253" s="24" t="s">
        <v>1234</v>
      </c>
      <c r="E1253" s="24" t="s">
        <v>29</v>
      </c>
      <c r="F1253" s="24" t="s">
        <v>47</v>
      </c>
      <c r="G1253" s="24" t="s">
        <v>31</v>
      </c>
      <c r="H1253" s="24" t="s">
        <v>282</v>
      </c>
      <c r="I1253" s="24" t="s">
        <v>12265</v>
      </c>
      <c r="J1253" s="24" t="s">
        <v>12266</v>
      </c>
      <c r="K1253" s="24" t="s">
        <v>12267</v>
      </c>
      <c r="L1253" s="24" t="s">
        <v>36</v>
      </c>
      <c r="M1253" s="15"/>
      <c r="N1253" s="15"/>
      <c r="O1253" s="15"/>
      <c r="P1253" s="15" t="s">
        <v>1239</v>
      </c>
      <c r="Q1253" s="15" t="s">
        <v>3659</v>
      </c>
      <c r="R1253" s="15" t="s">
        <v>3649</v>
      </c>
      <c r="S1253" s="24" t="s">
        <v>39</v>
      </c>
      <c r="T1253" s="24" t="s">
        <v>39</v>
      </c>
      <c r="U1253" s="24" t="s">
        <v>39</v>
      </c>
      <c r="V1253" s="24" t="s">
        <v>39</v>
      </c>
      <c r="W1253" s="24"/>
      <c r="X1253" s="24"/>
      <c r="Y1253" s="15"/>
      <c r="Z1253" s="15"/>
      <c r="AA1253" s="24"/>
      <c r="AB1253" s="24"/>
      <c r="AC1253" s="24"/>
      <c r="AD1253" s="24"/>
      <c r="AE1253" s="24"/>
      <c r="AF1253" s="24"/>
      <c r="AG1253" s="24"/>
      <c r="AH1253" s="24"/>
    </row>
    <row r="1254" spans="1:34" ht="90" x14ac:dyDescent="0.25">
      <c r="A1254" s="24" t="str">
        <f>HYPERLINK("https://www.cpso.on.ca/DoctorDetails/Kristina-Marie-Levang/0294447-103519","Levang, Kristina Marie")</f>
        <v>Levang, Kristina Marie</v>
      </c>
      <c r="B1254" s="25" t="s">
        <v>12268</v>
      </c>
      <c r="C1254" s="24" t="s">
        <v>12269</v>
      </c>
      <c r="D1254" s="24" t="s">
        <v>12270</v>
      </c>
      <c r="E1254" s="24" t="s">
        <v>29</v>
      </c>
      <c r="F1254" s="24" t="s">
        <v>47</v>
      </c>
      <c r="G1254" s="24" t="s">
        <v>31</v>
      </c>
      <c r="H1254" s="24" t="s">
        <v>12271</v>
      </c>
      <c r="I1254" s="24" t="s">
        <v>12272</v>
      </c>
      <c r="J1254" s="24" t="s">
        <v>12273</v>
      </c>
      <c r="K1254" s="24"/>
      <c r="L1254" s="24" t="s">
        <v>65</v>
      </c>
      <c r="M1254" s="15" t="s">
        <v>12274</v>
      </c>
      <c r="N1254" s="15"/>
      <c r="O1254" s="15" t="s">
        <v>4747</v>
      </c>
      <c r="P1254" s="15" t="s">
        <v>3308</v>
      </c>
      <c r="Q1254" s="15"/>
      <c r="R1254" s="15" t="s">
        <v>12275</v>
      </c>
      <c r="S1254" s="24" t="s">
        <v>71</v>
      </c>
      <c r="T1254" s="24" t="s">
        <v>39</v>
      </c>
      <c r="U1254" s="24" t="s">
        <v>39</v>
      </c>
      <c r="V1254" s="24" t="s">
        <v>39</v>
      </c>
      <c r="W1254" s="24" t="s">
        <v>12276</v>
      </c>
      <c r="X1254" s="24" t="s">
        <v>12277</v>
      </c>
      <c r="Y1254" s="15" t="s">
        <v>12278</v>
      </c>
      <c r="Z1254" s="15" t="s">
        <v>12279</v>
      </c>
      <c r="AA1254" s="24"/>
      <c r="AB1254" s="24"/>
      <c r="AC1254" s="24"/>
      <c r="AD1254" s="24"/>
      <c r="AE1254" s="24"/>
      <c r="AF1254" s="24"/>
      <c r="AG1254" s="24"/>
      <c r="AH1254" s="24"/>
    </row>
    <row r="1255" spans="1:34" ht="90" x14ac:dyDescent="0.25">
      <c r="A1255" s="24" t="str">
        <f>HYPERLINK("https://www.cpso.on.ca/DoctorDetails/Kristine-Janik-Levesque/0274414-96417","Levesque, Kristine Janik")</f>
        <v>Levesque, Kristine Janik</v>
      </c>
      <c r="B1255" s="25" t="s">
        <v>12280</v>
      </c>
      <c r="C1255" s="24" t="s">
        <v>1266</v>
      </c>
      <c r="D1255" s="24" t="s">
        <v>4534</v>
      </c>
      <c r="E1255" s="24" t="s">
        <v>29</v>
      </c>
      <c r="F1255" s="24" t="s">
        <v>47</v>
      </c>
      <c r="G1255" s="24" t="s">
        <v>813</v>
      </c>
      <c r="H1255" s="24" t="s">
        <v>3042</v>
      </c>
      <c r="I1255" s="24" t="s">
        <v>12281</v>
      </c>
      <c r="J1255" s="24" t="s">
        <v>3072</v>
      </c>
      <c r="K1255" s="24"/>
      <c r="L1255" s="24" t="s">
        <v>84</v>
      </c>
      <c r="M1255" s="15"/>
      <c r="N1255" s="15"/>
      <c r="O1255" s="15" t="s">
        <v>817</v>
      </c>
      <c r="P1255" s="15" t="s">
        <v>12282</v>
      </c>
      <c r="Q1255" s="15" t="s">
        <v>12283</v>
      </c>
      <c r="R1255" s="15" t="s">
        <v>4538</v>
      </c>
      <c r="S1255" s="24" t="s">
        <v>39</v>
      </c>
      <c r="T1255" s="24" t="s">
        <v>39</v>
      </c>
      <c r="U1255" s="24" t="s">
        <v>39</v>
      </c>
      <c r="V1255" s="24" t="s">
        <v>39</v>
      </c>
      <c r="W1255" s="24"/>
      <c r="X1255" s="24"/>
      <c r="Y1255" s="15"/>
      <c r="Z1255" s="15"/>
      <c r="AA1255" s="24"/>
      <c r="AB1255" s="24"/>
      <c r="AC1255" s="24"/>
      <c r="AD1255" s="24"/>
      <c r="AE1255" s="24"/>
      <c r="AF1255" s="24"/>
      <c r="AG1255" s="24"/>
      <c r="AH1255" s="24"/>
    </row>
    <row r="1256" spans="1:34" ht="60" x14ac:dyDescent="0.25">
      <c r="A1256" s="24" t="str">
        <f>HYPERLINK("https://www.cpso.on.ca/DoctorDetails/Krystyna-Mandelman/0030274-42253","Mandelman, Krystyna")</f>
        <v>Mandelman, Krystyna</v>
      </c>
      <c r="B1256" s="25" t="s">
        <v>12284</v>
      </c>
      <c r="C1256" s="24" t="s">
        <v>12285</v>
      </c>
      <c r="D1256" s="24" t="s">
        <v>12286</v>
      </c>
      <c r="E1256" s="24" t="s">
        <v>29</v>
      </c>
      <c r="F1256" s="24" t="s">
        <v>47</v>
      </c>
      <c r="G1256" s="24" t="s">
        <v>1657</v>
      </c>
      <c r="H1256" s="24" t="s">
        <v>12287</v>
      </c>
      <c r="I1256" s="24" t="s">
        <v>12288</v>
      </c>
      <c r="J1256" s="24" t="s">
        <v>12289</v>
      </c>
      <c r="K1256" s="24" t="s">
        <v>12290</v>
      </c>
      <c r="L1256" s="24" t="s">
        <v>52</v>
      </c>
      <c r="M1256" s="15"/>
      <c r="N1256" s="15"/>
      <c r="O1256" s="15"/>
      <c r="P1256" s="15" t="s">
        <v>12291</v>
      </c>
      <c r="Q1256" s="15"/>
      <c r="R1256" s="15" t="s">
        <v>12292</v>
      </c>
      <c r="S1256" s="24" t="s">
        <v>39</v>
      </c>
      <c r="T1256" s="24" t="s">
        <v>39</v>
      </c>
      <c r="U1256" s="24" t="s">
        <v>39</v>
      </c>
      <c r="V1256" s="24" t="s">
        <v>39</v>
      </c>
      <c r="W1256" s="24" t="s">
        <v>12293</v>
      </c>
      <c r="X1256" s="24" t="s">
        <v>7482</v>
      </c>
      <c r="Y1256" s="15" t="s">
        <v>12294</v>
      </c>
      <c r="Z1256" s="15" t="s">
        <v>12295</v>
      </c>
      <c r="AA1256" s="24"/>
      <c r="AB1256" s="24"/>
      <c r="AC1256" s="24"/>
      <c r="AD1256" s="24"/>
      <c r="AE1256" s="24"/>
      <c r="AF1256" s="24"/>
      <c r="AG1256" s="24"/>
      <c r="AH1256" s="24"/>
    </row>
    <row r="1257" spans="1:34" ht="45" x14ac:dyDescent="0.25">
      <c r="A1257" s="24" t="str">
        <f>HYPERLINK("https://www.cpso.on.ca/DoctorDetails/Kumar-Ramadoss-Muthukumarasamy-Naidu/0049102-63080","Naidu, Kumar Ramadoss Muthukumarasamy")</f>
        <v>Naidu, Kumar Ramadoss Muthukumarasamy</v>
      </c>
      <c r="B1257" s="25" t="s">
        <v>12296</v>
      </c>
      <c r="C1257" s="24" t="s">
        <v>12297</v>
      </c>
      <c r="D1257" s="24" t="s">
        <v>12298</v>
      </c>
      <c r="E1257" s="24" t="s">
        <v>12299</v>
      </c>
      <c r="F1257" s="24" t="s">
        <v>30</v>
      </c>
      <c r="G1257" s="24" t="s">
        <v>31</v>
      </c>
      <c r="H1257" s="24" t="s">
        <v>12300</v>
      </c>
      <c r="I1257" s="24" t="s">
        <v>12301</v>
      </c>
      <c r="J1257" s="24" t="s">
        <v>12302</v>
      </c>
      <c r="K1257" s="24"/>
      <c r="L1257" s="24" t="s">
        <v>135</v>
      </c>
      <c r="M1257" s="15"/>
      <c r="N1257" s="15"/>
      <c r="O1257" s="15" t="s">
        <v>10020</v>
      </c>
      <c r="P1257" s="15" t="s">
        <v>2137</v>
      </c>
      <c r="Q1257" s="15"/>
      <c r="R1257" s="15" t="s">
        <v>12303</v>
      </c>
      <c r="S1257" s="24" t="s">
        <v>39</v>
      </c>
      <c r="T1257" s="24" t="s">
        <v>39</v>
      </c>
      <c r="U1257" s="24" t="s">
        <v>39</v>
      </c>
      <c r="V1257" s="24" t="s">
        <v>39</v>
      </c>
      <c r="W1257" s="24" t="s">
        <v>12304</v>
      </c>
      <c r="X1257" s="24" t="s">
        <v>12305</v>
      </c>
      <c r="Y1257" s="15" t="s">
        <v>12306</v>
      </c>
      <c r="Z1257" s="15" t="s">
        <v>12307</v>
      </c>
      <c r="AA1257" s="24"/>
      <c r="AB1257" s="24"/>
      <c r="AC1257" s="24"/>
      <c r="AD1257" s="24"/>
      <c r="AE1257" s="24"/>
      <c r="AF1257" s="24"/>
      <c r="AG1257" s="24"/>
      <c r="AH1257" s="24"/>
    </row>
    <row r="1258" spans="1:34" x14ac:dyDescent="0.25">
      <c r="A1258" s="24" t="str">
        <f>HYPERLINK("https://www.cpso.on.ca/DoctorDetails/Kumarage-Deepthi-Renuka-Gunatilake/0322346-114172","Gunatilake, Kumarage Deepthi Renuka")</f>
        <v>Gunatilake, Kumarage Deepthi Renuka</v>
      </c>
      <c r="B1258" s="25" t="s">
        <v>12308</v>
      </c>
      <c r="C1258" s="24" t="s">
        <v>12309</v>
      </c>
      <c r="D1258" s="24" t="s">
        <v>12310</v>
      </c>
      <c r="E1258" s="24" t="s">
        <v>29</v>
      </c>
      <c r="F1258" s="24" t="s">
        <v>47</v>
      </c>
      <c r="G1258" s="24" t="s">
        <v>31</v>
      </c>
      <c r="H1258" s="24" t="s">
        <v>12311</v>
      </c>
      <c r="I1258" s="24" t="s">
        <v>12312</v>
      </c>
      <c r="J1258" s="24" t="s">
        <v>12313</v>
      </c>
      <c r="K1258" s="24"/>
      <c r="L1258" s="24"/>
      <c r="M1258" s="15"/>
      <c r="N1258" s="15" t="s">
        <v>4485</v>
      </c>
      <c r="O1258" s="15"/>
      <c r="P1258" s="15" t="s">
        <v>3603</v>
      </c>
      <c r="Q1258" s="15"/>
      <c r="R1258" s="15" t="s">
        <v>12314</v>
      </c>
      <c r="S1258" s="24" t="s">
        <v>39</v>
      </c>
      <c r="T1258" s="24" t="s">
        <v>39</v>
      </c>
      <c r="U1258" s="24" t="s">
        <v>39</v>
      </c>
      <c r="V1258" s="24" t="s">
        <v>39</v>
      </c>
      <c r="W1258" s="24"/>
      <c r="X1258" s="24"/>
      <c r="Y1258" s="15"/>
      <c r="Z1258" s="15"/>
      <c r="AA1258" s="24"/>
      <c r="AB1258" s="24"/>
      <c r="AC1258" s="24"/>
      <c r="AD1258" s="24"/>
      <c r="AE1258" s="24"/>
      <c r="AF1258" s="24"/>
      <c r="AG1258" s="24"/>
      <c r="AH1258" s="24"/>
    </row>
    <row r="1259" spans="1:34" ht="75" x14ac:dyDescent="0.25">
      <c r="A1259" s="24" t="str">
        <f>HYPERLINK("https://www.cpso.on.ca/DoctorDetails/Kuppuswami-Shivakumar/0240735-87805","Shivakumar, Kuppuswami")</f>
        <v>Shivakumar, Kuppuswami</v>
      </c>
      <c r="B1259" s="25" t="s">
        <v>12315</v>
      </c>
      <c r="C1259" s="24" t="s">
        <v>12316</v>
      </c>
      <c r="D1259" s="24" t="s">
        <v>12317</v>
      </c>
      <c r="E1259" s="24" t="s">
        <v>29</v>
      </c>
      <c r="F1259" s="24" t="s">
        <v>30</v>
      </c>
      <c r="G1259" s="24" t="s">
        <v>2255</v>
      </c>
      <c r="H1259" s="24" t="s">
        <v>12318</v>
      </c>
      <c r="I1259" s="24" t="s">
        <v>12319</v>
      </c>
      <c r="J1259" s="24" t="s">
        <v>1769</v>
      </c>
      <c r="K1259" s="24" t="s">
        <v>1744</v>
      </c>
      <c r="L1259" s="24" t="s">
        <v>328</v>
      </c>
      <c r="M1259" s="15"/>
      <c r="N1259" s="15" t="s">
        <v>12320</v>
      </c>
      <c r="O1259" s="15"/>
      <c r="P1259" s="15" t="s">
        <v>12321</v>
      </c>
      <c r="Q1259" s="15"/>
      <c r="R1259" s="15" t="s">
        <v>12322</v>
      </c>
      <c r="S1259" s="24" t="s">
        <v>39</v>
      </c>
      <c r="T1259" s="24" t="s">
        <v>39</v>
      </c>
      <c r="U1259" s="24" t="s">
        <v>39</v>
      </c>
      <c r="V1259" s="24" t="s">
        <v>39</v>
      </c>
      <c r="W1259" s="24" t="s">
        <v>12323</v>
      </c>
      <c r="X1259" s="24" t="s">
        <v>12324</v>
      </c>
      <c r="Y1259" s="15" t="s">
        <v>12325</v>
      </c>
      <c r="Z1259" s="15" t="s">
        <v>12326</v>
      </c>
      <c r="AA1259" s="24"/>
      <c r="AB1259" s="24"/>
      <c r="AC1259" s="24"/>
      <c r="AD1259" s="24"/>
      <c r="AE1259" s="24"/>
      <c r="AF1259" s="24"/>
      <c r="AG1259" s="24"/>
      <c r="AH1259" s="24"/>
    </row>
    <row r="1260" spans="1:34" ht="45" x14ac:dyDescent="0.25">
      <c r="A1260" s="24" t="str">
        <f>HYPERLINK("https://www.cpso.on.ca/DoctorDetails/Kwame-Ebule-Badoe/0036131-50107","Badoe, Kwame Ebule")</f>
        <v>Badoe, Kwame Ebule</v>
      </c>
      <c r="B1260" s="25" t="s">
        <v>12327</v>
      </c>
      <c r="C1260" s="24" t="s">
        <v>12328</v>
      </c>
      <c r="D1260" s="24" t="s">
        <v>5834</v>
      </c>
      <c r="E1260" s="24" t="s">
        <v>29</v>
      </c>
      <c r="F1260" s="24" t="s">
        <v>30</v>
      </c>
      <c r="G1260" s="24" t="s">
        <v>12329</v>
      </c>
      <c r="H1260" s="24" t="s">
        <v>2870</v>
      </c>
      <c r="I1260" s="24" t="s">
        <v>12330</v>
      </c>
      <c r="J1260" s="24" t="s">
        <v>12331</v>
      </c>
      <c r="K1260" s="24"/>
      <c r="L1260" s="24" t="s">
        <v>152</v>
      </c>
      <c r="M1260" s="15"/>
      <c r="N1260" s="15"/>
      <c r="O1260" s="15"/>
      <c r="P1260" s="15" t="s">
        <v>316</v>
      </c>
      <c r="Q1260" s="15"/>
      <c r="R1260" s="15" t="s">
        <v>12332</v>
      </c>
      <c r="S1260" s="24" t="s">
        <v>39</v>
      </c>
      <c r="T1260" s="24" t="s">
        <v>39</v>
      </c>
      <c r="U1260" s="24" t="s">
        <v>39</v>
      </c>
      <c r="V1260" s="24" t="s">
        <v>39</v>
      </c>
      <c r="W1260" s="24" t="s">
        <v>12333</v>
      </c>
      <c r="X1260" s="24" t="s">
        <v>12334</v>
      </c>
      <c r="Y1260" s="15"/>
      <c r="Z1260" s="15"/>
      <c r="AA1260" s="24"/>
      <c r="AB1260" s="24"/>
      <c r="AC1260" s="24"/>
      <c r="AD1260" s="24"/>
      <c r="AE1260" s="24"/>
      <c r="AF1260" s="24"/>
      <c r="AG1260" s="24"/>
      <c r="AH1260" s="24"/>
    </row>
    <row r="1261" spans="1:34" ht="60" x14ac:dyDescent="0.25">
      <c r="A1261" s="24" t="str">
        <f>HYPERLINK("https://www.cpso.on.ca/DoctorDetails/Kwame-Julius-McKenzie/0243702-87732","McKenzie, Kwame Julius")</f>
        <v>McKenzie, Kwame Julius</v>
      </c>
      <c r="B1261" s="25" t="s">
        <v>12335</v>
      </c>
      <c r="C1261" s="24" t="s">
        <v>12336</v>
      </c>
      <c r="D1261" s="24" t="s">
        <v>12337</v>
      </c>
      <c r="E1261" s="24" t="s">
        <v>29</v>
      </c>
      <c r="F1261" s="24" t="s">
        <v>30</v>
      </c>
      <c r="G1261" s="24" t="s">
        <v>31</v>
      </c>
      <c r="H1261" s="24" t="s">
        <v>12338</v>
      </c>
      <c r="I1261" s="24" t="s">
        <v>12339</v>
      </c>
      <c r="J1261" s="24" t="s">
        <v>12340</v>
      </c>
      <c r="K1261" s="24"/>
      <c r="L1261" s="24" t="s">
        <v>52</v>
      </c>
      <c r="M1261" s="15"/>
      <c r="N1261" s="15" t="s">
        <v>398</v>
      </c>
      <c r="O1261" s="15" t="s">
        <v>842</v>
      </c>
      <c r="P1261" s="15" t="s">
        <v>12341</v>
      </c>
      <c r="Q1261" s="15"/>
      <c r="R1261" s="15" t="s">
        <v>12342</v>
      </c>
      <c r="S1261" s="24" t="s">
        <v>71</v>
      </c>
      <c r="T1261" s="24" t="s">
        <v>39</v>
      </c>
      <c r="U1261" s="24" t="s">
        <v>39</v>
      </c>
      <c r="V1261" s="24" t="s">
        <v>39</v>
      </c>
      <c r="W1261" s="24"/>
      <c r="X1261" s="24"/>
      <c r="Y1261" s="15"/>
      <c r="Z1261" s="15"/>
      <c r="AA1261" s="24"/>
      <c r="AB1261" s="24"/>
      <c r="AC1261" s="24"/>
      <c r="AD1261" s="24"/>
      <c r="AE1261" s="24"/>
      <c r="AF1261" s="24"/>
      <c r="AG1261" s="24"/>
      <c r="AH1261" s="24"/>
    </row>
    <row r="1262" spans="1:34" ht="135" x14ac:dyDescent="0.25">
      <c r="A1262" s="24" t="str">
        <f>HYPERLINK("https://www.cpso.on.ca/DoctorDetails/Kyle-Allen-Wilfred-Hampe/0056182-67770","Hampe, Kyle Allen Wilfred")</f>
        <v>Hampe, Kyle Allen Wilfred</v>
      </c>
      <c r="B1262" s="25" t="s">
        <v>12343</v>
      </c>
      <c r="C1262" s="24" t="s">
        <v>10005</v>
      </c>
      <c r="D1262" s="24" t="s">
        <v>10006</v>
      </c>
      <c r="E1262" s="24" t="s">
        <v>29</v>
      </c>
      <c r="F1262" s="24" t="s">
        <v>30</v>
      </c>
      <c r="G1262" s="24" t="s">
        <v>31</v>
      </c>
      <c r="H1262" s="24" t="s">
        <v>5513</v>
      </c>
      <c r="I1262" s="24" t="s">
        <v>12344</v>
      </c>
      <c r="J1262" s="24" t="s">
        <v>12345</v>
      </c>
      <c r="K1262" s="24" t="s">
        <v>12346</v>
      </c>
      <c r="L1262" s="24" t="s">
        <v>3849</v>
      </c>
      <c r="M1262" s="15"/>
      <c r="N1262" s="15"/>
      <c r="O1262" s="15" t="s">
        <v>12347</v>
      </c>
      <c r="P1262" s="15" t="s">
        <v>12348</v>
      </c>
      <c r="Q1262" s="15" t="s">
        <v>12349</v>
      </c>
      <c r="R1262" s="15" t="s">
        <v>12350</v>
      </c>
      <c r="S1262" s="24" t="s">
        <v>39</v>
      </c>
      <c r="T1262" s="24" t="s">
        <v>39</v>
      </c>
      <c r="U1262" s="24" t="s">
        <v>39</v>
      </c>
      <c r="V1262" s="24" t="s">
        <v>39</v>
      </c>
      <c r="W1262" s="24"/>
      <c r="X1262" s="24"/>
      <c r="Y1262" s="15"/>
      <c r="Z1262" s="15"/>
      <c r="AA1262" s="24"/>
      <c r="AB1262" s="24"/>
      <c r="AC1262" s="24"/>
      <c r="AD1262" s="24"/>
      <c r="AE1262" s="24"/>
      <c r="AF1262" s="24"/>
      <c r="AG1262" s="24"/>
      <c r="AH1262" s="24"/>
    </row>
    <row r="1263" spans="1:34" ht="75" x14ac:dyDescent="0.25">
      <c r="A1263" s="24" t="str">
        <f>HYPERLINK("https://www.cpso.on.ca/DoctorDetails/Laila-Tasneem-Jamal/0158339-73939","Jamal, Laila Tasneem")</f>
        <v>Jamal, Laila Tasneem</v>
      </c>
      <c r="B1263" s="25" t="s">
        <v>12351</v>
      </c>
      <c r="C1263" s="24" t="s">
        <v>12352</v>
      </c>
      <c r="D1263" s="24" t="s">
        <v>12353</v>
      </c>
      <c r="E1263" s="24" t="s">
        <v>29</v>
      </c>
      <c r="F1263" s="24" t="s">
        <v>47</v>
      </c>
      <c r="G1263" s="24" t="s">
        <v>31</v>
      </c>
      <c r="H1263" s="24" t="s">
        <v>2846</v>
      </c>
      <c r="I1263" s="24" t="s">
        <v>12354</v>
      </c>
      <c r="J1263" s="24" t="s">
        <v>12355</v>
      </c>
      <c r="K1263" s="24" t="s">
        <v>12356</v>
      </c>
      <c r="L1263" s="24" t="s">
        <v>52</v>
      </c>
      <c r="M1263" s="15"/>
      <c r="N1263" s="15"/>
      <c r="O1263" s="15" t="s">
        <v>12357</v>
      </c>
      <c r="P1263" s="15" t="s">
        <v>288</v>
      </c>
      <c r="Q1263" s="15" t="s">
        <v>289</v>
      </c>
      <c r="R1263" s="15" t="s">
        <v>12358</v>
      </c>
      <c r="S1263" s="24" t="s">
        <v>39</v>
      </c>
      <c r="T1263" s="24" t="s">
        <v>39</v>
      </c>
      <c r="U1263" s="24" t="s">
        <v>39</v>
      </c>
      <c r="V1263" s="24" t="s">
        <v>39</v>
      </c>
      <c r="W1263" s="24" t="s">
        <v>12359</v>
      </c>
      <c r="X1263" s="24" t="s">
        <v>7502</v>
      </c>
      <c r="Y1263" s="15" t="s">
        <v>12360</v>
      </c>
      <c r="Z1263" s="15" t="s">
        <v>12361</v>
      </c>
      <c r="AA1263" s="24"/>
      <c r="AB1263" s="24"/>
      <c r="AC1263" s="24"/>
      <c r="AD1263" s="24"/>
      <c r="AE1263" s="24"/>
      <c r="AF1263" s="24"/>
      <c r="AG1263" s="24"/>
      <c r="AH1263" s="24"/>
    </row>
    <row r="1264" spans="1:34" ht="90" x14ac:dyDescent="0.25">
      <c r="A1264" s="24" t="str">
        <f>HYPERLINK("https://www.cpso.on.ca/DoctorDetails/Lakha-Singh/0220343-82982","Singh, Lakha")</f>
        <v>Singh, Lakha</v>
      </c>
      <c r="B1264" s="25" t="s">
        <v>12362</v>
      </c>
      <c r="C1264" s="24" t="s">
        <v>2342</v>
      </c>
      <c r="D1264" s="24" t="s">
        <v>648</v>
      </c>
      <c r="E1264" s="24" t="s">
        <v>29</v>
      </c>
      <c r="F1264" s="24" t="s">
        <v>47</v>
      </c>
      <c r="G1264" s="24" t="s">
        <v>31</v>
      </c>
      <c r="H1264" s="24" t="s">
        <v>12363</v>
      </c>
      <c r="I1264" s="24" t="s">
        <v>12364</v>
      </c>
      <c r="J1264" s="24" t="s">
        <v>1782</v>
      </c>
      <c r="K1264" s="24"/>
      <c r="L1264" s="24" t="s">
        <v>52</v>
      </c>
      <c r="M1264" s="15"/>
      <c r="N1264" s="15"/>
      <c r="O1264" s="15" t="s">
        <v>1784</v>
      </c>
      <c r="P1264" s="15" t="s">
        <v>654</v>
      </c>
      <c r="Q1264" s="15" t="s">
        <v>12365</v>
      </c>
      <c r="R1264" s="15" t="s">
        <v>11315</v>
      </c>
      <c r="S1264" s="24" t="s">
        <v>39</v>
      </c>
      <c r="T1264" s="24" t="s">
        <v>39</v>
      </c>
      <c r="U1264" s="24" t="s">
        <v>39</v>
      </c>
      <c r="V1264" s="24" t="s">
        <v>71</v>
      </c>
      <c r="W1264" s="24" t="s">
        <v>12366</v>
      </c>
      <c r="X1264" s="24" t="s">
        <v>3651</v>
      </c>
      <c r="Y1264" s="15" t="s">
        <v>12367</v>
      </c>
      <c r="Z1264" s="15" t="s">
        <v>12368</v>
      </c>
      <c r="AA1264" s="24"/>
      <c r="AB1264" s="24"/>
      <c r="AC1264" s="24"/>
      <c r="AD1264" s="24"/>
      <c r="AE1264" s="24"/>
      <c r="AF1264" s="24"/>
      <c r="AG1264" s="24"/>
      <c r="AH1264" s="24"/>
    </row>
    <row r="1265" spans="1:34" ht="45" x14ac:dyDescent="0.25">
      <c r="A1265" s="24" t="str">
        <f>HYPERLINK("https://www.cpso.on.ca/DoctorDetails/Lakshmi-Narayana-Pant-Voruganti/0050688-64667","Voruganti, Lakshmi Narayana Pant")</f>
        <v>Voruganti, Lakshmi Narayana Pant</v>
      </c>
      <c r="B1265" s="25" t="s">
        <v>12369</v>
      </c>
      <c r="C1265" s="24" t="s">
        <v>12370</v>
      </c>
      <c r="D1265" s="24" t="s">
        <v>12371</v>
      </c>
      <c r="E1265" s="24" t="s">
        <v>29</v>
      </c>
      <c r="F1265" s="24" t="s">
        <v>30</v>
      </c>
      <c r="G1265" s="24" t="s">
        <v>12372</v>
      </c>
      <c r="H1265" s="24" t="s">
        <v>12373</v>
      </c>
      <c r="I1265" s="24" t="s">
        <v>12374</v>
      </c>
      <c r="J1265" s="24" t="s">
        <v>12375</v>
      </c>
      <c r="K1265" s="24" t="s">
        <v>12376</v>
      </c>
      <c r="L1265" s="24" t="s">
        <v>184</v>
      </c>
      <c r="M1265" s="15" t="s">
        <v>12377</v>
      </c>
      <c r="N1265" s="15"/>
      <c r="O1265" s="15" t="s">
        <v>12378</v>
      </c>
      <c r="P1265" s="15" t="s">
        <v>3232</v>
      </c>
      <c r="Q1265" s="15" t="s">
        <v>12379</v>
      </c>
      <c r="R1265" s="15" t="s">
        <v>12380</v>
      </c>
      <c r="S1265" s="24" t="s">
        <v>39</v>
      </c>
      <c r="T1265" s="24" t="s">
        <v>39</v>
      </c>
      <c r="U1265" s="24" t="s">
        <v>39</v>
      </c>
      <c r="V1265" s="24" t="s">
        <v>39</v>
      </c>
      <c r="W1265" s="24" t="s">
        <v>12381</v>
      </c>
      <c r="X1265" s="24" t="s">
        <v>12382</v>
      </c>
      <c r="Y1265" s="15" t="s">
        <v>12383</v>
      </c>
      <c r="Z1265" s="15" t="s">
        <v>12384</v>
      </c>
      <c r="AA1265" s="24"/>
      <c r="AB1265" s="24"/>
      <c r="AC1265" s="24"/>
      <c r="AD1265" s="24"/>
      <c r="AE1265" s="24"/>
      <c r="AF1265" s="24"/>
      <c r="AG1265" s="24"/>
      <c r="AH1265" s="24"/>
    </row>
    <row r="1266" spans="1:34" ht="75" x14ac:dyDescent="0.25">
      <c r="A1266" s="24" t="str">
        <f>HYPERLINK("https://www.cpso.on.ca/DoctorDetails/Lakshmi-Nivedita-Ravindran/0181396-76541","Ravindran, Lakshmi Nivedita")</f>
        <v>Ravindran, Lakshmi Nivedita</v>
      </c>
      <c r="B1266" s="25" t="s">
        <v>12385</v>
      </c>
      <c r="C1266" s="24" t="s">
        <v>1130</v>
      </c>
      <c r="D1266" s="24" t="s">
        <v>4401</v>
      </c>
      <c r="E1266" s="24" t="s">
        <v>29</v>
      </c>
      <c r="F1266" s="24" t="s">
        <v>47</v>
      </c>
      <c r="G1266" s="24" t="s">
        <v>813</v>
      </c>
      <c r="H1266" s="24" t="s">
        <v>12386</v>
      </c>
      <c r="I1266" s="24" t="s">
        <v>12387</v>
      </c>
      <c r="J1266" s="24" t="s">
        <v>12388</v>
      </c>
      <c r="K1266" s="24"/>
      <c r="L1266" s="24" t="s">
        <v>52</v>
      </c>
      <c r="M1266" s="15"/>
      <c r="N1266" s="15"/>
      <c r="O1266" s="15" t="s">
        <v>981</v>
      </c>
      <c r="P1266" s="15" t="s">
        <v>1149</v>
      </c>
      <c r="Q1266" s="15" t="s">
        <v>3063</v>
      </c>
      <c r="R1266" s="15" t="s">
        <v>4407</v>
      </c>
      <c r="S1266" s="24" t="s">
        <v>39</v>
      </c>
      <c r="T1266" s="24" t="s">
        <v>39</v>
      </c>
      <c r="U1266" s="24" t="s">
        <v>39</v>
      </c>
      <c r="V1266" s="24" t="s">
        <v>39</v>
      </c>
      <c r="W1266" s="24" t="s">
        <v>12389</v>
      </c>
      <c r="X1266" s="24" t="s">
        <v>12390</v>
      </c>
      <c r="Y1266" s="15" t="s">
        <v>12391</v>
      </c>
      <c r="Z1266" s="15" t="s">
        <v>12392</v>
      </c>
      <c r="AA1266" s="24"/>
      <c r="AB1266" s="24"/>
      <c r="AC1266" s="24"/>
      <c r="AD1266" s="24"/>
      <c r="AE1266" s="24"/>
      <c r="AF1266" s="24"/>
      <c r="AG1266" s="24"/>
      <c r="AH1266" s="24"/>
    </row>
    <row r="1267" spans="1:34" ht="120" x14ac:dyDescent="0.25">
      <c r="A1267" s="24" t="str">
        <f>HYPERLINK("https://www.cpso.on.ca/DoctorDetails/Lakyntiew-Patsha-Syiemlieh-Aulakh/0235933-85662","Aulakh, Lakyntiew Patsha Syiemlieh")</f>
        <v>Aulakh, Lakyntiew Patsha Syiemlieh</v>
      </c>
      <c r="B1267" s="25" t="s">
        <v>12393</v>
      </c>
      <c r="C1267" s="24" t="s">
        <v>12394</v>
      </c>
      <c r="D1267" s="24" t="s">
        <v>12395</v>
      </c>
      <c r="E1267" s="24" t="s">
        <v>29</v>
      </c>
      <c r="F1267" s="24" t="s">
        <v>47</v>
      </c>
      <c r="G1267" s="24" t="s">
        <v>691</v>
      </c>
      <c r="H1267" s="24" t="s">
        <v>12396</v>
      </c>
      <c r="I1267" s="24" t="s">
        <v>1742</v>
      </c>
      <c r="J1267" s="24" t="s">
        <v>6599</v>
      </c>
      <c r="K1267" s="24" t="s">
        <v>1744</v>
      </c>
      <c r="L1267" s="24" t="s">
        <v>328</v>
      </c>
      <c r="M1267" s="15"/>
      <c r="N1267" s="15"/>
      <c r="O1267" s="15" t="s">
        <v>12397</v>
      </c>
      <c r="P1267" s="15" t="s">
        <v>425</v>
      </c>
      <c r="Q1267" s="15"/>
      <c r="R1267" s="15" t="s">
        <v>12398</v>
      </c>
      <c r="S1267" s="24" t="s">
        <v>71</v>
      </c>
      <c r="T1267" s="24" t="s">
        <v>39</v>
      </c>
      <c r="U1267" s="24" t="s">
        <v>39</v>
      </c>
      <c r="V1267" s="24" t="s">
        <v>39</v>
      </c>
      <c r="W1267" s="24" t="s">
        <v>12399</v>
      </c>
      <c r="X1267" s="24" t="s">
        <v>12400</v>
      </c>
      <c r="Y1267" s="15" t="s">
        <v>12401</v>
      </c>
      <c r="Z1267" s="15" t="s">
        <v>12402</v>
      </c>
      <c r="AA1267" s="24"/>
      <c r="AB1267" s="24"/>
      <c r="AC1267" s="24"/>
      <c r="AD1267" s="24"/>
      <c r="AE1267" s="24"/>
      <c r="AF1267" s="24"/>
      <c r="AG1267" s="24"/>
      <c r="AH1267" s="24"/>
    </row>
    <row r="1268" spans="1:34" ht="60" x14ac:dyDescent="0.25">
      <c r="A1268" s="24" t="str">
        <f>HYPERLINK("https://www.cpso.on.ca/DoctorDetails/Lamidi-Kolawole-Oyewumi/0030410-42390","Oyewumi, Lamidi Kolawole")</f>
        <v>Oyewumi, Lamidi Kolawole</v>
      </c>
      <c r="B1268" s="25" t="s">
        <v>12403</v>
      </c>
      <c r="C1268" s="24" t="s">
        <v>12404</v>
      </c>
      <c r="D1268" s="24" t="s">
        <v>12405</v>
      </c>
      <c r="E1268" s="24" t="s">
        <v>29</v>
      </c>
      <c r="F1268" s="24" t="s">
        <v>30</v>
      </c>
      <c r="G1268" s="24" t="s">
        <v>148</v>
      </c>
      <c r="H1268" s="24" t="s">
        <v>12406</v>
      </c>
      <c r="I1268" s="24" t="s">
        <v>6952</v>
      </c>
      <c r="J1268" s="24" t="s">
        <v>1340</v>
      </c>
      <c r="K1268" s="24" t="s">
        <v>1341</v>
      </c>
      <c r="L1268" s="24" t="s">
        <v>36</v>
      </c>
      <c r="M1268" s="15"/>
      <c r="N1268" s="15"/>
      <c r="O1268" s="15" t="s">
        <v>3497</v>
      </c>
      <c r="P1268" s="15" t="s">
        <v>5751</v>
      </c>
      <c r="Q1268" s="15"/>
      <c r="R1268" s="15" t="s">
        <v>12407</v>
      </c>
      <c r="S1268" s="24" t="s">
        <v>39</v>
      </c>
      <c r="T1268" s="24" t="s">
        <v>39</v>
      </c>
      <c r="U1268" s="24" t="s">
        <v>39</v>
      </c>
      <c r="V1268" s="24" t="s">
        <v>39</v>
      </c>
      <c r="W1268" s="24" t="s">
        <v>12408</v>
      </c>
      <c r="X1268" s="24" t="s">
        <v>12409</v>
      </c>
      <c r="Y1268" s="15" t="s">
        <v>12410</v>
      </c>
      <c r="Z1268" s="15" t="s">
        <v>12411</v>
      </c>
      <c r="AA1268" s="24"/>
      <c r="AB1268" s="24"/>
      <c r="AC1268" s="24"/>
      <c r="AD1268" s="24"/>
      <c r="AE1268" s="24"/>
      <c r="AF1268" s="24"/>
      <c r="AG1268" s="24"/>
      <c r="AH1268" s="24"/>
    </row>
    <row r="1269" spans="1:34" ht="45" x14ac:dyDescent="0.25">
      <c r="A1269" s="24" t="str">
        <f>HYPERLINK("https://www.cpso.on.ca/DoctorDetails/Lara-Anne-Postl/0262615-92392","Postl, Lara Anne")</f>
        <v>Postl, Lara Anne</v>
      </c>
      <c r="B1269" s="25" t="s">
        <v>12412</v>
      </c>
      <c r="C1269" s="24" t="s">
        <v>7229</v>
      </c>
      <c r="D1269" s="24" t="s">
        <v>12413</v>
      </c>
      <c r="E1269" s="24" t="s">
        <v>29</v>
      </c>
      <c r="F1269" s="24" t="s">
        <v>47</v>
      </c>
      <c r="G1269" s="24" t="s">
        <v>31</v>
      </c>
      <c r="H1269" s="24" t="s">
        <v>12414</v>
      </c>
      <c r="I1269" s="24" t="s">
        <v>12415</v>
      </c>
      <c r="J1269" s="24" t="s">
        <v>12416</v>
      </c>
      <c r="K1269" s="24" t="s">
        <v>12417</v>
      </c>
      <c r="L1269" s="24" t="s">
        <v>84</v>
      </c>
      <c r="M1269" s="15"/>
      <c r="N1269" s="15"/>
      <c r="O1269" s="15" t="s">
        <v>2806</v>
      </c>
      <c r="P1269" s="15" t="s">
        <v>12418</v>
      </c>
      <c r="Q1269" s="15" t="s">
        <v>12419</v>
      </c>
      <c r="R1269" s="15" t="s">
        <v>12420</v>
      </c>
      <c r="S1269" s="24" t="s">
        <v>39</v>
      </c>
      <c r="T1269" s="24" t="s">
        <v>39</v>
      </c>
      <c r="U1269" s="24" t="s">
        <v>39</v>
      </c>
      <c r="V1269" s="24" t="s">
        <v>39</v>
      </c>
      <c r="W1269" s="24"/>
      <c r="X1269" s="24"/>
      <c r="Y1269" s="15"/>
      <c r="Z1269" s="15"/>
      <c r="AA1269" s="24"/>
      <c r="AB1269" s="24"/>
      <c r="AC1269" s="24"/>
      <c r="AD1269" s="24"/>
      <c r="AE1269" s="24"/>
      <c r="AF1269" s="24"/>
      <c r="AG1269" s="24"/>
      <c r="AH1269" s="24"/>
    </row>
    <row r="1270" spans="1:34" ht="90" x14ac:dyDescent="0.25">
      <c r="A1270" s="24" t="str">
        <f>HYPERLINK("https://www.cpso.on.ca/DoctorDetails/Lara-Gill-Propst/0150404-72580","Propst, Lara Gill")</f>
        <v>Propst, Lara Gill</v>
      </c>
      <c r="B1270" s="25" t="s">
        <v>12421</v>
      </c>
      <c r="C1270" s="24" t="s">
        <v>12422</v>
      </c>
      <c r="D1270" s="24" t="s">
        <v>12423</v>
      </c>
      <c r="E1270" s="24" t="s">
        <v>29</v>
      </c>
      <c r="F1270" s="24" t="s">
        <v>47</v>
      </c>
      <c r="G1270" s="24" t="s">
        <v>813</v>
      </c>
      <c r="H1270" s="24" t="s">
        <v>4927</v>
      </c>
      <c r="I1270" s="24" t="s">
        <v>12424</v>
      </c>
      <c r="J1270" s="24" t="s">
        <v>10360</v>
      </c>
      <c r="K1270" s="24" t="s">
        <v>10361</v>
      </c>
      <c r="L1270" s="24" t="s">
        <v>52</v>
      </c>
      <c r="M1270" s="15"/>
      <c r="N1270" s="15"/>
      <c r="O1270" s="15" t="s">
        <v>3112</v>
      </c>
      <c r="P1270" s="15" t="s">
        <v>2338</v>
      </c>
      <c r="Q1270" s="15" t="s">
        <v>12425</v>
      </c>
      <c r="R1270" s="15" t="s">
        <v>12426</v>
      </c>
      <c r="S1270" s="24" t="s">
        <v>39</v>
      </c>
      <c r="T1270" s="24" t="s">
        <v>39</v>
      </c>
      <c r="U1270" s="24" t="s">
        <v>39</v>
      </c>
      <c r="V1270" s="24" t="s">
        <v>39</v>
      </c>
      <c r="W1270" s="24"/>
      <c r="X1270" s="24"/>
      <c r="Y1270" s="15"/>
      <c r="Z1270" s="15"/>
      <c r="AA1270" s="24"/>
      <c r="AB1270" s="24"/>
      <c r="AC1270" s="24"/>
      <c r="AD1270" s="24"/>
      <c r="AE1270" s="24"/>
      <c r="AF1270" s="24"/>
      <c r="AG1270" s="24"/>
      <c r="AH1270" s="24"/>
    </row>
    <row r="1271" spans="1:34" ht="90" x14ac:dyDescent="0.25">
      <c r="A1271" s="24" t="str">
        <f>HYPERLINK("https://www.cpso.on.ca/DoctorDetails/Laura-Anne-Slade/0281040-98671","Slade, Laura Anne")</f>
        <v>Slade, Laura Anne</v>
      </c>
      <c r="B1271" s="25" t="s">
        <v>12427</v>
      </c>
      <c r="C1271" s="24" t="s">
        <v>12428</v>
      </c>
      <c r="D1271" s="24" t="s">
        <v>12429</v>
      </c>
      <c r="E1271" s="24" t="s">
        <v>29</v>
      </c>
      <c r="F1271" s="24" t="s">
        <v>47</v>
      </c>
      <c r="G1271" s="24" t="s">
        <v>31</v>
      </c>
      <c r="H1271" s="24" t="s">
        <v>1386</v>
      </c>
      <c r="I1271" s="24" t="s">
        <v>12430</v>
      </c>
      <c r="J1271" s="24" t="s">
        <v>12431</v>
      </c>
      <c r="K1271" s="24"/>
      <c r="L1271" s="24" t="s">
        <v>36</v>
      </c>
      <c r="M1271" s="15"/>
      <c r="N1271" s="15"/>
      <c r="O1271" s="15"/>
      <c r="P1271" s="15" t="s">
        <v>3512</v>
      </c>
      <c r="Q1271" s="15" t="s">
        <v>12432</v>
      </c>
      <c r="R1271" s="15" t="s">
        <v>12433</v>
      </c>
      <c r="S1271" s="24" t="s">
        <v>39</v>
      </c>
      <c r="T1271" s="24" t="s">
        <v>39</v>
      </c>
      <c r="U1271" s="24" t="s">
        <v>39</v>
      </c>
      <c r="V1271" s="24" t="s">
        <v>39</v>
      </c>
      <c r="W1271" s="24"/>
      <c r="X1271" s="24"/>
      <c r="Y1271" s="15"/>
      <c r="Z1271" s="15"/>
      <c r="AA1271" s="24"/>
      <c r="AB1271" s="24"/>
      <c r="AC1271" s="24"/>
      <c r="AD1271" s="24"/>
      <c r="AE1271" s="24"/>
      <c r="AF1271" s="24"/>
      <c r="AG1271" s="24"/>
      <c r="AH1271" s="24"/>
    </row>
    <row r="1272" spans="1:34" ht="90" x14ac:dyDescent="0.25">
      <c r="A1272" s="24" t="str">
        <f>HYPERLINK("https://www.cpso.on.ca/DoctorDetails/Laura-Beth-Campbell/0250931-88442","Campbell, Laura Beth")</f>
        <v>Campbell, Laura Beth</v>
      </c>
      <c r="B1272" s="25" t="s">
        <v>12434</v>
      </c>
      <c r="C1272" s="24" t="s">
        <v>846</v>
      </c>
      <c r="D1272" s="24" t="s">
        <v>12435</v>
      </c>
      <c r="E1272" s="24" t="s">
        <v>29</v>
      </c>
      <c r="F1272" s="24" t="s">
        <v>47</v>
      </c>
      <c r="G1272" s="24" t="s">
        <v>31</v>
      </c>
      <c r="H1272" s="24" t="s">
        <v>268</v>
      </c>
      <c r="I1272" s="24" t="s">
        <v>12436</v>
      </c>
      <c r="J1272" s="24" t="s">
        <v>12437</v>
      </c>
      <c r="K1272" s="24"/>
      <c r="L1272" s="24" t="s">
        <v>84</v>
      </c>
      <c r="M1272" s="15"/>
      <c r="N1272" s="15"/>
      <c r="O1272" s="15" t="s">
        <v>3289</v>
      </c>
      <c r="P1272" s="15" t="s">
        <v>12438</v>
      </c>
      <c r="Q1272" s="15" t="s">
        <v>12439</v>
      </c>
      <c r="R1272" s="15" t="s">
        <v>12440</v>
      </c>
      <c r="S1272" s="24" t="s">
        <v>39</v>
      </c>
      <c r="T1272" s="24" t="s">
        <v>39</v>
      </c>
      <c r="U1272" s="24" t="s">
        <v>39</v>
      </c>
      <c r="V1272" s="24" t="s">
        <v>39</v>
      </c>
      <c r="W1272" s="24" t="s">
        <v>12441</v>
      </c>
      <c r="X1272" s="24" t="s">
        <v>12442</v>
      </c>
      <c r="Y1272" s="15" t="s">
        <v>12443</v>
      </c>
      <c r="Z1272" s="15" t="s">
        <v>12444</v>
      </c>
      <c r="AA1272" s="24"/>
      <c r="AB1272" s="24"/>
      <c r="AC1272" s="24"/>
      <c r="AD1272" s="24"/>
      <c r="AE1272" s="24"/>
      <c r="AF1272" s="24"/>
      <c r="AG1272" s="24"/>
      <c r="AH1272" s="24"/>
    </row>
    <row r="1273" spans="1:34" ht="90" x14ac:dyDescent="0.25">
      <c r="A1273" s="24" t="str">
        <f>HYPERLINK("https://www.cpso.on.ca/DoctorDetails/Laura-Elizabeth-Gage/0159010-73948","Gage, Laura Elizabeth")</f>
        <v>Gage, Laura Elizabeth</v>
      </c>
      <c r="B1273" s="25" t="s">
        <v>12445</v>
      </c>
      <c r="C1273" s="24" t="s">
        <v>12446</v>
      </c>
      <c r="D1273" s="24" t="s">
        <v>12447</v>
      </c>
      <c r="E1273" s="24" t="s">
        <v>12448</v>
      </c>
      <c r="F1273" s="24" t="s">
        <v>47</v>
      </c>
      <c r="G1273" s="24" t="s">
        <v>31</v>
      </c>
      <c r="H1273" s="24" t="s">
        <v>1235</v>
      </c>
      <c r="I1273" s="24" t="s">
        <v>12449</v>
      </c>
      <c r="J1273" s="24" t="s">
        <v>12450</v>
      </c>
      <c r="K1273" s="24" t="s">
        <v>1190</v>
      </c>
      <c r="L1273" s="24" t="s">
        <v>52</v>
      </c>
      <c r="M1273" s="15"/>
      <c r="N1273" s="15"/>
      <c r="O1273" s="15" t="s">
        <v>12451</v>
      </c>
      <c r="P1273" s="15" t="s">
        <v>12452</v>
      </c>
      <c r="Q1273" s="15" t="s">
        <v>12453</v>
      </c>
      <c r="R1273" s="15" t="s">
        <v>12454</v>
      </c>
      <c r="S1273" s="24" t="s">
        <v>39</v>
      </c>
      <c r="T1273" s="24" t="s">
        <v>39</v>
      </c>
      <c r="U1273" s="24" t="s">
        <v>39</v>
      </c>
      <c r="V1273" s="24" t="s">
        <v>39</v>
      </c>
      <c r="W1273" s="24"/>
      <c r="X1273" s="24"/>
      <c r="Y1273" s="15"/>
      <c r="Z1273" s="15"/>
      <c r="AA1273" s="24"/>
      <c r="AB1273" s="24"/>
      <c r="AC1273" s="24"/>
      <c r="AD1273" s="24"/>
      <c r="AE1273" s="24"/>
      <c r="AF1273" s="24"/>
      <c r="AG1273" s="24"/>
      <c r="AH1273" s="24"/>
    </row>
    <row r="1274" spans="1:34" ht="90" x14ac:dyDescent="0.25">
      <c r="A1274" s="24" t="str">
        <f>HYPERLINK("https://www.cpso.on.ca/DoctorDetails/Laura-Elizabeth-Rosato/0242309-86917","Rosato, Laura Elizabeth")</f>
        <v>Rosato, Laura Elizabeth</v>
      </c>
      <c r="B1274" s="25" t="s">
        <v>12455</v>
      </c>
      <c r="C1274" s="24" t="s">
        <v>1115</v>
      </c>
      <c r="D1274" s="24" t="s">
        <v>600</v>
      </c>
      <c r="E1274" s="24" t="s">
        <v>12456</v>
      </c>
      <c r="F1274" s="24" t="s">
        <v>47</v>
      </c>
      <c r="G1274" s="24" t="s">
        <v>31</v>
      </c>
      <c r="H1274" s="24" t="s">
        <v>4320</v>
      </c>
      <c r="I1274" s="24" t="s">
        <v>12457</v>
      </c>
      <c r="J1274" s="24" t="s">
        <v>4361</v>
      </c>
      <c r="K1274" s="24"/>
      <c r="L1274" s="24" t="s">
        <v>184</v>
      </c>
      <c r="M1274" s="15"/>
      <c r="N1274" s="15"/>
      <c r="O1274" s="15" t="s">
        <v>4363</v>
      </c>
      <c r="P1274" s="15" t="s">
        <v>12458</v>
      </c>
      <c r="Q1274" s="15" t="s">
        <v>12459</v>
      </c>
      <c r="R1274" s="15" t="s">
        <v>12460</v>
      </c>
      <c r="S1274" s="24" t="s">
        <v>39</v>
      </c>
      <c r="T1274" s="24" t="s">
        <v>39</v>
      </c>
      <c r="U1274" s="24" t="s">
        <v>39</v>
      </c>
      <c r="V1274" s="24" t="s">
        <v>39</v>
      </c>
      <c r="W1274" s="24" t="s">
        <v>12461</v>
      </c>
      <c r="X1274" s="24" t="s">
        <v>12462</v>
      </c>
      <c r="Y1274" s="15" t="s">
        <v>12463</v>
      </c>
      <c r="Z1274" s="15" t="s">
        <v>12464</v>
      </c>
      <c r="AA1274" s="24"/>
      <c r="AB1274" s="24"/>
      <c r="AC1274" s="24"/>
      <c r="AD1274" s="24"/>
      <c r="AE1274" s="24"/>
      <c r="AF1274" s="24"/>
      <c r="AG1274" s="24"/>
      <c r="AH1274" s="24"/>
    </row>
    <row r="1275" spans="1:34" ht="105" x14ac:dyDescent="0.25">
      <c r="A1275" s="24" t="str">
        <f>HYPERLINK("https://www.cpso.on.ca/DoctorDetails/Laura-Marie-Williams/0266897-93848","Williams, Laura Marie")</f>
        <v>Williams, Laura Marie</v>
      </c>
      <c r="B1275" s="25" t="s">
        <v>12465</v>
      </c>
      <c r="C1275" s="24" t="s">
        <v>12466</v>
      </c>
      <c r="D1275" s="24" t="s">
        <v>12467</v>
      </c>
      <c r="E1275" s="24" t="s">
        <v>29</v>
      </c>
      <c r="F1275" s="24" t="s">
        <v>47</v>
      </c>
      <c r="G1275" s="24" t="s">
        <v>31</v>
      </c>
      <c r="H1275" s="24" t="s">
        <v>12468</v>
      </c>
      <c r="I1275" s="24" t="s">
        <v>12469</v>
      </c>
      <c r="J1275" s="24" t="s">
        <v>1262</v>
      </c>
      <c r="K1275" s="24"/>
      <c r="L1275" s="24" t="s">
        <v>52</v>
      </c>
      <c r="M1275" s="15"/>
      <c r="N1275" s="15"/>
      <c r="O1275" s="15" t="s">
        <v>981</v>
      </c>
      <c r="P1275" s="15" t="s">
        <v>973</v>
      </c>
      <c r="Q1275" s="15" t="s">
        <v>12470</v>
      </c>
      <c r="R1275" s="15" t="s">
        <v>12471</v>
      </c>
      <c r="S1275" s="24" t="s">
        <v>39</v>
      </c>
      <c r="T1275" s="24" t="s">
        <v>39</v>
      </c>
      <c r="U1275" s="24" t="s">
        <v>39</v>
      </c>
      <c r="V1275" s="24" t="s">
        <v>39</v>
      </c>
      <c r="W1275" s="24"/>
      <c r="X1275" s="24"/>
      <c r="Y1275" s="15"/>
      <c r="Z1275" s="15"/>
      <c r="AA1275" s="24"/>
      <c r="AB1275" s="24"/>
      <c r="AC1275" s="24"/>
      <c r="AD1275" s="24"/>
      <c r="AE1275" s="24"/>
      <c r="AF1275" s="24"/>
      <c r="AG1275" s="24"/>
      <c r="AH1275" s="24"/>
    </row>
    <row r="1276" spans="1:34" ht="90" x14ac:dyDescent="0.25">
      <c r="A1276" s="24" t="str">
        <f>HYPERLINK("https://www.cpso.on.ca/DoctorDetails/Laura-Renee-Lachance/0273294-95341","Lachance, Laura Renee")</f>
        <v>Lachance, Laura Renee</v>
      </c>
      <c r="B1276" s="25" t="s">
        <v>12472</v>
      </c>
      <c r="C1276" s="24" t="s">
        <v>12473</v>
      </c>
      <c r="D1276" s="24" t="s">
        <v>12474</v>
      </c>
      <c r="E1276" s="24" t="s">
        <v>29</v>
      </c>
      <c r="F1276" s="24" t="s">
        <v>47</v>
      </c>
      <c r="G1276" s="24" t="s">
        <v>31</v>
      </c>
      <c r="H1276" s="24" t="s">
        <v>4055</v>
      </c>
      <c r="I1276" s="24" t="s">
        <v>12475</v>
      </c>
      <c r="J1276" s="24" t="s">
        <v>12476</v>
      </c>
      <c r="K1276" s="24" t="s">
        <v>12477</v>
      </c>
      <c r="L1276" s="24" t="s">
        <v>52</v>
      </c>
      <c r="M1276" s="15"/>
      <c r="N1276" s="15"/>
      <c r="O1276" s="15" t="s">
        <v>793</v>
      </c>
      <c r="P1276" s="15" t="s">
        <v>550</v>
      </c>
      <c r="Q1276" s="15" t="s">
        <v>12478</v>
      </c>
      <c r="R1276" s="15" t="s">
        <v>12479</v>
      </c>
      <c r="S1276" s="24" t="s">
        <v>39</v>
      </c>
      <c r="T1276" s="24" t="s">
        <v>39</v>
      </c>
      <c r="U1276" s="24" t="s">
        <v>39</v>
      </c>
      <c r="V1276" s="24" t="s">
        <v>39</v>
      </c>
      <c r="W1276" s="24"/>
      <c r="X1276" s="24"/>
      <c r="Y1276" s="15"/>
      <c r="Z1276" s="15"/>
      <c r="AA1276" s="24"/>
      <c r="AB1276" s="24"/>
      <c r="AC1276" s="24"/>
      <c r="AD1276" s="24"/>
      <c r="AE1276" s="24"/>
      <c r="AF1276" s="24"/>
      <c r="AG1276" s="24"/>
      <c r="AH1276" s="24"/>
    </row>
    <row r="1277" spans="1:34" ht="75" x14ac:dyDescent="0.25">
      <c r="A1277" s="24" t="str">
        <f>HYPERLINK("https://www.cpso.on.ca/DoctorDetails/Laura-Rosanne-Pacione/0282830-99036","Pacione, Laura Rosanne")</f>
        <v>Pacione, Laura Rosanne</v>
      </c>
      <c r="B1277" s="25" t="s">
        <v>12480</v>
      </c>
      <c r="C1277" s="24" t="s">
        <v>12481</v>
      </c>
      <c r="D1277" s="24" t="s">
        <v>12482</v>
      </c>
      <c r="E1277" s="24" t="s">
        <v>29</v>
      </c>
      <c r="F1277" s="24" t="s">
        <v>47</v>
      </c>
      <c r="G1277" s="24" t="s">
        <v>813</v>
      </c>
      <c r="H1277" s="24" t="s">
        <v>444</v>
      </c>
      <c r="I1277" s="24" t="s">
        <v>12483</v>
      </c>
      <c r="J1277" s="24" t="s">
        <v>12484</v>
      </c>
      <c r="K1277" s="24" t="s">
        <v>5723</v>
      </c>
      <c r="L1277" s="24" t="s">
        <v>52</v>
      </c>
      <c r="M1277" s="15"/>
      <c r="N1277" s="15"/>
      <c r="O1277" s="15"/>
      <c r="P1277" s="15" t="s">
        <v>12485</v>
      </c>
      <c r="Q1277" s="15" t="s">
        <v>12486</v>
      </c>
      <c r="R1277" s="15" t="s">
        <v>12487</v>
      </c>
      <c r="S1277" s="24" t="s">
        <v>39</v>
      </c>
      <c r="T1277" s="24" t="s">
        <v>39</v>
      </c>
      <c r="U1277" s="24" t="s">
        <v>39</v>
      </c>
      <c r="V1277" s="24" t="s">
        <v>39</v>
      </c>
      <c r="W1277" s="24"/>
      <c r="X1277" s="24"/>
      <c r="Y1277" s="15"/>
      <c r="Z1277" s="15"/>
      <c r="AA1277" s="24"/>
      <c r="AB1277" s="24"/>
      <c r="AC1277" s="24"/>
      <c r="AD1277" s="24"/>
      <c r="AE1277" s="24"/>
      <c r="AF1277" s="24"/>
      <c r="AG1277" s="24"/>
      <c r="AH1277" s="24"/>
    </row>
    <row r="1278" spans="1:34" ht="75" x14ac:dyDescent="0.25">
      <c r="A1278" s="24" t="str">
        <f>HYPERLINK("https://www.cpso.on.ca/DoctorDetails/Laura-Sarah-Freedman/0311551-108887","Freedman, Laura Sarah")</f>
        <v>Freedman, Laura Sarah</v>
      </c>
      <c r="B1278" s="25" t="s">
        <v>12488</v>
      </c>
      <c r="C1278" s="24" t="s">
        <v>12489</v>
      </c>
      <c r="D1278" s="24" t="s">
        <v>12490</v>
      </c>
      <c r="E1278" s="24" t="s">
        <v>29</v>
      </c>
      <c r="F1278" s="24" t="s">
        <v>47</v>
      </c>
      <c r="G1278" s="24" t="s">
        <v>31</v>
      </c>
      <c r="H1278" s="24" t="s">
        <v>11930</v>
      </c>
      <c r="I1278" s="24" t="s">
        <v>12491</v>
      </c>
      <c r="J1278" s="24" t="s">
        <v>12492</v>
      </c>
      <c r="K1278" s="24"/>
      <c r="L1278" s="24" t="s">
        <v>52</v>
      </c>
      <c r="M1278" s="15"/>
      <c r="N1278" s="15"/>
      <c r="O1278" s="15"/>
      <c r="P1278" s="15" t="s">
        <v>550</v>
      </c>
      <c r="Q1278" s="15" t="s">
        <v>12493</v>
      </c>
      <c r="R1278" s="15" t="s">
        <v>12494</v>
      </c>
      <c r="S1278" s="24" t="s">
        <v>39</v>
      </c>
      <c r="T1278" s="24" t="s">
        <v>39</v>
      </c>
      <c r="U1278" s="24" t="s">
        <v>39</v>
      </c>
      <c r="V1278" s="24" t="s">
        <v>39</v>
      </c>
      <c r="W1278" s="24"/>
      <c r="X1278" s="24"/>
      <c r="Y1278" s="15"/>
      <c r="Z1278" s="15"/>
      <c r="AA1278" s="24"/>
      <c r="AB1278" s="24"/>
      <c r="AC1278" s="24"/>
      <c r="AD1278" s="24"/>
      <c r="AE1278" s="24"/>
      <c r="AF1278" s="24"/>
      <c r="AG1278" s="24"/>
      <c r="AH1278" s="24"/>
    </row>
    <row r="1279" spans="1:34" ht="45" x14ac:dyDescent="0.25">
      <c r="A1279" s="24" t="str">
        <f>HYPERLINK("https://www.cpso.on.ca/DoctorDetails/Lauren-Arlene-Donen/0046891-60869","Donen, Lauren Arlene")</f>
        <v>Donen, Lauren Arlene</v>
      </c>
      <c r="B1279" s="25" t="s">
        <v>12495</v>
      </c>
      <c r="C1279" s="24" t="s">
        <v>10786</v>
      </c>
      <c r="D1279" s="24" t="s">
        <v>10787</v>
      </c>
      <c r="E1279" s="24" t="s">
        <v>29</v>
      </c>
      <c r="F1279" s="24" t="s">
        <v>47</v>
      </c>
      <c r="G1279" s="24" t="s">
        <v>31</v>
      </c>
      <c r="H1279" s="24" t="s">
        <v>1004</v>
      </c>
      <c r="I1279" s="24" t="s">
        <v>12496</v>
      </c>
      <c r="J1279" s="24" t="s">
        <v>12497</v>
      </c>
      <c r="K1279" s="24" t="s">
        <v>12498</v>
      </c>
      <c r="L1279" s="24" t="s">
        <v>84</v>
      </c>
      <c r="M1279" s="15"/>
      <c r="N1279" s="15"/>
      <c r="O1279" s="15"/>
      <c r="P1279" s="15" t="s">
        <v>169</v>
      </c>
      <c r="Q1279" s="15" t="s">
        <v>12499</v>
      </c>
      <c r="R1279" s="15" t="s">
        <v>12500</v>
      </c>
      <c r="S1279" s="24" t="s">
        <v>39</v>
      </c>
      <c r="T1279" s="24" t="s">
        <v>39</v>
      </c>
      <c r="U1279" s="24" t="s">
        <v>39</v>
      </c>
      <c r="V1279" s="24" t="s">
        <v>39</v>
      </c>
      <c r="W1279" s="24" t="s">
        <v>12501</v>
      </c>
      <c r="X1279" s="24" t="s">
        <v>3568</v>
      </c>
      <c r="Y1279" s="15" t="s">
        <v>12502</v>
      </c>
      <c r="Z1279" s="15" t="s">
        <v>12503</v>
      </c>
      <c r="AA1279" s="24"/>
      <c r="AB1279" s="24"/>
      <c r="AC1279" s="24"/>
      <c r="AD1279" s="24"/>
      <c r="AE1279" s="24"/>
      <c r="AF1279" s="24"/>
      <c r="AG1279" s="24"/>
      <c r="AH1279" s="24"/>
    </row>
    <row r="1280" spans="1:34" ht="90" x14ac:dyDescent="0.25">
      <c r="A1280" s="24" t="str">
        <f>HYPERLINK("https://www.cpso.on.ca/DoctorDetails/Lauren-Estelle-Mussen/0281347-98053","Mussen, Lauren Estelle")</f>
        <v>Mussen, Lauren Estelle</v>
      </c>
      <c r="B1280" s="25" t="s">
        <v>12504</v>
      </c>
      <c r="C1280" s="24" t="s">
        <v>544</v>
      </c>
      <c r="D1280" s="24" t="s">
        <v>12505</v>
      </c>
      <c r="E1280" s="24" t="s">
        <v>29</v>
      </c>
      <c r="F1280" s="24" t="s">
        <v>47</v>
      </c>
      <c r="G1280" s="24" t="s">
        <v>31</v>
      </c>
      <c r="H1280" s="24" t="s">
        <v>9858</v>
      </c>
      <c r="I1280" s="24" t="s">
        <v>12506</v>
      </c>
      <c r="J1280" s="24" t="s">
        <v>4810</v>
      </c>
      <c r="K1280" s="24"/>
      <c r="L1280" s="24" t="s">
        <v>135</v>
      </c>
      <c r="M1280" s="15"/>
      <c r="N1280" s="15"/>
      <c r="O1280" s="15"/>
      <c r="P1280" s="15" t="s">
        <v>550</v>
      </c>
      <c r="Q1280" s="15" t="s">
        <v>12507</v>
      </c>
      <c r="R1280" s="15" t="s">
        <v>12508</v>
      </c>
      <c r="S1280" s="24" t="s">
        <v>39</v>
      </c>
      <c r="T1280" s="24" t="s">
        <v>39</v>
      </c>
      <c r="U1280" s="24" t="s">
        <v>39</v>
      </c>
      <c r="V1280" s="24" t="s">
        <v>39</v>
      </c>
      <c r="W1280" s="24"/>
      <c r="X1280" s="24"/>
      <c r="Y1280" s="15"/>
      <c r="Z1280" s="15"/>
      <c r="AA1280" s="24"/>
      <c r="AB1280" s="24"/>
      <c r="AC1280" s="24"/>
      <c r="AD1280" s="24"/>
      <c r="AE1280" s="24"/>
      <c r="AF1280" s="24"/>
      <c r="AG1280" s="24"/>
      <c r="AH1280" s="24"/>
    </row>
    <row r="1281" spans="1:34" ht="30" x14ac:dyDescent="0.25">
      <c r="A1281" s="24" t="str">
        <f>HYPERLINK("https://www.cpso.on.ca/DoctorDetails/Laurence-Jerome/0028718-33541","Jerome, Laurence")</f>
        <v>Jerome, Laurence</v>
      </c>
      <c r="B1281" s="25" t="s">
        <v>12509</v>
      </c>
      <c r="C1281" s="24" t="s">
        <v>6956</v>
      </c>
      <c r="D1281" s="24" t="s">
        <v>12510</v>
      </c>
      <c r="E1281" s="24" t="s">
        <v>29</v>
      </c>
      <c r="F1281" s="24" t="s">
        <v>30</v>
      </c>
      <c r="G1281" s="24" t="s">
        <v>31</v>
      </c>
      <c r="H1281" s="24" t="s">
        <v>12511</v>
      </c>
      <c r="I1281" s="24" t="s">
        <v>12512</v>
      </c>
      <c r="J1281" s="24" t="s">
        <v>12513</v>
      </c>
      <c r="K1281" s="24" t="s">
        <v>12514</v>
      </c>
      <c r="L1281" s="24" t="s">
        <v>135</v>
      </c>
      <c r="M1281" s="15"/>
      <c r="N1281" s="15"/>
      <c r="O1281" s="15"/>
      <c r="P1281" s="15" t="s">
        <v>3636</v>
      </c>
      <c r="Q1281" s="15"/>
      <c r="R1281" s="15" t="s">
        <v>12515</v>
      </c>
      <c r="S1281" s="24" t="s">
        <v>39</v>
      </c>
      <c r="T1281" s="24" t="s">
        <v>39</v>
      </c>
      <c r="U1281" s="24" t="s">
        <v>39</v>
      </c>
      <c r="V1281" s="24" t="s">
        <v>39</v>
      </c>
      <c r="W1281" s="24" t="s">
        <v>12516</v>
      </c>
      <c r="X1281" s="24" t="s">
        <v>2830</v>
      </c>
      <c r="Y1281" s="15" t="s">
        <v>12517</v>
      </c>
      <c r="Z1281" s="15" t="s">
        <v>12518</v>
      </c>
      <c r="AA1281" s="24"/>
      <c r="AB1281" s="24"/>
      <c r="AC1281" s="24"/>
      <c r="AD1281" s="24"/>
      <c r="AE1281" s="24"/>
      <c r="AF1281" s="24"/>
      <c r="AG1281" s="24"/>
      <c r="AH1281" s="24"/>
    </row>
    <row r="1282" spans="1:34" ht="30" x14ac:dyDescent="0.25">
      <c r="A1282" s="24" t="str">
        <f>HYPERLINK("https://www.cpso.on.ca/DoctorDetails/Laurie-Ann-Potter/0300519-105454","Potter, Laurie Ann")</f>
        <v>Potter, Laurie Ann</v>
      </c>
      <c r="B1282" s="25" t="s">
        <v>12519</v>
      </c>
      <c r="C1282" s="24" t="s">
        <v>5190</v>
      </c>
      <c r="D1282" s="24" t="s">
        <v>5191</v>
      </c>
      <c r="E1282" s="24" t="s">
        <v>29</v>
      </c>
      <c r="F1282" s="24" t="s">
        <v>47</v>
      </c>
      <c r="G1282" s="24" t="s">
        <v>31</v>
      </c>
      <c r="H1282" s="24" t="s">
        <v>12520</v>
      </c>
      <c r="I1282" s="24" t="s">
        <v>2614</v>
      </c>
      <c r="J1282" s="24" t="s">
        <v>3661</v>
      </c>
      <c r="K1282" s="24"/>
      <c r="L1282" s="24" t="s">
        <v>152</v>
      </c>
      <c r="M1282" s="15"/>
      <c r="N1282" s="15"/>
      <c r="O1282" s="15" t="s">
        <v>1539</v>
      </c>
      <c r="P1282" s="15" t="s">
        <v>488</v>
      </c>
      <c r="Q1282" s="15"/>
      <c r="R1282" s="15" t="s">
        <v>12521</v>
      </c>
      <c r="S1282" s="24" t="s">
        <v>39</v>
      </c>
      <c r="T1282" s="24" t="s">
        <v>39</v>
      </c>
      <c r="U1282" s="24" t="s">
        <v>39</v>
      </c>
      <c r="V1282" s="24" t="s">
        <v>39</v>
      </c>
      <c r="W1282" s="24" t="s">
        <v>12522</v>
      </c>
      <c r="X1282" s="24" t="s">
        <v>12523</v>
      </c>
      <c r="Y1282" s="15" t="s">
        <v>12524</v>
      </c>
      <c r="Z1282" s="15" t="s">
        <v>3666</v>
      </c>
      <c r="AA1282" s="24"/>
      <c r="AB1282" s="24"/>
      <c r="AC1282" s="24"/>
      <c r="AD1282" s="24"/>
      <c r="AE1282" s="24"/>
      <c r="AF1282" s="24"/>
      <c r="AG1282" s="24"/>
      <c r="AH1282" s="24"/>
    </row>
    <row r="1283" spans="1:34" x14ac:dyDescent="0.25">
      <c r="A1283" s="24" t="str">
        <f>HYPERLINK("https://www.cpso.on.ca/DoctorDetails/Lawrence-Howard-Hoffman/0039811-53787","Hoffman, Lawrence Howard")</f>
        <v>Hoffman, Lawrence Howard</v>
      </c>
      <c r="B1283" s="25" t="s">
        <v>12525</v>
      </c>
      <c r="C1283" s="24" t="s">
        <v>12526</v>
      </c>
      <c r="D1283" s="24" t="s">
        <v>12527</v>
      </c>
      <c r="E1283" s="24" t="s">
        <v>29</v>
      </c>
      <c r="F1283" s="24" t="s">
        <v>30</v>
      </c>
      <c r="G1283" s="24" t="s">
        <v>813</v>
      </c>
      <c r="H1283" s="24" t="s">
        <v>11037</v>
      </c>
      <c r="I1283" s="24" t="s">
        <v>12528</v>
      </c>
      <c r="J1283" s="24" t="s">
        <v>12529</v>
      </c>
      <c r="K1283" s="24"/>
      <c r="L1283" s="24"/>
      <c r="M1283" s="15"/>
      <c r="N1283" s="15" t="s">
        <v>710</v>
      </c>
      <c r="O1283" s="15"/>
      <c r="P1283" s="15" t="s">
        <v>499</v>
      </c>
      <c r="Q1283" s="15"/>
      <c r="R1283" s="15" t="s">
        <v>12530</v>
      </c>
      <c r="S1283" s="24" t="s">
        <v>39</v>
      </c>
      <c r="T1283" s="24" t="s">
        <v>39</v>
      </c>
      <c r="U1283" s="24" t="s">
        <v>39</v>
      </c>
      <c r="V1283" s="24" t="s">
        <v>39</v>
      </c>
      <c r="W1283" s="24"/>
      <c r="X1283" s="24"/>
      <c r="Y1283" s="15"/>
      <c r="Z1283" s="15"/>
      <c r="AA1283" s="24"/>
      <c r="AB1283" s="24"/>
      <c r="AC1283" s="24"/>
      <c r="AD1283" s="24"/>
      <c r="AE1283" s="24"/>
      <c r="AF1283" s="24"/>
      <c r="AG1283" s="24"/>
      <c r="AH1283" s="24"/>
    </row>
    <row r="1284" spans="1:34" ht="30" x14ac:dyDescent="0.25">
      <c r="A1284" s="24" t="str">
        <f>HYPERLINK("https://www.cpso.on.ca/DoctorDetails/Lawrence-Lyon-Chad/0024420-29242","Chad, Lawrence Lyon")</f>
        <v>Chad, Lawrence Lyon</v>
      </c>
      <c r="B1284" s="25" t="s">
        <v>12531</v>
      </c>
      <c r="C1284" s="24" t="s">
        <v>7649</v>
      </c>
      <c r="D1284" s="24" t="s">
        <v>7650</v>
      </c>
      <c r="E1284" s="24" t="s">
        <v>29</v>
      </c>
      <c r="F1284" s="24" t="s">
        <v>30</v>
      </c>
      <c r="G1284" s="24" t="s">
        <v>31</v>
      </c>
      <c r="H1284" s="24" t="s">
        <v>9168</v>
      </c>
      <c r="I1284" s="24" t="s">
        <v>12532</v>
      </c>
      <c r="J1284" s="24" t="s">
        <v>12533</v>
      </c>
      <c r="K1284" s="24" t="s">
        <v>12534</v>
      </c>
      <c r="L1284" s="24" t="s">
        <v>52</v>
      </c>
      <c r="M1284" s="15"/>
      <c r="N1284" s="15"/>
      <c r="O1284" s="15" t="s">
        <v>1191</v>
      </c>
      <c r="P1284" s="15" t="s">
        <v>7499</v>
      </c>
      <c r="Q1284" s="15"/>
      <c r="R1284" s="15" t="s">
        <v>12535</v>
      </c>
      <c r="S1284" s="24" t="s">
        <v>39</v>
      </c>
      <c r="T1284" s="24" t="s">
        <v>39</v>
      </c>
      <c r="U1284" s="24" t="s">
        <v>39</v>
      </c>
      <c r="V1284" s="24" t="s">
        <v>39</v>
      </c>
      <c r="W1284" s="24"/>
      <c r="X1284" s="24"/>
      <c r="Y1284" s="15"/>
      <c r="Z1284" s="15"/>
      <c r="AA1284" s="24"/>
      <c r="AB1284" s="24"/>
      <c r="AC1284" s="24"/>
      <c r="AD1284" s="24"/>
      <c r="AE1284" s="24"/>
      <c r="AF1284" s="24"/>
      <c r="AG1284" s="24"/>
      <c r="AH1284" s="24"/>
    </row>
    <row r="1285" spans="1:34" ht="30" x14ac:dyDescent="0.25">
      <c r="A1285" s="24" t="str">
        <f>HYPERLINK("https://www.cpso.on.ca/DoctorDetails/Lawrence-Raphael-Reznek/0050682-64661","Reznek, Lawrence Raphael")</f>
        <v>Reznek, Lawrence Raphael</v>
      </c>
      <c r="B1285" s="25" t="s">
        <v>12536</v>
      </c>
      <c r="C1285" s="24" t="s">
        <v>12537</v>
      </c>
      <c r="D1285" s="24" t="s">
        <v>12538</v>
      </c>
      <c r="E1285" s="24" t="s">
        <v>29</v>
      </c>
      <c r="F1285" s="24" t="s">
        <v>30</v>
      </c>
      <c r="G1285" s="24" t="s">
        <v>31</v>
      </c>
      <c r="H1285" s="24" t="s">
        <v>12539</v>
      </c>
      <c r="I1285" s="24" t="s">
        <v>12540</v>
      </c>
      <c r="J1285" s="24" t="s">
        <v>12541</v>
      </c>
      <c r="K1285" s="24" t="s">
        <v>12542</v>
      </c>
      <c r="L1285" s="24" t="s">
        <v>52</v>
      </c>
      <c r="M1285" s="15"/>
      <c r="N1285" s="15"/>
      <c r="O1285" s="15" t="s">
        <v>1397</v>
      </c>
      <c r="P1285" s="15" t="s">
        <v>617</v>
      </c>
      <c r="Q1285" s="15"/>
      <c r="R1285" s="15" t="s">
        <v>12543</v>
      </c>
      <c r="S1285" s="24" t="s">
        <v>39</v>
      </c>
      <c r="T1285" s="24" t="s">
        <v>39</v>
      </c>
      <c r="U1285" s="24" t="s">
        <v>39</v>
      </c>
      <c r="V1285" s="24" t="s">
        <v>39</v>
      </c>
      <c r="W1285" s="24" t="s">
        <v>12544</v>
      </c>
      <c r="X1285" s="24" t="s">
        <v>12545</v>
      </c>
      <c r="Y1285" s="15" t="s">
        <v>12546</v>
      </c>
      <c r="Z1285" s="15" t="s">
        <v>12547</v>
      </c>
      <c r="AA1285" s="24"/>
      <c r="AB1285" s="24"/>
      <c r="AC1285" s="24"/>
      <c r="AD1285" s="24"/>
      <c r="AE1285" s="24"/>
      <c r="AF1285" s="24"/>
      <c r="AG1285" s="24"/>
      <c r="AH1285" s="24"/>
    </row>
    <row r="1286" spans="1:34" ht="60" x14ac:dyDescent="0.25">
      <c r="A1286" s="24" t="str">
        <f>HYPERLINK("https://www.cpso.on.ca/DoctorDetails/Lawrence-Samuel-Martin/0044661-58639","Martin, Lawrence Samuel")</f>
        <v>Martin, Lawrence Samuel</v>
      </c>
      <c r="B1286" s="25" t="s">
        <v>12548</v>
      </c>
      <c r="C1286" s="24" t="s">
        <v>3161</v>
      </c>
      <c r="D1286" s="24" t="s">
        <v>12549</v>
      </c>
      <c r="E1286" s="24" t="s">
        <v>29</v>
      </c>
      <c r="F1286" s="24" t="s">
        <v>30</v>
      </c>
      <c r="G1286" s="24" t="s">
        <v>31</v>
      </c>
      <c r="H1286" s="24" t="s">
        <v>1981</v>
      </c>
      <c r="I1286" s="24" t="s">
        <v>12550</v>
      </c>
      <c r="J1286" s="24" t="s">
        <v>7624</v>
      </c>
      <c r="K1286" s="24"/>
      <c r="L1286" s="24" t="s">
        <v>184</v>
      </c>
      <c r="M1286" s="15"/>
      <c r="N1286" s="15"/>
      <c r="O1286" s="15" t="s">
        <v>4354</v>
      </c>
      <c r="P1286" s="15" t="s">
        <v>3433</v>
      </c>
      <c r="Q1286" s="15" t="s">
        <v>12551</v>
      </c>
      <c r="R1286" s="15" t="s">
        <v>12552</v>
      </c>
      <c r="S1286" s="24" t="s">
        <v>39</v>
      </c>
      <c r="T1286" s="24" t="s">
        <v>39</v>
      </c>
      <c r="U1286" s="24" t="s">
        <v>39</v>
      </c>
      <c r="V1286" s="24" t="s">
        <v>39</v>
      </c>
      <c r="W1286" s="24" t="s">
        <v>12553</v>
      </c>
      <c r="X1286" s="24" t="s">
        <v>12554</v>
      </c>
      <c r="Y1286" s="15" t="s">
        <v>12555</v>
      </c>
      <c r="Z1286" s="15" t="s">
        <v>12556</v>
      </c>
      <c r="AA1286" s="24"/>
      <c r="AB1286" s="24"/>
      <c r="AC1286" s="24"/>
      <c r="AD1286" s="24"/>
      <c r="AE1286" s="24"/>
      <c r="AF1286" s="24"/>
      <c r="AG1286" s="24"/>
      <c r="AH1286" s="24"/>
    </row>
    <row r="1287" spans="1:34" x14ac:dyDescent="0.25">
      <c r="A1287" s="24" t="str">
        <f>HYPERLINK("https://www.cpso.on.ca/DoctorDetails/Lawrence-Sandford-Horodezky/0019802-24590","Horodezky, Lawrence Sandford")</f>
        <v>Horodezky, Lawrence Sandford</v>
      </c>
      <c r="B1287" s="25" t="s">
        <v>12557</v>
      </c>
      <c r="C1287" s="24" t="s">
        <v>12558</v>
      </c>
      <c r="D1287" s="24" t="s">
        <v>12559</v>
      </c>
      <c r="E1287" s="24" t="s">
        <v>29</v>
      </c>
      <c r="F1287" s="24" t="s">
        <v>30</v>
      </c>
      <c r="G1287" s="24" t="s">
        <v>31</v>
      </c>
      <c r="H1287" s="24" t="s">
        <v>12560</v>
      </c>
      <c r="I1287" s="24" t="s">
        <v>12561</v>
      </c>
      <c r="J1287" s="24" t="s">
        <v>12562</v>
      </c>
      <c r="K1287" s="24" t="s">
        <v>12563</v>
      </c>
      <c r="L1287" s="24" t="s">
        <v>52</v>
      </c>
      <c r="M1287" s="15"/>
      <c r="N1287" s="15"/>
      <c r="O1287" s="15" t="s">
        <v>1201</v>
      </c>
      <c r="P1287" s="15" t="s">
        <v>459</v>
      </c>
      <c r="Q1287" s="15"/>
      <c r="R1287" s="15" t="s">
        <v>12564</v>
      </c>
      <c r="S1287" s="24" t="s">
        <v>39</v>
      </c>
      <c r="T1287" s="24" t="s">
        <v>39</v>
      </c>
      <c r="U1287" s="24" t="s">
        <v>39</v>
      </c>
      <c r="V1287" s="24" t="s">
        <v>39</v>
      </c>
      <c r="W1287" s="24" t="s">
        <v>12565</v>
      </c>
      <c r="X1287" s="24" t="s">
        <v>12566</v>
      </c>
      <c r="Y1287" s="15" t="s">
        <v>12567</v>
      </c>
      <c r="Z1287" s="15" t="s">
        <v>12568</v>
      </c>
      <c r="AA1287" s="24"/>
      <c r="AB1287" s="24"/>
      <c r="AC1287" s="24"/>
      <c r="AD1287" s="24"/>
      <c r="AE1287" s="24"/>
      <c r="AF1287" s="24"/>
      <c r="AG1287" s="24"/>
      <c r="AH1287" s="24"/>
    </row>
    <row r="1288" spans="1:34" ht="75" x14ac:dyDescent="0.25">
      <c r="A1288" s="24" t="str">
        <f>HYPERLINK("https://www.cpso.on.ca/DoctorDetails/Leah-Ruth-Marie-LaymanPleet/0251055-88652","Layman-Pleet, Leah Ruth Marie")</f>
        <v>Layman-Pleet, Leah Ruth Marie</v>
      </c>
      <c r="B1288" s="25" t="s">
        <v>12569</v>
      </c>
      <c r="C1288" s="24" t="s">
        <v>846</v>
      </c>
      <c r="D1288" s="24" t="s">
        <v>600</v>
      </c>
      <c r="E1288" s="24" t="s">
        <v>29</v>
      </c>
      <c r="F1288" s="24" t="s">
        <v>47</v>
      </c>
      <c r="G1288" s="24" t="s">
        <v>31</v>
      </c>
      <c r="H1288" s="24" t="s">
        <v>8722</v>
      </c>
      <c r="I1288" s="24" t="s">
        <v>12570</v>
      </c>
      <c r="J1288" s="24" t="s">
        <v>7929</v>
      </c>
      <c r="K1288" s="24" t="s">
        <v>12571</v>
      </c>
      <c r="L1288" s="24" t="s">
        <v>84</v>
      </c>
      <c r="M1288" s="15" t="s">
        <v>12572</v>
      </c>
      <c r="N1288" s="15"/>
      <c r="O1288" s="15" t="s">
        <v>2156</v>
      </c>
      <c r="P1288" s="15" t="s">
        <v>12573</v>
      </c>
      <c r="Q1288" s="15" t="s">
        <v>12574</v>
      </c>
      <c r="R1288" s="15" t="s">
        <v>853</v>
      </c>
      <c r="S1288" s="24" t="s">
        <v>39</v>
      </c>
      <c r="T1288" s="24" t="s">
        <v>39</v>
      </c>
      <c r="U1288" s="24" t="s">
        <v>39</v>
      </c>
      <c r="V1288" s="24" t="s">
        <v>39</v>
      </c>
      <c r="W1288" s="24"/>
      <c r="X1288" s="24"/>
      <c r="Y1288" s="15"/>
      <c r="Z1288" s="15"/>
      <c r="AA1288" s="24"/>
      <c r="AB1288" s="24"/>
      <c r="AC1288" s="24"/>
      <c r="AD1288" s="24"/>
      <c r="AE1288" s="24"/>
      <c r="AF1288" s="24"/>
      <c r="AG1288" s="24"/>
      <c r="AH1288" s="24"/>
    </row>
    <row r="1289" spans="1:34" ht="75" x14ac:dyDescent="0.25">
      <c r="A1289" s="24" t="str">
        <f>HYPERLINK("https://www.cpso.on.ca/DoctorDetails/Leanna-Elizabeth-Isserlin/0214309-81390","Isserlin, Leanna Elizabeth")</f>
        <v>Isserlin, Leanna Elizabeth</v>
      </c>
      <c r="B1289" s="25" t="s">
        <v>12575</v>
      </c>
      <c r="C1289" s="24" t="s">
        <v>12576</v>
      </c>
      <c r="D1289" s="24" t="s">
        <v>12577</v>
      </c>
      <c r="E1289" s="24" t="s">
        <v>12578</v>
      </c>
      <c r="F1289" s="24" t="s">
        <v>47</v>
      </c>
      <c r="G1289" s="24" t="s">
        <v>31</v>
      </c>
      <c r="H1289" s="24" t="s">
        <v>7758</v>
      </c>
      <c r="I1289" s="24" t="s">
        <v>12579</v>
      </c>
      <c r="J1289" s="24" t="s">
        <v>7068</v>
      </c>
      <c r="K1289" s="24"/>
      <c r="L1289" s="24" t="s">
        <v>84</v>
      </c>
      <c r="M1289" s="15"/>
      <c r="N1289" s="15"/>
      <c r="O1289" s="15" t="s">
        <v>2806</v>
      </c>
      <c r="P1289" s="15" t="s">
        <v>12580</v>
      </c>
      <c r="Q1289" s="15" t="s">
        <v>8897</v>
      </c>
      <c r="R1289" s="15" t="s">
        <v>12581</v>
      </c>
      <c r="S1289" s="24" t="s">
        <v>39</v>
      </c>
      <c r="T1289" s="24" t="s">
        <v>39</v>
      </c>
      <c r="U1289" s="24" t="s">
        <v>39</v>
      </c>
      <c r="V1289" s="24" t="s">
        <v>39</v>
      </c>
      <c r="W1289" s="24" t="s">
        <v>12582</v>
      </c>
      <c r="X1289" s="24" t="s">
        <v>12583</v>
      </c>
      <c r="Y1289" s="15" t="s">
        <v>12584</v>
      </c>
      <c r="Z1289" s="15" t="s">
        <v>12585</v>
      </c>
      <c r="AA1289" s="24"/>
      <c r="AB1289" s="24"/>
      <c r="AC1289" s="24"/>
      <c r="AD1289" s="24"/>
      <c r="AE1289" s="24"/>
      <c r="AF1289" s="24"/>
      <c r="AG1289" s="24"/>
      <c r="AH1289" s="24"/>
    </row>
    <row r="1290" spans="1:34" ht="75" x14ac:dyDescent="0.25">
      <c r="A1290" s="24" t="str">
        <f>HYPERLINK("https://www.cpso.on.ca/DoctorDetails/Leanne-Allison-Wagg/0242531-86606","Wagg, Leanne Allison")</f>
        <v>Wagg, Leanne Allison</v>
      </c>
      <c r="B1290" s="25" t="s">
        <v>12586</v>
      </c>
      <c r="C1290" s="24" t="s">
        <v>1115</v>
      </c>
      <c r="D1290" s="24" t="s">
        <v>1594</v>
      </c>
      <c r="E1290" s="24" t="s">
        <v>29</v>
      </c>
      <c r="F1290" s="24" t="s">
        <v>47</v>
      </c>
      <c r="G1290" s="24" t="s">
        <v>31</v>
      </c>
      <c r="H1290" s="24" t="s">
        <v>4717</v>
      </c>
      <c r="I1290" s="24" t="s">
        <v>12587</v>
      </c>
      <c r="J1290" s="24" t="s">
        <v>12588</v>
      </c>
      <c r="K1290" s="24" t="s">
        <v>1936</v>
      </c>
      <c r="L1290" s="24" t="s">
        <v>36</v>
      </c>
      <c r="M1290" s="15"/>
      <c r="N1290" s="15"/>
      <c r="O1290" s="15"/>
      <c r="P1290" s="15" t="s">
        <v>1074</v>
      </c>
      <c r="Q1290" s="15" t="s">
        <v>1601</v>
      </c>
      <c r="R1290" s="15" t="s">
        <v>1602</v>
      </c>
      <c r="S1290" s="24" t="s">
        <v>39</v>
      </c>
      <c r="T1290" s="24" t="s">
        <v>39</v>
      </c>
      <c r="U1290" s="24" t="s">
        <v>39</v>
      </c>
      <c r="V1290" s="24" t="s">
        <v>39</v>
      </c>
      <c r="W1290" s="24"/>
      <c r="X1290" s="24"/>
      <c r="Y1290" s="15"/>
      <c r="Z1290" s="15"/>
      <c r="AA1290" s="24"/>
      <c r="AB1290" s="24"/>
      <c r="AC1290" s="24"/>
      <c r="AD1290" s="24"/>
      <c r="AE1290" s="24"/>
      <c r="AF1290" s="24"/>
      <c r="AG1290" s="24"/>
      <c r="AH1290" s="24"/>
    </row>
    <row r="1291" spans="1:34" ht="45" x14ac:dyDescent="0.25">
      <c r="A1291" s="24" t="str">
        <f>HYPERLINK("https://www.cpso.on.ca/DoctorDetails/Leanne-Bridget-Martin/0315872-111453","Martin, Leanne Bridget")</f>
        <v>Martin, Leanne Bridget</v>
      </c>
      <c r="B1291" s="25" t="s">
        <v>12589</v>
      </c>
      <c r="C1291" s="24" t="s">
        <v>12590</v>
      </c>
      <c r="D1291" s="24" t="s">
        <v>12591</v>
      </c>
      <c r="E1291" s="24" t="s">
        <v>29</v>
      </c>
      <c r="F1291" s="24" t="s">
        <v>47</v>
      </c>
      <c r="G1291" s="24" t="s">
        <v>31</v>
      </c>
      <c r="H1291" s="24" t="s">
        <v>12592</v>
      </c>
      <c r="I1291" s="24" t="s">
        <v>12593</v>
      </c>
      <c r="J1291" s="24" t="s">
        <v>12594</v>
      </c>
      <c r="K1291" s="24"/>
      <c r="L1291" s="24" t="s">
        <v>152</v>
      </c>
      <c r="M1291" s="15"/>
      <c r="N1291" s="15" t="s">
        <v>167</v>
      </c>
      <c r="O1291" s="15"/>
      <c r="P1291" s="15" t="s">
        <v>354</v>
      </c>
      <c r="Q1291" s="15" t="s">
        <v>12595</v>
      </c>
      <c r="R1291" s="15" t="s">
        <v>12596</v>
      </c>
      <c r="S1291" s="24" t="s">
        <v>39</v>
      </c>
      <c r="T1291" s="24" t="s">
        <v>39</v>
      </c>
      <c r="U1291" s="24" t="s">
        <v>39</v>
      </c>
      <c r="V1291" s="24" t="s">
        <v>39</v>
      </c>
      <c r="W1291" s="24" t="s">
        <v>12597</v>
      </c>
      <c r="X1291" s="24" t="s">
        <v>12598</v>
      </c>
      <c r="Y1291" s="15" t="s">
        <v>12599</v>
      </c>
      <c r="Z1291" s="15" t="s">
        <v>12600</v>
      </c>
      <c r="AA1291" s="24"/>
      <c r="AB1291" s="24"/>
      <c r="AC1291" s="24"/>
      <c r="AD1291" s="24"/>
      <c r="AE1291" s="24"/>
      <c r="AF1291" s="24"/>
      <c r="AG1291" s="24"/>
      <c r="AH1291" s="24"/>
    </row>
    <row r="1292" spans="1:34" ht="60" x14ac:dyDescent="0.25">
      <c r="A1292" s="24" t="str">
        <f>HYPERLINK("https://www.cpso.on.ca/DoctorDetails/Lee-Albert-Rasmusen/0047387-61365","Rasmusen, Lee Albert")</f>
        <v>Rasmusen, Lee Albert</v>
      </c>
      <c r="B1292" s="25" t="s">
        <v>12601</v>
      </c>
      <c r="C1292" s="24" t="s">
        <v>12602</v>
      </c>
      <c r="D1292" s="24" t="s">
        <v>12603</v>
      </c>
      <c r="E1292" s="24" t="s">
        <v>29</v>
      </c>
      <c r="F1292" s="24" t="s">
        <v>30</v>
      </c>
      <c r="G1292" s="24" t="s">
        <v>31</v>
      </c>
      <c r="H1292" s="24" t="s">
        <v>12604</v>
      </c>
      <c r="I1292" s="24" t="s">
        <v>12605</v>
      </c>
      <c r="J1292" s="24"/>
      <c r="K1292" s="24"/>
      <c r="L1292" s="24" t="s">
        <v>36</v>
      </c>
      <c r="M1292" s="15"/>
      <c r="N1292" s="15"/>
      <c r="O1292" s="15"/>
      <c r="P1292" s="15" t="s">
        <v>2293</v>
      </c>
      <c r="Q1292" s="15" t="s">
        <v>12606</v>
      </c>
      <c r="R1292" s="15" t="s">
        <v>12607</v>
      </c>
      <c r="S1292" s="24" t="s">
        <v>39</v>
      </c>
      <c r="T1292" s="24" t="s">
        <v>39</v>
      </c>
      <c r="U1292" s="24" t="s">
        <v>39</v>
      </c>
      <c r="V1292" s="24" t="s">
        <v>39</v>
      </c>
      <c r="W1292" s="24"/>
      <c r="X1292" s="24"/>
      <c r="Y1292" s="15"/>
      <c r="Z1292" s="15"/>
      <c r="AA1292" s="24"/>
      <c r="AB1292" s="24"/>
      <c r="AC1292" s="24"/>
      <c r="AD1292" s="24"/>
      <c r="AE1292" s="24"/>
      <c r="AF1292" s="24"/>
      <c r="AG1292" s="24"/>
      <c r="AH1292" s="24"/>
    </row>
    <row r="1293" spans="1:34" ht="105" x14ac:dyDescent="0.25">
      <c r="A1293" s="24" t="str">
        <f>HYPERLINK("https://www.cpso.on.ca/DoctorDetails/Leigh-Solomon/0038440-52416","Solomon, Leigh")</f>
        <v>Solomon, Leigh</v>
      </c>
      <c r="B1293" s="25" t="s">
        <v>12608</v>
      </c>
      <c r="C1293" s="24" t="s">
        <v>2000</v>
      </c>
      <c r="D1293" s="24" t="s">
        <v>12609</v>
      </c>
      <c r="E1293" s="24" t="s">
        <v>29</v>
      </c>
      <c r="F1293" s="24" t="s">
        <v>47</v>
      </c>
      <c r="G1293" s="24" t="s">
        <v>31</v>
      </c>
      <c r="H1293" s="24" t="s">
        <v>2003</v>
      </c>
      <c r="I1293" s="24" t="s">
        <v>12610</v>
      </c>
      <c r="J1293" s="24" t="s">
        <v>12611</v>
      </c>
      <c r="K1293" s="24" t="s">
        <v>12612</v>
      </c>
      <c r="L1293" s="24" t="s">
        <v>52</v>
      </c>
      <c r="M1293" s="15"/>
      <c r="N1293" s="15"/>
      <c r="O1293" s="15" t="s">
        <v>3112</v>
      </c>
      <c r="P1293" s="15" t="s">
        <v>12613</v>
      </c>
      <c r="Q1293" s="15" t="s">
        <v>12614</v>
      </c>
      <c r="R1293" s="15" t="s">
        <v>12615</v>
      </c>
      <c r="S1293" s="24" t="s">
        <v>39</v>
      </c>
      <c r="T1293" s="24" t="s">
        <v>39</v>
      </c>
      <c r="U1293" s="24" t="s">
        <v>39</v>
      </c>
      <c r="V1293" s="24" t="s">
        <v>39</v>
      </c>
      <c r="W1293" s="24" t="s">
        <v>12616</v>
      </c>
      <c r="X1293" s="24" t="s">
        <v>12617</v>
      </c>
      <c r="Y1293" s="15" t="s">
        <v>12618</v>
      </c>
      <c r="Z1293" s="15" t="s">
        <v>12619</v>
      </c>
      <c r="AA1293" s="24"/>
      <c r="AB1293" s="24"/>
      <c r="AC1293" s="24"/>
      <c r="AD1293" s="24"/>
      <c r="AE1293" s="24"/>
      <c r="AF1293" s="24"/>
      <c r="AG1293" s="24"/>
      <c r="AH1293" s="24"/>
    </row>
    <row r="1294" spans="1:34" ht="75" x14ac:dyDescent="0.25">
      <c r="A1294" s="24" t="str">
        <f>HYPERLINK("https://www.cpso.on.ca/DoctorDetails/Lekha-Macharivilakathu-Gopinatha-Kurup/0242178-87051","Kurup, Lekha Macharivilakathu Gopinatha")</f>
        <v>Kurup, Lekha Macharivilakathu Gopinatha</v>
      </c>
      <c r="B1294" s="25" t="s">
        <v>12620</v>
      </c>
      <c r="C1294" s="24" t="s">
        <v>1115</v>
      </c>
      <c r="D1294" s="24" t="s">
        <v>648</v>
      </c>
      <c r="E1294" s="24" t="s">
        <v>12621</v>
      </c>
      <c r="F1294" s="24" t="s">
        <v>47</v>
      </c>
      <c r="G1294" s="24" t="s">
        <v>12622</v>
      </c>
      <c r="H1294" s="24" t="s">
        <v>12623</v>
      </c>
      <c r="I1294" s="24" t="s">
        <v>12624</v>
      </c>
      <c r="J1294" s="24" t="s">
        <v>12625</v>
      </c>
      <c r="K1294" s="24" t="s">
        <v>865</v>
      </c>
      <c r="L1294" s="24" t="s">
        <v>36</v>
      </c>
      <c r="M1294" s="15"/>
      <c r="N1294" s="15"/>
      <c r="O1294" s="15" t="s">
        <v>867</v>
      </c>
      <c r="P1294" s="15" t="s">
        <v>654</v>
      </c>
      <c r="Q1294" s="15" t="s">
        <v>12626</v>
      </c>
      <c r="R1294" s="15" t="s">
        <v>12627</v>
      </c>
      <c r="S1294" s="24" t="s">
        <v>39</v>
      </c>
      <c r="T1294" s="24" t="s">
        <v>39</v>
      </c>
      <c r="U1294" s="24" t="s">
        <v>39</v>
      </c>
      <c r="V1294" s="24" t="s">
        <v>39</v>
      </c>
      <c r="W1294" s="24" t="s">
        <v>12628</v>
      </c>
      <c r="X1294" s="24" t="s">
        <v>12629</v>
      </c>
      <c r="Y1294" s="15" t="s">
        <v>12630</v>
      </c>
      <c r="Z1294" s="15" t="s">
        <v>12631</v>
      </c>
      <c r="AA1294" s="24"/>
      <c r="AB1294" s="24"/>
      <c r="AC1294" s="24"/>
      <c r="AD1294" s="24"/>
      <c r="AE1294" s="24"/>
      <c r="AF1294" s="24"/>
      <c r="AG1294" s="24"/>
      <c r="AH1294" s="24"/>
    </row>
    <row r="1295" spans="1:34" x14ac:dyDescent="0.25">
      <c r="A1295" s="24" t="str">
        <f>HYPERLINK("https://www.cpso.on.ca/DoctorDetails/Lela-Carol-Korenberg/0019987-24775","Korenberg, Lela Carol")</f>
        <v>Korenberg, Lela Carol</v>
      </c>
      <c r="B1295" s="25" t="s">
        <v>12632</v>
      </c>
      <c r="C1295" s="24" t="s">
        <v>8389</v>
      </c>
      <c r="D1295" s="24" t="s">
        <v>8390</v>
      </c>
      <c r="E1295" s="24" t="s">
        <v>29</v>
      </c>
      <c r="F1295" s="24" t="s">
        <v>47</v>
      </c>
      <c r="G1295" s="24" t="s">
        <v>31</v>
      </c>
      <c r="H1295" s="24" t="s">
        <v>12633</v>
      </c>
      <c r="I1295" s="24" t="s">
        <v>12634</v>
      </c>
      <c r="J1295" s="24" t="s">
        <v>12635</v>
      </c>
      <c r="K1295" s="24"/>
      <c r="L1295" s="24" t="s">
        <v>52</v>
      </c>
      <c r="M1295" s="15"/>
      <c r="N1295" s="15"/>
      <c r="O1295" s="15"/>
      <c r="P1295" s="15" t="s">
        <v>5785</v>
      </c>
      <c r="Q1295" s="15"/>
      <c r="R1295" s="15" t="s">
        <v>8391</v>
      </c>
      <c r="S1295" s="24" t="s">
        <v>39</v>
      </c>
      <c r="T1295" s="24" t="s">
        <v>39</v>
      </c>
      <c r="U1295" s="24" t="s">
        <v>39</v>
      </c>
      <c r="V1295" s="24" t="s">
        <v>39</v>
      </c>
      <c r="W1295" s="24"/>
      <c r="X1295" s="24"/>
      <c r="Y1295" s="15"/>
      <c r="Z1295" s="15"/>
      <c r="AA1295" s="24"/>
      <c r="AB1295" s="24"/>
      <c r="AC1295" s="24"/>
      <c r="AD1295" s="24"/>
      <c r="AE1295" s="24"/>
      <c r="AF1295" s="24"/>
      <c r="AG1295" s="24"/>
      <c r="AH1295" s="24"/>
    </row>
    <row r="1296" spans="1:34" ht="60" x14ac:dyDescent="0.25">
      <c r="A1296" s="24" t="str">
        <f>HYPERLINK("https://www.cpso.on.ca/DoctorDetails/Lena-Kathiravan-Palaniyappan/0300745-108171","Palaniyappan, Lena Kathiravan")</f>
        <v>Palaniyappan, Lena Kathiravan</v>
      </c>
      <c r="B1296" s="25" t="s">
        <v>12636</v>
      </c>
      <c r="C1296" s="24" t="s">
        <v>12637</v>
      </c>
      <c r="D1296" s="24" t="s">
        <v>12638</v>
      </c>
      <c r="E1296" s="24" t="s">
        <v>29</v>
      </c>
      <c r="F1296" s="24" t="s">
        <v>30</v>
      </c>
      <c r="G1296" s="24" t="s">
        <v>2255</v>
      </c>
      <c r="H1296" s="24" t="s">
        <v>12639</v>
      </c>
      <c r="I1296" s="24" t="s">
        <v>12640</v>
      </c>
      <c r="J1296" s="24" t="s">
        <v>12641</v>
      </c>
      <c r="K1296" s="24" t="s">
        <v>12642</v>
      </c>
      <c r="L1296" s="24" t="s">
        <v>135</v>
      </c>
      <c r="M1296" s="15"/>
      <c r="N1296" s="15"/>
      <c r="O1296" s="15" t="s">
        <v>12643</v>
      </c>
      <c r="P1296" s="15" t="s">
        <v>12644</v>
      </c>
      <c r="Q1296" s="15"/>
      <c r="R1296" s="15" t="s">
        <v>12645</v>
      </c>
      <c r="S1296" s="24" t="s">
        <v>71</v>
      </c>
      <c r="T1296" s="24" t="s">
        <v>39</v>
      </c>
      <c r="U1296" s="24" t="s">
        <v>39</v>
      </c>
      <c r="V1296" s="24" t="s">
        <v>39</v>
      </c>
      <c r="W1296" s="24" t="s">
        <v>12646</v>
      </c>
      <c r="X1296" s="24" t="s">
        <v>12647</v>
      </c>
      <c r="Y1296" s="15" t="s">
        <v>12648</v>
      </c>
      <c r="Z1296" s="15" t="s">
        <v>12649</v>
      </c>
      <c r="AA1296" s="24"/>
      <c r="AB1296" s="24"/>
      <c r="AC1296" s="24"/>
      <c r="AD1296" s="24"/>
      <c r="AE1296" s="24"/>
      <c r="AF1296" s="24"/>
      <c r="AG1296" s="24"/>
      <c r="AH1296" s="24"/>
    </row>
    <row r="1297" spans="1:34" ht="45" x14ac:dyDescent="0.25">
      <c r="A1297" s="24" t="str">
        <f>HYPERLINK("https://www.cpso.on.ca/DoctorDetails/Leo-Merlin-Murphy/0037901-51877","Murphy, Leo Merlin")</f>
        <v>Murphy, Leo Merlin</v>
      </c>
      <c r="B1297" s="25" t="s">
        <v>12650</v>
      </c>
      <c r="C1297" s="24" t="s">
        <v>3417</v>
      </c>
      <c r="D1297" s="24" t="s">
        <v>12651</v>
      </c>
      <c r="E1297" s="24" t="s">
        <v>29</v>
      </c>
      <c r="F1297" s="24" t="s">
        <v>30</v>
      </c>
      <c r="G1297" s="24" t="s">
        <v>31</v>
      </c>
      <c r="H1297" s="24" t="s">
        <v>11671</v>
      </c>
      <c r="I1297" s="24" t="s">
        <v>2917</v>
      </c>
      <c r="J1297" s="24" t="s">
        <v>12652</v>
      </c>
      <c r="K1297" s="24"/>
      <c r="L1297" s="24" t="s">
        <v>52</v>
      </c>
      <c r="M1297" s="15" t="s">
        <v>12653</v>
      </c>
      <c r="N1297" s="15"/>
      <c r="O1297" s="15" t="s">
        <v>219</v>
      </c>
      <c r="P1297" s="15" t="s">
        <v>2908</v>
      </c>
      <c r="Q1297" s="15" t="s">
        <v>2909</v>
      </c>
      <c r="R1297" s="15" t="s">
        <v>12654</v>
      </c>
      <c r="S1297" s="24" t="s">
        <v>39</v>
      </c>
      <c r="T1297" s="24" t="s">
        <v>39</v>
      </c>
      <c r="U1297" s="24" t="s">
        <v>39</v>
      </c>
      <c r="V1297" s="24" t="s">
        <v>39</v>
      </c>
      <c r="W1297" s="24" t="s">
        <v>9661</v>
      </c>
      <c r="X1297" s="24" t="s">
        <v>9662</v>
      </c>
      <c r="Y1297" s="15" t="s">
        <v>9663</v>
      </c>
      <c r="Z1297" s="15" t="s">
        <v>9664</v>
      </c>
      <c r="AA1297" s="24"/>
      <c r="AB1297" s="24"/>
      <c r="AC1297" s="24"/>
      <c r="AD1297" s="24"/>
      <c r="AE1297" s="24"/>
      <c r="AF1297" s="24"/>
      <c r="AG1297" s="24"/>
      <c r="AH1297" s="24"/>
    </row>
    <row r="1298" spans="1:34" ht="45" x14ac:dyDescent="0.25">
      <c r="A1298" s="24" t="str">
        <f>HYPERLINK("https://www.cpso.on.ca/DoctorDetails/Leon-Sloman/0017113-21898","Sloman, Leon")</f>
        <v>Sloman, Leon</v>
      </c>
      <c r="B1298" s="25" t="s">
        <v>12655</v>
      </c>
      <c r="C1298" s="24" t="s">
        <v>12656</v>
      </c>
      <c r="D1298" s="24" t="s">
        <v>12657</v>
      </c>
      <c r="E1298" s="24" t="s">
        <v>29</v>
      </c>
      <c r="F1298" s="24" t="s">
        <v>30</v>
      </c>
      <c r="G1298" s="24" t="s">
        <v>31</v>
      </c>
      <c r="H1298" s="24" t="s">
        <v>12658</v>
      </c>
      <c r="I1298" s="24" t="s">
        <v>2651</v>
      </c>
      <c r="J1298" s="24" t="s">
        <v>12659</v>
      </c>
      <c r="K1298" s="24" t="s">
        <v>1355</v>
      </c>
      <c r="L1298" s="24" t="s">
        <v>52</v>
      </c>
      <c r="M1298" s="15"/>
      <c r="N1298" s="15"/>
      <c r="O1298" s="15" t="s">
        <v>981</v>
      </c>
      <c r="P1298" s="15" t="s">
        <v>3129</v>
      </c>
      <c r="Q1298" s="15"/>
      <c r="R1298" s="15" t="s">
        <v>12660</v>
      </c>
      <c r="S1298" s="24" t="s">
        <v>39</v>
      </c>
      <c r="T1298" s="24" t="s">
        <v>39</v>
      </c>
      <c r="U1298" s="24" t="s">
        <v>39</v>
      </c>
      <c r="V1298" s="24" t="s">
        <v>39</v>
      </c>
      <c r="W1298" s="24"/>
      <c r="X1298" s="24"/>
      <c r="Y1298" s="15"/>
      <c r="Z1298" s="15"/>
      <c r="AA1298" s="24"/>
      <c r="AB1298" s="24"/>
      <c r="AC1298" s="24"/>
      <c r="AD1298" s="24"/>
      <c r="AE1298" s="24"/>
      <c r="AF1298" s="24"/>
      <c r="AG1298" s="24"/>
      <c r="AH1298" s="24"/>
    </row>
    <row r="1299" spans="1:34" ht="30" x14ac:dyDescent="0.25">
      <c r="A1299" s="24" t="str">
        <f>HYPERLINK("https://www.cpso.on.ca/DoctorDetails/Leonard-Sheldon-Ginsberg/0036668-50644","Ginsberg, Leonard Sheldon")</f>
        <v>Ginsberg, Leonard Sheldon</v>
      </c>
      <c r="B1299" s="25" t="s">
        <v>12661</v>
      </c>
      <c r="C1299" s="24" t="s">
        <v>520</v>
      </c>
      <c r="D1299" s="24" t="s">
        <v>6365</v>
      </c>
      <c r="E1299" s="24" t="s">
        <v>29</v>
      </c>
      <c r="F1299" s="24" t="s">
        <v>30</v>
      </c>
      <c r="G1299" s="24" t="s">
        <v>31</v>
      </c>
      <c r="H1299" s="24" t="s">
        <v>2861</v>
      </c>
      <c r="I1299" s="24" t="s">
        <v>12662</v>
      </c>
      <c r="J1299" s="24" t="s">
        <v>12663</v>
      </c>
      <c r="K1299" s="24" t="s">
        <v>12664</v>
      </c>
      <c r="L1299" s="24" t="s">
        <v>52</v>
      </c>
      <c r="M1299" s="15"/>
      <c r="N1299" s="15"/>
      <c r="O1299" s="15" t="s">
        <v>981</v>
      </c>
      <c r="P1299" s="15" t="s">
        <v>3194</v>
      </c>
      <c r="Q1299" s="15"/>
      <c r="R1299" s="15" t="s">
        <v>12665</v>
      </c>
      <c r="S1299" s="24" t="s">
        <v>39</v>
      </c>
      <c r="T1299" s="24" t="s">
        <v>39</v>
      </c>
      <c r="U1299" s="24" t="s">
        <v>39</v>
      </c>
      <c r="V1299" s="24" t="s">
        <v>39</v>
      </c>
      <c r="W1299" s="24"/>
      <c r="X1299" s="24"/>
      <c r="Y1299" s="15"/>
      <c r="Z1299" s="15"/>
      <c r="AA1299" s="24"/>
      <c r="AB1299" s="24"/>
      <c r="AC1299" s="24"/>
      <c r="AD1299" s="24"/>
      <c r="AE1299" s="24"/>
      <c r="AF1299" s="24"/>
      <c r="AG1299" s="24"/>
      <c r="AH1299" s="24"/>
    </row>
    <row r="1300" spans="1:34" ht="45" x14ac:dyDescent="0.25">
      <c r="A1300" s="24" t="str">
        <f>HYPERLINK("https://www.cpso.on.ca/DoctorDetails/Leonardo-Cortese/0044560-58538","Cortese, Leonardo")</f>
        <v>Cortese, Leonardo</v>
      </c>
      <c r="B1300" s="25" t="s">
        <v>12666</v>
      </c>
      <c r="C1300" s="24" t="s">
        <v>3161</v>
      </c>
      <c r="D1300" s="24" t="s">
        <v>5581</v>
      </c>
      <c r="E1300" s="24" t="s">
        <v>29</v>
      </c>
      <c r="F1300" s="24" t="s">
        <v>30</v>
      </c>
      <c r="G1300" s="24" t="s">
        <v>2188</v>
      </c>
      <c r="H1300" s="24" t="s">
        <v>12667</v>
      </c>
      <c r="I1300" s="24" t="s">
        <v>12668</v>
      </c>
      <c r="J1300" s="24" t="s">
        <v>12669</v>
      </c>
      <c r="K1300" s="24" t="s">
        <v>12670</v>
      </c>
      <c r="L1300" s="24" t="s">
        <v>65</v>
      </c>
      <c r="M1300" s="15"/>
      <c r="N1300" s="15"/>
      <c r="O1300" s="15" t="s">
        <v>12671</v>
      </c>
      <c r="P1300" s="15" t="s">
        <v>2470</v>
      </c>
      <c r="Q1300" s="15" t="s">
        <v>12672</v>
      </c>
      <c r="R1300" s="15" t="s">
        <v>12673</v>
      </c>
      <c r="S1300" s="24" t="s">
        <v>39</v>
      </c>
      <c r="T1300" s="24" t="s">
        <v>39</v>
      </c>
      <c r="U1300" s="24" t="s">
        <v>39</v>
      </c>
      <c r="V1300" s="24" t="s">
        <v>39</v>
      </c>
      <c r="W1300" s="24" t="s">
        <v>12674</v>
      </c>
      <c r="X1300" s="24" t="s">
        <v>12675</v>
      </c>
      <c r="Y1300" s="15" t="s">
        <v>12676</v>
      </c>
      <c r="Z1300" s="15" t="s">
        <v>12677</v>
      </c>
      <c r="AA1300" s="24"/>
      <c r="AB1300" s="24"/>
      <c r="AC1300" s="24"/>
      <c r="AD1300" s="24"/>
      <c r="AE1300" s="24"/>
      <c r="AF1300" s="24"/>
      <c r="AG1300" s="24"/>
      <c r="AH1300" s="24"/>
    </row>
    <row r="1301" spans="1:34" ht="90" x14ac:dyDescent="0.25">
      <c r="A1301" s="24" t="str">
        <f>HYPERLINK("https://www.cpso.on.ca/DoctorDetails/Leora-Erin-Glick/0221316-82406","Glick, Leora Erin")</f>
        <v>Glick, Leora Erin</v>
      </c>
      <c r="B1301" s="25" t="s">
        <v>12678</v>
      </c>
      <c r="C1301" s="24" t="s">
        <v>12679</v>
      </c>
      <c r="D1301" s="24" t="s">
        <v>12680</v>
      </c>
      <c r="E1301" s="24" t="s">
        <v>29</v>
      </c>
      <c r="F1301" s="24" t="s">
        <v>47</v>
      </c>
      <c r="G1301" s="24" t="s">
        <v>31</v>
      </c>
      <c r="H1301" s="24" t="s">
        <v>1756</v>
      </c>
      <c r="I1301" s="24" t="s">
        <v>12681</v>
      </c>
      <c r="J1301" s="24" t="s">
        <v>12682</v>
      </c>
      <c r="K1301" s="24"/>
      <c r="L1301" s="24" t="s">
        <v>52</v>
      </c>
      <c r="M1301" s="15"/>
      <c r="N1301" s="15"/>
      <c r="O1301" s="15" t="s">
        <v>1784</v>
      </c>
      <c r="P1301" s="15" t="s">
        <v>654</v>
      </c>
      <c r="Q1301" s="15" t="s">
        <v>12365</v>
      </c>
      <c r="R1301" s="15" t="s">
        <v>12683</v>
      </c>
      <c r="S1301" s="24" t="s">
        <v>39</v>
      </c>
      <c r="T1301" s="24" t="s">
        <v>39</v>
      </c>
      <c r="U1301" s="24" t="s">
        <v>39</v>
      </c>
      <c r="V1301" s="24" t="s">
        <v>39</v>
      </c>
      <c r="W1301" s="24" t="s">
        <v>12684</v>
      </c>
      <c r="X1301" s="24" t="s">
        <v>12685</v>
      </c>
      <c r="Y1301" s="15" t="s">
        <v>12686</v>
      </c>
      <c r="Z1301" s="15" t="s">
        <v>12687</v>
      </c>
      <c r="AA1301" s="24"/>
      <c r="AB1301" s="24"/>
      <c r="AC1301" s="24"/>
      <c r="AD1301" s="24"/>
      <c r="AE1301" s="24"/>
      <c r="AF1301" s="24"/>
      <c r="AG1301" s="24"/>
      <c r="AH1301" s="24"/>
    </row>
    <row r="1302" spans="1:34" ht="45" x14ac:dyDescent="0.25">
      <c r="A1302" s="24" t="str">
        <f>HYPERLINK("https://www.cpso.on.ca/DoctorDetails/Leora-Pinhas/0046957-60935","Pinhas, Leora")</f>
        <v>Pinhas, Leora</v>
      </c>
      <c r="B1302" s="25" t="s">
        <v>12688</v>
      </c>
      <c r="C1302" s="24" t="s">
        <v>12689</v>
      </c>
      <c r="D1302" s="24" t="s">
        <v>11596</v>
      </c>
      <c r="E1302" s="24" t="s">
        <v>29</v>
      </c>
      <c r="F1302" s="24" t="s">
        <v>47</v>
      </c>
      <c r="G1302" s="24" t="s">
        <v>252</v>
      </c>
      <c r="H1302" s="24" t="s">
        <v>12690</v>
      </c>
      <c r="I1302" s="24" t="s">
        <v>12691</v>
      </c>
      <c r="J1302" s="24" t="s">
        <v>12692</v>
      </c>
      <c r="K1302" s="24"/>
      <c r="L1302" s="24" t="s">
        <v>52</v>
      </c>
      <c r="M1302" s="15"/>
      <c r="N1302" s="15"/>
      <c r="O1302" s="15" t="s">
        <v>121</v>
      </c>
      <c r="P1302" s="15" t="s">
        <v>12693</v>
      </c>
      <c r="Q1302" s="15" t="s">
        <v>12694</v>
      </c>
      <c r="R1302" s="15" t="s">
        <v>12695</v>
      </c>
      <c r="S1302" s="24" t="s">
        <v>39</v>
      </c>
      <c r="T1302" s="24" t="s">
        <v>39</v>
      </c>
      <c r="U1302" s="24" t="s">
        <v>39</v>
      </c>
      <c r="V1302" s="24" t="s">
        <v>39</v>
      </c>
      <c r="W1302" s="24"/>
      <c r="X1302" s="24"/>
      <c r="Y1302" s="15"/>
      <c r="Z1302" s="15"/>
      <c r="AA1302" s="24"/>
      <c r="AB1302" s="24"/>
      <c r="AC1302" s="24"/>
      <c r="AD1302" s="24"/>
      <c r="AE1302" s="24"/>
      <c r="AF1302" s="24"/>
      <c r="AG1302" s="24"/>
      <c r="AH1302" s="24"/>
    </row>
    <row r="1303" spans="1:34" ht="90" x14ac:dyDescent="0.25">
      <c r="A1303" s="24" t="str">
        <f>HYPERLINK("https://www.cpso.on.ca/DoctorDetails/Lescia-Kryworuchko-Tremblay/0233236-84582","Tremblay, Lescia Kryworuchko")</f>
        <v>Tremblay, Lescia Kryworuchko</v>
      </c>
      <c r="B1303" s="25" t="s">
        <v>12696</v>
      </c>
      <c r="C1303" s="24" t="s">
        <v>12697</v>
      </c>
      <c r="D1303" s="24" t="s">
        <v>12698</v>
      </c>
      <c r="E1303" s="24" t="s">
        <v>29</v>
      </c>
      <c r="F1303" s="24" t="s">
        <v>47</v>
      </c>
      <c r="G1303" s="24" t="s">
        <v>12699</v>
      </c>
      <c r="H1303" s="24" t="s">
        <v>12700</v>
      </c>
      <c r="I1303" s="24" t="s">
        <v>12701</v>
      </c>
      <c r="J1303" s="24" t="s">
        <v>12702</v>
      </c>
      <c r="K1303" s="24"/>
      <c r="L1303" s="24" t="s">
        <v>36</v>
      </c>
      <c r="M1303" s="15"/>
      <c r="N1303" s="15"/>
      <c r="O1303" s="15" t="s">
        <v>1691</v>
      </c>
      <c r="P1303" s="15" t="s">
        <v>12418</v>
      </c>
      <c r="Q1303" s="15" t="s">
        <v>12703</v>
      </c>
      <c r="R1303" s="15" t="s">
        <v>12704</v>
      </c>
      <c r="S1303" s="24" t="s">
        <v>39</v>
      </c>
      <c r="T1303" s="24" t="s">
        <v>39</v>
      </c>
      <c r="U1303" s="24" t="s">
        <v>39</v>
      </c>
      <c r="V1303" s="24" t="s">
        <v>39</v>
      </c>
      <c r="W1303" s="24" t="s">
        <v>12705</v>
      </c>
      <c r="X1303" s="24" t="s">
        <v>12706</v>
      </c>
      <c r="Y1303" s="15" t="s">
        <v>12707</v>
      </c>
      <c r="Z1303" s="15" t="s">
        <v>12708</v>
      </c>
      <c r="AA1303" s="24"/>
      <c r="AB1303" s="24"/>
      <c r="AC1303" s="24"/>
      <c r="AD1303" s="24"/>
      <c r="AE1303" s="24"/>
      <c r="AF1303" s="24"/>
      <c r="AG1303" s="24"/>
      <c r="AH1303" s="24"/>
    </row>
    <row r="1304" spans="1:34" ht="75" x14ac:dyDescent="0.25">
      <c r="A1304" s="24" t="str">
        <f>HYPERLINK("https://www.cpso.on.ca/DoctorDetails/Lesley-Ann-Wiesenfeld/0150447-72550","Wiesenfeld, Lesley Ann")</f>
        <v>Wiesenfeld, Lesley Ann</v>
      </c>
      <c r="B1304" s="25" t="s">
        <v>12709</v>
      </c>
      <c r="C1304" s="24" t="s">
        <v>954</v>
      </c>
      <c r="D1304" s="24" t="s">
        <v>1323</v>
      </c>
      <c r="E1304" s="24" t="s">
        <v>29</v>
      </c>
      <c r="F1304" s="24" t="s">
        <v>47</v>
      </c>
      <c r="G1304" s="24" t="s">
        <v>31</v>
      </c>
      <c r="H1304" s="24" t="s">
        <v>4927</v>
      </c>
      <c r="I1304" s="24" t="s">
        <v>12710</v>
      </c>
      <c r="J1304" s="24" t="s">
        <v>12711</v>
      </c>
      <c r="K1304" s="24" t="s">
        <v>1528</v>
      </c>
      <c r="L1304" s="24" t="s">
        <v>52</v>
      </c>
      <c r="M1304" s="15"/>
      <c r="N1304" s="15" t="s">
        <v>1449</v>
      </c>
      <c r="O1304" s="15" t="s">
        <v>12712</v>
      </c>
      <c r="P1304" s="15" t="s">
        <v>12713</v>
      </c>
      <c r="Q1304" s="15" t="s">
        <v>2170</v>
      </c>
      <c r="R1304" s="15" t="s">
        <v>2171</v>
      </c>
      <c r="S1304" s="24" t="s">
        <v>39</v>
      </c>
      <c r="T1304" s="24" t="s">
        <v>39</v>
      </c>
      <c r="U1304" s="24" t="s">
        <v>39</v>
      </c>
      <c r="V1304" s="24" t="s">
        <v>39</v>
      </c>
      <c r="W1304" s="24" t="s">
        <v>12714</v>
      </c>
      <c r="X1304" s="24" t="s">
        <v>12715</v>
      </c>
      <c r="Y1304" s="15" t="s">
        <v>12716</v>
      </c>
      <c r="Z1304" s="15" t="s">
        <v>12717</v>
      </c>
      <c r="AA1304" s="24"/>
      <c r="AB1304" s="24"/>
      <c r="AC1304" s="24"/>
      <c r="AD1304" s="24"/>
      <c r="AE1304" s="24"/>
      <c r="AF1304" s="24"/>
      <c r="AG1304" s="24"/>
      <c r="AH1304" s="24"/>
    </row>
    <row r="1305" spans="1:34" ht="30" x14ac:dyDescent="0.25">
      <c r="A1305" s="24" t="str">
        <f>HYPERLINK("https://www.cpso.on.ca/DoctorDetails/Lesley-Peace-Goldenberg/0039016-52992","Goldenberg, Lesley Peace")</f>
        <v>Goldenberg, Lesley Peace</v>
      </c>
      <c r="B1305" s="25" t="s">
        <v>12718</v>
      </c>
      <c r="C1305" s="24" t="s">
        <v>3561</v>
      </c>
      <c r="D1305" s="24" t="s">
        <v>12719</v>
      </c>
      <c r="E1305" s="24" t="s">
        <v>29</v>
      </c>
      <c r="F1305" s="24" t="s">
        <v>47</v>
      </c>
      <c r="G1305" s="24" t="s">
        <v>31</v>
      </c>
      <c r="H1305" s="24" t="s">
        <v>2637</v>
      </c>
      <c r="I1305" s="24" t="s">
        <v>12720</v>
      </c>
      <c r="J1305" s="24" t="s">
        <v>12721</v>
      </c>
      <c r="K1305" s="24"/>
      <c r="L1305" s="24" t="s">
        <v>52</v>
      </c>
      <c r="M1305" s="15"/>
      <c r="N1305" s="15"/>
      <c r="O1305" s="15"/>
      <c r="P1305" s="15" t="s">
        <v>1984</v>
      </c>
      <c r="Q1305" s="15" t="s">
        <v>6291</v>
      </c>
      <c r="R1305" s="15" t="s">
        <v>12722</v>
      </c>
      <c r="S1305" s="24" t="s">
        <v>39</v>
      </c>
      <c r="T1305" s="24" t="s">
        <v>39</v>
      </c>
      <c r="U1305" s="24" t="s">
        <v>39</v>
      </c>
      <c r="V1305" s="24" t="s">
        <v>39</v>
      </c>
      <c r="W1305" s="24"/>
      <c r="X1305" s="24"/>
      <c r="Y1305" s="15"/>
      <c r="Z1305" s="15"/>
      <c r="AA1305" s="24"/>
      <c r="AB1305" s="24"/>
      <c r="AC1305" s="24"/>
      <c r="AD1305" s="24"/>
      <c r="AE1305" s="24"/>
      <c r="AF1305" s="24"/>
      <c r="AG1305" s="24"/>
      <c r="AH1305" s="24"/>
    </row>
    <row r="1306" spans="1:34" ht="90" x14ac:dyDescent="0.25">
      <c r="A1306" s="24" t="str">
        <f>HYPERLINK("https://www.cpso.on.ca/DoctorDetails/Leslie-Curtis-Wright/0052975-66939","Wright, Leslie Curtis")</f>
        <v>Wright, Leslie Curtis</v>
      </c>
      <c r="B1306" s="25" t="s">
        <v>12723</v>
      </c>
      <c r="C1306" s="24" t="s">
        <v>12724</v>
      </c>
      <c r="D1306" s="24" t="s">
        <v>12725</v>
      </c>
      <c r="E1306" s="24" t="s">
        <v>29</v>
      </c>
      <c r="F1306" s="24" t="s">
        <v>30</v>
      </c>
      <c r="G1306" s="24" t="s">
        <v>31</v>
      </c>
      <c r="H1306" s="24" t="s">
        <v>9623</v>
      </c>
      <c r="I1306" s="24" t="s">
        <v>12726</v>
      </c>
      <c r="J1306" s="24" t="s">
        <v>10489</v>
      </c>
      <c r="K1306" s="24" t="s">
        <v>10490</v>
      </c>
      <c r="L1306" s="24" t="s">
        <v>52</v>
      </c>
      <c r="M1306" s="15"/>
      <c r="N1306" s="15"/>
      <c r="O1306" s="15"/>
      <c r="P1306" s="15" t="s">
        <v>303</v>
      </c>
      <c r="Q1306" s="15" t="s">
        <v>12727</v>
      </c>
      <c r="R1306" s="15" t="s">
        <v>12728</v>
      </c>
      <c r="S1306" s="24" t="s">
        <v>71</v>
      </c>
      <c r="T1306" s="24" t="s">
        <v>71</v>
      </c>
      <c r="U1306" s="24" t="s">
        <v>39</v>
      </c>
      <c r="V1306" s="24" t="s">
        <v>71</v>
      </c>
      <c r="W1306" s="24"/>
      <c r="X1306" s="24"/>
      <c r="Y1306" s="15"/>
      <c r="Z1306" s="15"/>
      <c r="AA1306" s="24"/>
      <c r="AB1306" s="24"/>
      <c r="AC1306" s="24"/>
      <c r="AD1306" s="24"/>
      <c r="AE1306" s="24"/>
      <c r="AF1306" s="24"/>
      <c r="AG1306" s="24"/>
      <c r="AH1306" s="24"/>
    </row>
    <row r="1307" spans="1:34" ht="90" x14ac:dyDescent="0.25">
      <c r="A1307" s="24" t="str">
        <f>HYPERLINK("https://www.cpso.on.ca/DoctorDetails/Leslie-Kin-Long-Wong/0242587-86592","Wong, Leslie Kin Long")</f>
        <v>Wong, Leslie Kin Long</v>
      </c>
      <c r="B1307" s="25" t="s">
        <v>12729</v>
      </c>
      <c r="C1307" s="24" t="s">
        <v>4079</v>
      </c>
      <c r="D1307" s="24" t="s">
        <v>1594</v>
      </c>
      <c r="E1307" s="24" t="s">
        <v>29</v>
      </c>
      <c r="F1307" s="24" t="s">
        <v>30</v>
      </c>
      <c r="G1307" s="24" t="s">
        <v>1392</v>
      </c>
      <c r="H1307" s="24" t="s">
        <v>2714</v>
      </c>
      <c r="I1307" s="24" t="s">
        <v>2871</v>
      </c>
      <c r="J1307" s="24" t="s">
        <v>8690</v>
      </c>
      <c r="K1307" s="24" t="s">
        <v>12730</v>
      </c>
      <c r="L1307" s="24" t="s">
        <v>36</v>
      </c>
      <c r="M1307" s="15" t="s">
        <v>12731</v>
      </c>
      <c r="N1307" s="15"/>
      <c r="O1307" s="15" t="s">
        <v>3590</v>
      </c>
      <c r="P1307" s="15" t="s">
        <v>1629</v>
      </c>
      <c r="Q1307" s="15" t="s">
        <v>1630</v>
      </c>
      <c r="R1307" s="15" t="s">
        <v>4415</v>
      </c>
      <c r="S1307" s="24" t="s">
        <v>39</v>
      </c>
      <c r="T1307" s="24" t="s">
        <v>39</v>
      </c>
      <c r="U1307" s="24" t="s">
        <v>39</v>
      </c>
      <c r="V1307" s="24" t="s">
        <v>39</v>
      </c>
      <c r="W1307" s="24" t="s">
        <v>12732</v>
      </c>
      <c r="X1307" s="24" t="s">
        <v>1632</v>
      </c>
      <c r="Y1307" s="15" t="s">
        <v>12733</v>
      </c>
      <c r="Z1307" s="15" t="s">
        <v>12734</v>
      </c>
      <c r="AA1307" s="24"/>
      <c r="AB1307" s="24"/>
      <c r="AC1307" s="24"/>
      <c r="AD1307" s="24"/>
      <c r="AE1307" s="24"/>
      <c r="AF1307" s="24"/>
      <c r="AG1307" s="24"/>
      <c r="AH1307" s="24"/>
    </row>
    <row r="1308" spans="1:34" ht="75" x14ac:dyDescent="0.25">
      <c r="A1308" s="24" t="str">
        <f>HYPERLINK("https://www.cpso.on.ca/DoctorDetails/Leslie-Lynn-Buckley/0149884-73912","Buckley, Leslie Lynn")</f>
        <v>Buckley, Leslie Lynn</v>
      </c>
      <c r="B1308" s="25" t="s">
        <v>12735</v>
      </c>
      <c r="C1308" s="24" t="s">
        <v>12736</v>
      </c>
      <c r="D1308" s="24" t="s">
        <v>12737</v>
      </c>
      <c r="E1308" s="24" t="s">
        <v>29</v>
      </c>
      <c r="F1308" s="24" t="s">
        <v>47</v>
      </c>
      <c r="G1308" s="24" t="s">
        <v>31</v>
      </c>
      <c r="H1308" s="24" t="s">
        <v>2165</v>
      </c>
      <c r="I1308" s="24" t="s">
        <v>12738</v>
      </c>
      <c r="J1308" s="24" t="s">
        <v>12739</v>
      </c>
      <c r="K1308" s="24" t="s">
        <v>5783</v>
      </c>
      <c r="L1308" s="24" t="s">
        <v>52</v>
      </c>
      <c r="M1308" s="15"/>
      <c r="N1308" s="15"/>
      <c r="O1308" s="15" t="s">
        <v>1867</v>
      </c>
      <c r="P1308" s="15" t="s">
        <v>288</v>
      </c>
      <c r="Q1308" s="15" t="s">
        <v>289</v>
      </c>
      <c r="R1308" s="15" t="s">
        <v>12740</v>
      </c>
      <c r="S1308" s="24" t="s">
        <v>39</v>
      </c>
      <c r="T1308" s="24" t="s">
        <v>39</v>
      </c>
      <c r="U1308" s="24" t="s">
        <v>39</v>
      </c>
      <c r="V1308" s="24" t="s">
        <v>39</v>
      </c>
      <c r="W1308" s="24" t="s">
        <v>12741</v>
      </c>
      <c r="X1308" s="24" t="s">
        <v>12742</v>
      </c>
      <c r="Y1308" s="15" t="s">
        <v>12743</v>
      </c>
      <c r="Z1308" s="15" t="s">
        <v>12744</v>
      </c>
      <c r="AA1308" s="24"/>
      <c r="AB1308" s="24"/>
      <c r="AC1308" s="24"/>
      <c r="AD1308" s="24"/>
      <c r="AE1308" s="24"/>
      <c r="AF1308" s="24"/>
      <c r="AG1308" s="24"/>
      <c r="AH1308" s="24"/>
    </row>
    <row r="1309" spans="1:34" ht="45" x14ac:dyDescent="0.25">
      <c r="A1309" s="24" t="str">
        <f>HYPERLINK("https://www.cpso.on.ca/DoctorDetails/Leslie-Tamas-Kiraly/0022576-27366","Kiraly, Leslie Tamas")</f>
        <v>Kiraly, Leslie Tamas</v>
      </c>
      <c r="B1309" s="25" t="s">
        <v>12745</v>
      </c>
      <c r="C1309" s="24" t="s">
        <v>8778</v>
      </c>
      <c r="D1309" s="24" t="s">
        <v>8779</v>
      </c>
      <c r="E1309" s="24" t="s">
        <v>29</v>
      </c>
      <c r="F1309" s="24" t="s">
        <v>30</v>
      </c>
      <c r="G1309" s="24" t="s">
        <v>12746</v>
      </c>
      <c r="H1309" s="24" t="s">
        <v>7012</v>
      </c>
      <c r="I1309" s="24" t="s">
        <v>12747</v>
      </c>
      <c r="J1309" s="24" t="s">
        <v>2760</v>
      </c>
      <c r="K1309" s="24" t="s">
        <v>2761</v>
      </c>
      <c r="L1309" s="24" t="s">
        <v>52</v>
      </c>
      <c r="M1309" s="15" t="s">
        <v>12748</v>
      </c>
      <c r="N1309" s="15" t="s">
        <v>12749</v>
      </c>
      <c r="O1309" s="15" t="s">
        <v>12750</v>
      </c>
      <c r="P1309" s="15" t="s">
        <v>12751</v>
      </c>
      <c r="Q1309" s="15"/>
      <c r="R1309" s="15" t="s">
        <v>12752</v>
      </c>
      <c r="S1309" s="24" t="s">
        <v>39</v>
      </c>
      <c r="T1309" s="24" t="s">
        <v>39</v>
      </c>
      <c r="U1309" s="24" t="s">
        <v>39</v>
      </c>
      <c r="V1309" s="24" t="s">
        <v>39</v>
      </c>
      <c r="W1309" s="24" t="s">
        <v>12753</v>
      </c>
      <c r="X1309" s="24" t="s">
        <v>12754</v>
      </c>
      <c r="Y1309" s="15" t="s">
        <v>12755</v>
      </c>
      <c r="Z1309" s="15" t="s">
        <v>12756</v>
      </c>
      <c r="AA1309" s="24"/>
      <c r="AB1309" s="24"/>
      <c r="AC1309" s="24"/>
      <c r="AD1309" s="24"/>
      <c r="AE1309" s="24"/>
      <c r="AF1309" s="24"/>
      <c r="AG1309" s="24"/>
      <c r="AH1309" s="24"/>
    </row>
    <row r="1310" spans="1:34" ht="105" x14ac:dyDescent="0.25">
      <c r="A1310" s="24" t="str">
        <f>HYPERLINK("https://www.cpso.on.ca/DoctorDetails/Leslie-Vaughan-Flynn/0044609-58587","Flynn, Leslie Vaughan")</f>
        <v>Flynn, Leslie Vaughan</v>
      </c>
      <c r="B1310" s="25" t="s">
        <v>12757</v>
      </c>
      <c r="C1310" s="24" t="s">
        <v>12758</v>
      </c>
      <c r="D1310" s="24" t="s">
        <v>12759</v>
      </c>
      <c r="E1310" s="24" t="s">
        <v>29</v>
      </c>
      <c r="F1310" s="24" t="s">
        <v>47</v>
      </c>
      <c r="G1310" s="24" t="s">
        <v>31</v>
      </c>
      <c r="H1310" s="24" t="s">
        <v>3164</v>
      </c>
      <c r="I1310" s="24" t="s">
        <v>12760</v>
      </c>
      <c r="J1310" s="24" t="s">
        <v>7050</v>
      </c>
      <c r="K1310" s="24" t="s">
        <v>12761</v>
      </c>
      <c r="L1310" s="24" t="s">
        <v>340</v>
      </c>
      <c r="M1310" s="15"/>
      <c r="N1310" s="15"/>
      <c r="O1310" s="15" t="s">
        <v>1122</v>
      </c>
      <c r="P1310" s="15" t="s">
        <v>12762</v>
      </c>
      <c r="Q1310" s="15" t="s">
        <v>12763</v>
      </c>
      <c r="R1310" s="15" t="s">
        <v>12764</v>
      </c>
      <c r="S1310" s="24" t="s">
        <v>39</v>
      </c>
      <c r="T1310" s="24" t="s">
        <v>39</v>
      </c>
      <c r="U1310" s="24" t="s">
        <v>39</v>
      </c>
      <c r="V1310" s="24" t="s">
        <v>39</v>
      </c>
      <c r="W1310" s="24" t="s">
        <v>12765</v>
      </c>
      <c r="X1310" s="24" t="s">
        <v>12766</v>
      </c>
      <c r="Y1310" s="15" t="s">
        <v>12767</v>
      </c>
      <c r="Z1310" s="15" t="s">
        <v>12768</v>
      </c>
      <c r="AA1310" s="24"/>
      <c r="AB1310" s="24"/>
      <c r="AC1310" s="24"/>
      <c r="AD1310" s="24"/>
      <c r="AE1310" s="24"/>
      <c r="AF1310" s="24"/>
      <c r="AG1310" s="24"/>
      <c r="AH1310" s="24"/>
    </row>
    <row r="1311" spans="1:34" ht="105" x14ac:dyDescent="0.25">
      <c r="A1311" s="24" t="str">
        <f>HYPERLINK("https://www.cpso.on.ca/DoctorDetails/Li-Chu/0301269-106602","Chu, Li")</f>
        <v>Chu, Li</v>
      </c>
      <c r="B1311" s="25" t="s">
        <v>12769</v>
      </c>
      <c r="C1311" s="24" t="s">
        <v>12770</v>
      </c>
      <c r="D1311" s="24" t="s">
        <v>12771</v>
      </c>
      <c r="E1311" s="24" t="s">
        <v>29</v>
      </c>
      <c r="F1311" s="24" t="s">
        <v>47</v>
      </c>
      <c r="G1311" s="24" t="s">
        <v>11968</v>
      </c>
      <c r="H1311" s="24" t="s">
        <v>12772</v>
      </c>
      <c r="I1311" s="24" t="s">
        <v>12773</v>
      </c>
      <c r="J1311" s="24" t="s">
        <v>12774</v>
      </c>
      <c r="K1311" s="24"/>
      <c r="L1311" s="24" t="s">
        <v>52</v>
      </c>
      <c r="M1311" s="15" t="s">
        <v>12775</v>
      </c>
      <c r="N1311" s="15"/>
      <c r="O1311" s="15"/>
      <c r="P1311" s="15" t="s">
        <v>12776</v>
      </c>
      <c r="Q1311" s="15"/>
      <c r="R1311" s="15" t="s">
        <v>12777</v>
      </c>
      <c r="S1311" s="24" t="s">
        <v>71</v>
      </c>
      <c r="T1311" s="24" t="s">
        <v>39</v>
      </c>
      <c r="U1311" s="24" t="s">
        <v>39</v>
      </c>
      <c r="V1311" s="24" t="s">
        <v>39</v>
      </c>
      <c r="W1311" s="24" t="s">
        <v>12778</v>
      </c>
      <c r="X1311" s="24" t="s">
        <v>12779</v>
      </c>
      <c r="Y1311" s="15" t="s">
        <v>12780</v>
      </c>
      <c r="Z1311" s="15" t="s">
        <v>12781</v>
      </c>
      <c r="AA1311" s="24"/>
      <c r="AB1311" s="24"/>
      <c r="AC1311" s="24"/>
      <c r="AD1311" s="24"/>
      <c r="AE1311" s="24"/>
      <c r="AF1311" s="24"/>
      <c r="AG1311" s="24"/>
      <c r="AH1311" s="24"/>
    </row>
    <row r="1312" spans="1:34" ht="30" x14ac:dyDescent="0.25">
      <c r="A1312" s="24" t="str">
        <f>HYPERLINK("https://www.cpso.on.ca/DoctorDetails/Liaqat-Ali/0049334-63312","Ali, Liaqat")</f>
        <v>Ali, Liaqat</v>
      </c>
      <c r="B1312" s="25" t="s">
        <v>12782</v>
      </c>
      <c r="C1312" s="24" t="s">
        <v>12783</v>
      </c>
      <c r="D1312" s="24" t="s">
        <v>12784</v>
      </c>
      <c r="E1312" s="24" t="s">
        <v>29</v>
      </c>
      <c r="F1312" s="24" t="s">
        <v>30</v>
      </c>
      <c r="G1312" s="24" t="s">
        <v>12785</v>
      </c>
      <c r="H1312" s="24" t="s">
        <v>12786</v>
      </c>
      <c r="I1312" s="24" t="s">
        <v>12787</v>
      </c>
      <c r="J1312" s="24" t="s">
        <v>12788</v>
      </c>
      <c r="K1312" s="24" t="s">
        <v>4787</v>
      </c>
      <c r="L1312" s="24" t="s">
        <v>36</v>
      </c>
      <c r="M1312" s="15"/>
      <c r="N1312" s="15"/>
      <c r="O1312" s="15" t="s">
        <v>4788</v>
      </c>
      <c r="P1312" s="15" t="s">
        <v>2640</v>
      </c>
      <c r="Q1312" s="15"/>
      <c r="R1312" s="15" t="s">
        <v>12789</v>
      </c>
      <c r="S1312" s="24" t="s">
        <v>39</v>
      </c>
      <c r="T1312" s="24" t="s">
        <v>39</v>
      </c>
      <c r="U1312" s="24" t="s">
        <v>39</v>
      </c>
      <c r="V1312" s="24" t="s">
        <v>39</v>
      </c>
      <c r="W1312" s="24" t="s">
        <v>12790</v>
      </c>
      <c r="X1312" s="24" t="s">
        <v>12791</v>
      </c>
      <c r="Y1312" s="15" t="s">
        <v>12792</v>
      </c>
      <c r="Z1312" s="15" t="s">
        <v>4793</v>
      </c>
      <c r="AA1312" s="24"/>
      <c r="AB1312" s="24"/>
      <c r="AC1312" s="24"/>
      <c r="AD1312" s="24"/>
      <c r="AE1312" s="24"/>
      <c r="AF1312" s="24"/>
      <c r="AG1312" s="24"/>
      <c r="AH1312" s="24"/>
    </row>
    <row r="1313" spans="1:34" ht="45" x14ac:dyDescent="0.25">
      <c r="A1313" s="24" t="str">
        <f>HYPERLINK("https://www.cpso.on.ca/DoctorDetails/Liisa-Celeste-Johnston/0315317-111255","Johnston, Liisa Celeste")</f>
        <v>Johnston, Liisa Celeste</v>
      </c>
      <c r="B1313" s="25" t="s">
        <v>12793</v>
      </c>
      <c r="C1313" s="24" t="s">
        <v>12794</v>
      </c>
      <c r="D1313" s="24" t="s">
        <v>12795</v>
      </c>
      <c r="E1313" s="24" t="s">
        <v>29</v>
      </c>
      <c r="F1313" s="24" t="s">
        <v>47</v>
      </c>
      <c r="G1313" s="24" t="s">
        <v>31</v>
      </c>
      <c r="H1313" s="24" t="s">
        <v>10931</v>
      </c>
      <c r="I1313" s="24" t="s">
        <v>2153</v>
      </c>
      <c r="J1313" s="24" t="s">
        <v>7068</v>
      </c>
      <c r="K1313" s="24"/>
      <c r="L1313" s="24" t="s">
        <v>84</v>
      </c>
      <c r="M1313" s="15"/>
      <c r="N1313" s="15" t="s">
        <v>194</v>
      </c>
      <c r="O1313" s="15"/>
      <c r="P1313" s="15" t="s">
        <v>550</v>
      </c>
      <c r="Q1313" s="15" t="s">
        <v>12796</v>
      </c>
      <c r="R1313" s="15" t="s">
        <v>12797</v>
      </c>
      <c r="S1313" s="24" t="s">
        <v>39</v>
      </c>
      <c r="T1313" s="24" t="s">
        <v>39</v>
      </c>
      <c r="U1313" s="24" t="s">
        <v>39</v>
      </c>
      <c r="V1313" s="24" t="s">
        <v>39</v>
      </c>
      <c r="W1313" s="24"/>
      <c r="X1313" s="24"/>
      <c r="Y1313" s="15"/>
      <c r="Z1313" s="15"/>
      <c r="AA1313" s="24"/>
      <c r="AB1313" s="24"/>
      <c r="AC1313" s="24"/>
      <c r="AD1313" s="24"/>
      <c r="AE1313" s="24"/>
      <c r="AF1313" s="24"/>
      <c r="AG1313" s="24"/>
      <c r="AH1313" s="24"/>
    </row>
    <row r="1314" spans="1:34" ht="30" x14ac:dyDescent="0.25">
      <c r="A1314" s="24" t="str">
        <f>HYPERLINK("https://www.cpso.on.ca/DoctorDetails/Liliana-Lucy-Monti/0021662-26451","Monti, Liliana Lucy")</f>
        <v>Monti, Liliana Lucy</v>
      </c>
      <c r="B1314" s="25" t="s">
        <v>12798</v>
      </c>
      <c r="C1314" s="24" t="s">
        <v>6559</v>
      </c>
      <c r="D1314" s="24" t="s">
        <v>6560</v>
      </c>
      <c r="E1314" s="24" t="s">
        <v>29</v>
      </c>
      <c r="F1314" s="24" t="s">
        <v>47</v>
      </c>
      <c r="G1314" s="24" t="s">
        <v>2188</v>
      </c>
      <c r="H1314" s="24" t="s">
        <v>6561</v>
      </c>
      <c r="I1314" s="24" t="s">
        <v>12799</v>
      </c>
      <c r="J1314" s="24" t="s">
        <v>12800</v>
      </c>
      <c r="K1314" s="24" t="s">
        <v>12801</v>
      </c>
      <c r="L1314" s="24" t="s">
        <v>184</v>
      </c>
      <c r="M1314" s="15"/>
      <c r="N1314" s="15"/>
      <c r="O1314" s="15"/>
      <c r="P1314" s="15" t="s">
        <v>5323</v>
      </c>
      <c r="Q1314" s="15"/>
      <c r="R1314" s="15" t="s">
        <v>6566</v>
      </c>
      <c r="S1314" s="24" t="s">
        <v>39</v>
      </c>
      <c r="T1314" s="24" t="s">
        <v>39</v>
      </c>
      <c r="U1314" s="24" t="s">
        <v>39</v>
      </c>
      <c r="V1314" s="24" t="s">
        <v>39</v>
      </c>
      <c r="W1314" s="24" t="s">
        <v>6567</v>
      </c>
      <c r="X1314" s="24" t="s">
        <v>6568</v>
      </c>
      <c r="Y1314" s="15" t="s">
        <v>6569</v>
      </c>
      <c r="Z1314" s="15" t="s">
        <v>6570</v>
      </c>
      <c r="AA1314" s="24"/>
      <c r="AB1314" s="24"/>
      <c r="AC1314" s="24"/>
      <c r="AD1314" s="24"/>
      <c r="AE1314" s="24"/>
      <c r="AF1314" s="24"/>
      <c r="AG1314" s="24"/>
      <c r="AH1314" s="24"/>
    </row>
    <row r="1315" spans="1:34" ht="75" x14ac:dyDescent="0.25">
      <c r="A1315" s="24" t="str">
        <f>HYPERLINK("https://www.cpso.on.ca/DoctorDetails/Liliana-Ulic/0146850-71960","Ulic, Liliana")</f>
        <v>Ulic, Liliana</v>
      </c>
      <c r="B1315" s="25" t="s">
        <v>12802</v>
      </c>
      <c r="C1315" s="24" t="s">
        <v>9621</v>
      </c>
      <c r="D1315" s="24" t="s">
        <v>9622</v>
      </c>
      <c r="E1315" s="24" t="s">
        <v>29</v>
      </c>
      <c r="F1315" s="24" t="s">
        <v>47</v>
      </c>
      <c r="G1315" s="24" t="s">
        <v>923</v>
      </c>
      <c r="H1315" s="24" t="s">
        <v>3255</v>
      </c>
      <c r="I1315" s="24" t="s">
        <v>12803</v>
      </c>
      <c r="J1315" s="24" t="s">
        <v>12804</v>
      </c>
      <c r="K1315" s="24" t="s">
        <v>12805</v>
      </c>
      <c r="L1315" s="24" t="s">
        <v>36</v>
      </c>
      <c r="M1315" s="15"/>
      <c r="N1315" s="15"/>
      <c r="O1315" s="15" t="s">
        <v>4094</v>
      </c>
      <c r="P1315" s="15" t="s">
        <v>8909</v>
      </c>
      <c r="Q1315" s="15" t="s">
        <v>12806</v>
      </c>
      <c r="R1315" s="15" t="s">
        <v>12807</v>
      </c>
      <c r="S1315" s="24" t="s">
        <v>39</v>
      </c>
      <c r="T1315" s="24" t="s">
        <v>39</v>
      </c>
      <c r="U1315" s="24" t="s">
        <v>39</v>
      </c>
      <c r="V1315" s="24" t="s">
        <v>39</v>
      </c>
      <c r="W1315" s="24" t="s">
        <v>12808</v>
      </c>
      <c r="X1315" s="24" t="s">
        <v>3262</v>
      </c>
      <c r="Y1315" s="15" t="s">
        <v>12809</v>
      </c>
      <c r="Z1315" s="15" t="s">
        <v>12810</v>
      </c>
      <c r="AA1315" s="24"/>
      <c r="AB1315" s="24"/>
      <c r="AC1315" s="24"/>
      <c r="AD1315" s="24"/>
      <c r="AE1315" s="24"/>
      <c r="AF1315" s="24"/>
      <c r="AG1315" s="24"/>
      <c r="AH1315" s="24"/>
    </row>
    <row r="1316" spans="1:34" x14ac:dyDescent="0.25">
      <c r="A1316" s="24" t="str">
        <f>HYPERLINK("https://www.cpso.on.ca/DoctorDetails/Linda-Alice-Morse/0026025-30848","Morse, Linda Alice")</f>
        <v>Morse, Linda Alice</v>
      </c>
      <c r="B1316" s="25" t="s">
        <v>12811</v>
      </c>
      <c r="C1316" s="24" t="s">
        <v>12812</v>
      </c>
      <c r="D1316" s="24" t="s">
        <v>12813</v>
      </c>
      <c r="E1316" s="24" t="s">
        <v>29</v>
      </c>
      <c r="F1316" s="24" t="s">
        <v>47</v>
      </c>
      <c r="G1316" s="24" t="s">
        <v>31</v>
      </c>
      <c r="H1316" s="24" t="s">
        <v>12814</v>
      </c>
      <c r="I1316" s="24" t="s">
        <v>12815</v>
      </c>
      <c r="J1316" s="24" t="s">
        <v>12816</v>
      </c>
      <c r="K1316" s="24"/>
      <c r="L1316" s="24" t="s">
        <v>84</v>
      </c>
      <c r="M1316" s="15"/>
      <c r="N1316" s="15"/>
      <c r="O1316" s="15"/>
      <c r="P1316" s="15" t="s">
        <v>2459</v>
      </c>
      <c r="Q1316" s="15"/>
      <c r="R1316" s="15" t="s">
        <v>12817</v>
      </c>
      <c r="S1316" s="24" t="s">
        <v>39</v>
      </c>
      <c r="T1316" s="24" t="s">
        <v>39</v>
      </c>
      <c r="U1316" s="24" t="s">
        <v>39</v>
      </c>
      <c r="V1316" s="24" t="s">
        <v>39</v>
      </c>
      <c r="W1316" s="24" t="s">
        <v>12818</v>
      </c>
      <c r="X1316" s="24" t="s">
        <v>12819</v>
      </c>
      <c r="Y1316" s="15" t="s">
        <v>12820</v>
      </c>
      <c r="Z1316" s="15" t="s">
        <v>12821</v>
      </c>
      <c r="AA1316" s="24"/>
      <c r="AB1316" s="24"/>
      <c r="AC1316" s="24"/>
      <c r="AD1316" s="24"/>
      <c r="AE1316" s="24"/>
      <c r="AF1316" s="24"/>
      <c r="AG1316" s="24"/>
      <c r="AH1316" s="24"/>
    </row>
    <row r="1317" spans="1:34" ht="90" x14ac:dyDescent="0.25">
      <c r="A1317" s="24" t="str">
        <f>HYPERLINK("https://www.cpso.on.ca/DoctorDetails/Linda-Cheryl-Patricia-McColl/0181372-76235","McColl, Linda Cheryl Patricia")</f>
        <v>McColl, Linda Cheryl Patricia</v>
      </c>
      <c r="B1317" s="25" t="s">
        <v>12822</v>
      </c>
      <c r="C1317" s="24" t="s">
        <v>1130</v>
      </c>
      <c r="D1317" s="24" t="s">
        <v>12823</v>
      </c>
      <c r="E1317" s="24" t="s">
        <v>29</v>
      </c>
      <c r="F1317" s="24" t="s">
        <v>47</v>
      </c>
      <c r="G1317" s="24" t="s">
        <v>813</v>
      </c>
      <c r="H1317" s="24" t="s">
        <v>12386</v>
      </c>
      <c r="I1317" s="24" t="s">
        <v>12824</v>
      </c>
      <c r="J1317" s="24" t="s">
        <v>3661</v>
      </c>
      <c r="K1317" s="24"/>
      <c r="L1317" s="24" t="s">
        <v>152</v>
      </c>
      <c r="M1317" s="15" t="s">
        <v>12825</v>
      </c>
      <c r="N1317" s="15"/>
      <c r="O1317" s="15" t="s">
        <v>12826</v>
      </c>
      <c r="P1317" s="15" t="s">
        <v>12827</v>
      </c>
      <c r="Q1317" s="15" t="s">
        <v>12828</v>
      </c>
      <c r="R1317" s="15" t="s">
        <v>12829</v>
      </c>
      <c r="S1317" s="24" t="s">
        <v>39</v>
      </c>
      <c r="T1317" s="24" t="s">
        <v>39</v>
      </c>
      <c r="U1317" s="24" t="s">
        <v>39</v>
      </c>
      <c r="V1317" s="24" t="s">
        <v>39</v>
      </c>
      <c r="W1317" s="24" t="s">
        <v>12830</v>
      </c>
      <c r="X1317" s="24" t="s">
        <v>12831</v>
      </c>
      <c r="Y1317" s="15" t="s">
        <v>12832</v>
      </c>
      <c r="Z1317" s="15" t="s">
        <v>12833</v>
      </c>
      <c r="AA1317" s="24"/>
      <c r="AB1317" s="24"/>
      <c r="AC1317" s="24"/>
      <c r="AD1317" s="24"/>
      <c r="AE1317" s="24"/>
      <c r="AF1317" s="24"/>
      <c r="AG1317" s="24"/>
      <c r="AH1317" s="24"/>
    </row>
    <row r="1318" spans="1:34" ht="30" x14ac:dyDescent="0.25">
      <c r="A1318" s="24" t="str">
        <f>HYPERLINK("https://www.cpso.on.ca/DoctorDetails/Linda-Gobessi/0050579-64558","Gobessi, Linda")</f>
        <v>Gobessi, Linda</v>
      </c>
      <c r="B1318" s="25" t="s">
        <v>12834</v>
      </c>
      <c r="C1318" s="24" t="s">
        <v>9693</v>
      </c>
      <c r="D1318" s="24" t="s">
        <v>9694</v>
      </c>
      <c r="E1318" s="24" t="s">
        <v>29</v>
      </c>
      <c r="F1318" s="24" t="s">
        <v>47</v>
      </c>
      <c r="G1318" s="24" t="s">
        <v>813</v>
      </c>
      <c r="H1318" s="24" t="s">
        <v>6276</v>
      </c>
      <c r="I1318" s="24" t="s">
        <v>12835</v>
      </c>
      <c r="J1318" s="24" t="s">
        <v>12836</v>
      </c>
      <c r="K1318" s="24" t="s">
        <v>12837</v>
      </c>
      <c r="L1318" s="24" t="s">
        <v>84</v>
      </c>
      <c r="M1318" s="15"/>
      <c r="N1318" s="15"/>
      <c r="O1318" s="15" t="s">
        <v>1923</v>
      </c>
      <c r="P1318" s="15" t="s">
        <v>3954</v>
      </c>
      <c r="Q1318" s="15" t="s">
        <v>12838</v>
      </c>
      <c r="R1318" s="15" t="s">
        <v>9697</v>
      </c>
      <c r="S1318" s="24" t="s">
        <v>39</v>
      </c>
      <c r="T1318" s="24" t="s">
        <v>39</v>
      </c>
      <c r="U1318" s="24" t="s">
        <v>39</v>
      </c>
      <c r="V1318" s="24" t="s">
        <v>39</v>
      </c>
      <c r="W1318" s="24" t="s">
        <v>12839</v>
      </c>
      <c r="X1318" s="24" t="s">
        <v>12840</v>
      </c>
      <c r="Y1318" s="15" t="s">
        <v>12841</v>
      </c>
      <c r="Z1318" s="15" t="s">
        <v>12842</v>
      </c>
      <c r="AA1318" s="24"/>
      <c r="AB1318" s="24"/>
      <c r="AC1318" s="24"/>
      <c r="AD1318" s="24"/>
      <c r="AE1318" s="24"/>
      <c r="AF1318" s="24"/>
      <c r="AG1318" s="24"/>
      <c r="AH1318" s="24"/>
    </row>
    <row r="1319" spans="1:34" ht="75" x14ac:dyDescent="0.25">
      <c r="A1319" s="24" t="str">
        <f>HYPERLINK("https://www.cpso.on.ca/DoctorDetails/Linda-Lee-Huehn/0036827-50803","Huehn, Linda Lee")</f>
        <v>Huehn, Linda Lee</v>
      </c>
      <c r="B1319" s="25" t="s">
        <v>12843</v>
      </c>
      <c r="C1319" s="24" t="s">
        <v>2132</v>
      </c>
      <c r="D1319" s="24" t="s">
        <v>12844</v>
      </c>
      <c r="E1319" s="24" t="s">
        <v>29</v>
      </c>
      <c r="F1319" s="24" t="s">
        <v>47</v>
      </c>
      <c r="G1319" s="24" t="s">
        <v>31</v>
      </c>
      <c r="H1319" s="24" t="s">
        <v>3737</v>
      </c>
      <c r="I1319" s="24" t="s">
        <v>3285</v>
      </c>
      <c r="J1319" s="24" t="s">
        <v>12845</v>
      </c>
      <c r="K1319" s="24" t="s">
        <v>3287</v>
      </c>
      <c r="L1319" s="24" t="s">
        <v>84</v>
      </c>
      <c r="M1319" s="15"/>
      <c r="N1319" s="15"/>
      <c r="O1319" s="15"/>
      <c r="P1319" s="15" t="s">
        <v>4499</v>
      </c>
      <c r="Q1319" s="15" t="s">
        <v>12846</v>
      </c>
      <c r="R1319" s="15" t="s">
        <v>12847</v>
      </c>
      <c r="S1319" s="24" t="s">
        <v>39</v>
      </c>
      <c r="T1319" s="24" t="s">
        <v>39</v>
      </c>
      <c r="U1319" s="24" t="s">
        <v>39</v>
      </c>
      <c r="V1319" s="24" t="s">
        <v>39</v>
      </c>
      <c r="W1319" s="24"/>
      <c r="X1319" s="24"/>
      <c r="Y1319" s="15"/>
      <c r="Z1319" s="15"/>
      <c r="AA1319" s="24"/>
      <c r="AB1319" s="24"/>
      <c r="AC1319" s="24"/>
      <c r="AD1319" s="24"/>
      <c r="AE1319" s="24"/>
      <c r="AF1319" s="24"/>
      <c r="AG1319" s="24"/>
      <c r="AH1319" s="24"/>
    </row>
    <row r="1320" spans="1:34" x14ac:dyDescent="0.25">
      <c r="A1320" s="24" t="str">
        <f>HYPERLINK("https://www.cpso.on.ca/DoctorDetails/Linda-Mah/0165372-74271","Mah, Linda")</f>
        <v>Mah, Linda</v>
      </c>
      <c r="B1320" s="25" t="s">
        <v>12848</v>
      </c>
      <c r="C1320" s="24" t="s">
        <v>12849</v>
      </c>
      <c r="D1320" s="24" t="s">
        <v>12850</v>
      </c>
      <c r="E1320" s="24" t="s">
        <v>29</v>
      </c>
      <c r="F1320" s="24" t="s">
        <v>47</v>
      </c>
      <c r="G1320" s="24" t="s">
        <v>31</v>
      </c>
      <c r="H1320" s="24" t="s">
        <v>12249</v>
      </c>
      <c r="I1320" s="24" t="s">
        <v>12851</v>
      </c>
      <c r="J1320" s="24" t="s">
        <v>12852</v>
      </c>
      <c r="K1320" s="24" t="s">
        <v>12853</v>
      </c>
      <c r="L1320" s="24" t="s">
        <v>52</v>
      </c>
      <c r="M1320" s="15"/>
      <c r="N1320" s="15"/>
      <c r="O1320" s="15"/>
      <c r="P1320" s="15" t="s">
        <v>1677</v>
      </c>
      <c r="Q1320" s="15"/>
      <c r="R1320" s="15" t="s">
        <v>12854</v>
      </c>
      <c r="S1320" s="24" t="s">
        <v>39</v>
      </c>
      <c r="T1320" s="24" t="s">
        <v>39</v>
      </c>
      <c r="U1320" s="24" t="s">
        <v>39</v>
      </c>
      <c r="V1320" s="24" t="s">
        <v>39</v>
      </c>
      <c r="W1320" s="24"/>
      <c r="X1320" s="24"/>
      <c r="Y1320" s="15"/>
      <c r="Z1320" s="15"/>
      <c r="AA1320" s="24"/>
      <c r="AB1320" s="24"/>
      <c r="AC1320" s="24"/>
      <c r="AD1320" s="24"/>
      <c r="AE1320" s="24"/>
      <c r="AF1320" s="24"/>
      <c r="AG1320" s="24"/>
      <c r="AH1320" s="24"/>
    </row>
    <row r="1321" spans="1:34" ht="90" x14ac:dyDescent="0.25">
      <c r="A1321" s="24" t="str">
        <f>HYPERLINK("https://www.cpso.on.ca/DoctorDetails/Linda-Ruth-Plowright/0232605-84771","Plowright, Linda Ruth")</f>
        <v>Plowright, Linda Ruth</v>
      </c>
      <c r="B1321" s="25" t="s">
        <v>12855</v>
      </c>
      <c r="C1321" s="24" t="s">
        <v>12856</v>
      </c>
      <c r="D1321" s="24" t="s">
        <v>12857</v>
      </c>
      <c r="E1321" s="24" t="s">
        <v>29</v>
      </c>
      <c r="F1321" s="24" t="s">
        <v>47</v>
      </c>
      <c r="G1321" s="24" t="s">
        <v>31</v>
      </c>
      <c r="H1321" s="24" t="s">
        <v>2613</v>
      </c>
      <c r="I1321" s="24" t="s">
        <v>12858</v>
      </c>
      <c r="J1321" s="24" t="s">
        <v>12859</v>
      </c>
      <c r="K1321" s="24"/>
      <c r="L1321" s="24" t="s">
        <v>135</v>
      </c>
      <c r="M1321" s="15"/>
      <c r="N1321" s="15"/>
      <c r="O1321" s="15"/>
      <c r="P1321" s="15" t="s">
        <v>654</v>
      </c>
      <c r="Q1321" s="15" t="s">
        <v>12860</v>
      </c>
      <c r="R1321" s="15" t="s">
        <v>12861</v>
      </c>
      <c r="S1321" s="24" t="s">
        <v>39</v>
      </c>
      <c r="T1321" s="24" t="s">
        <v>39</v>
      </c>
      <c r="U1321" s="24" t="s">
        <v>39</v>
      </c>
      <c r="V1321" s="24" t="s">
        <v>39</v>
      </c>
      <c r="W1321" s="24"/>
      <c r="X1321" s="24"/>
      <c r="Y1321" s="15"/>
      <c r="Z1321" s="15"/>
      <c r="AA1321" s="24"/>
      <c r="AB1321" s="24"/>
      <c r="AC1321" s="24"/>
      <c r="AD1321" s="24"/>
      <c r="AE1321" s="24"/>
      <c r="AF1321" s="24"/>
      <c r="AG1321" s="24"/>
      <c r="AH1321" s="24"/>
    </row>
    <row r="1322" spans="1:34" ht="30" x14ac:dyDescent="0.25">
      <c r="A1322" s="24" t="str">
        <f>HYPERLINK("https://www.cpso.on.ca/DoctorDetails/Linda-Susan-Hussey/0039041-53017","Hussey, Linda Susan")</f>
        <v>Hussey, Linda Susan</v>
      </c>
      <c r="B1322" s="25" t="s">
        <v>12862</v>
      </c>
      <c r="C1322" s="24" t="s">
        <v>6867</v>
      </c>
      <c r="D1322" s="24" t="s">
        <v>12863</v>
      </c>
      <c r="E1322" s="24" t="s">
        <v>29</v>
      </c>
      <c r="F1322" s="24" t="s">
        <v>47</v>
      </c>
      <c r="G1322" s="24" t="s">
        <v>31</v>
      </c>
      <c r="H1322" s="24" t="s">
        <v>12864</v>
      </c>
      <c r="I1322" s="24" t="s">
        <v>10678</v>
      </c>
      <c r="J1322" s="24" t="s">
        <v>12865</v>
      </c>
      <c r="K1322" s="24"/>
      <c r="L1322" s="24" t="s">
        <v>65</v>
      </c>
      <c r="M1322" s="15"/>
      <c r="N1322" s="15"/>
      <c r="O1322" s="15" t="s">
        <v>4228</v>
      </c>
      <c r="P1322" s="15" t="s">
        <v>3857</v>
      </c>
      <c r="Q1322" s="15"/>
      <c r="R1322" s="15" t="s">
        <v>12866</v>
      </c>
      <c r="S1322" s="24" t="s">
        <v>39</v>
      </c>
      <c r="T1322" s="24" t="s">
        <v>39</v>
      </c>
      <c r="U1322" s="24" t="s">
        <v>39</v>
      </c>
      <c r="V1322" s="24" t="s">
        <v>39</v>
      </c>
      <c r="W1322" s="24" t="s">
        <v>12867</v>
      </c>
      <c r="X1322" s="24" t="s">
        <v>2419</v>
      </c>
      <c r="Y1322" s="15" t="s">
        <v>12868</v>
      </c>
      <c r="Z1322" s="15" t="s">
        <v>10684</v>
      </c>
      <c r="AA1322" s="24"/>
      <c r="AB1322" s="24"/>
      <c r="AC1322" s="24"/>
      <c r="AD1322" s="24"/>
      <c r="AE1322" s="24"/>
      <c r="AF1322" s="24"/>
      <c r="AG1322" s="24"/>
      <c r="AH1322" s="24"/>
    </row>
    <row r="1323" spans="1:34" ht="60" x14ac:dyDescent="0.25">
      <c r="A1323" s="24" t="str">
        <f>HYPERLINK("https://www.cpso.on.ca/DoctorDetails/Linda-Susan-Saffer/0026767-31590","Saffer, Linda Susan")</f>
        <v>Saffer, Linda Susan</v>
      </c>
      <c r="B1323" s="25" t="s">
        <v>12869</v>
      </c>
      <c r="C1323" s="24" t="s">
        <v>12870</v>
      </c>
      <c r="D1323" s="24" t="s">
        <v>12871</v>
      </c>
      <c r="E1323" s="24" t="s">
        <v>12872</v>
      </c>
      <c r="F1323" s="24" t="s">
        <v>47</v>
      </c>
      <c r="G1323" s="24" t="s">
        <v>252</v>
      </c>
      <c r="H1323" s="24" t="s">
        <v>434</v>
      </c>
      <c r="I1323" s="24" t="s">
        <v>12873</v>
      </c>
      <c r="J1323" s="24" t="s">
        <v>12874</v>
      </c>
      <c r="K1323" s="24" t="s">
        <v>12875</v>
      </c>
      <c r="L1323" s="24" t="s">
        <v>36</v>
      </c>
      <c r="M1323" s="15"/>
      <c r="N1323" s="15"/>
      <c r="O1323" s="15"/>
      <c r="P1323" s="15" t="s">
        <v>3299</v>
      </c>
      <c r="Q1323" s="15" t="s">
        <v>12876</v>
      </c>
      <c r="R1323" s="15" t="s">
        <v>12877</v>
      </c>
      <c r="S1323" s="24" t="s">
        <v>39</v>
      </c>
      <c r="T1323" s="24" t="s">
        <v>39</v>
      </c>
      <c r="U1323" s="24" t="s">
        <v>39</v>
      </c>
      <c r="V1323" s="24" t="s">
        <v>39</v>
      </c>
      <c r="W1323" s="24" t="s">
        <v>12878</v>
      </c>
      <c r="X1323" s="24" t="s">
        <v>12879</v>
      </c>
      <c r="Y1323" s="15" t="s">
        <v>12880</v>
      </c>
      <c r="Z1323" s="15" t="s">
        <v>12881</v>
      </c>
      <c r="AA1323" s="24"/>
      <c r="AB1323" s="24"/>
      <c r="AC1323" s="24"/>
      <c r="AD1323" s="24"/>
      <c r="AE1323" s="24"/>
      <c r="AF1323" s="24"/>
      <c r="AG1323" s="24"/>
      <c r="AH1323" s="24"/>
    </row>
    <row r="1324" spans="1:34" ht="75" x14ac:dyDescent="0.25">
      <c r="A1324" s="24" t="str">
        <f>HYPERLINK("https://www.cpso.on.ca/DoctorDetails/Lindsey-Elizabeth-Suzanne-MacGillivray/0280897-98781","MacGillivray, Lindsey Elizabeth Suzanne")</f>
        <v>MacGillivray, Lindsey Elizabeth Suzanne</v>
      </c>
      <c r="B1324" s="25" t="s">
        <v>12882</v>
      </c>
      <c r="C1324" s="24" t="s">
        <v>544</v>
      </c>
      <c r="D1324" s="24" t="s">
        <v>545</v>
      </c>
      <c r="E1324" s="24" t="s">
        <v>29</v>
      </c>
      <c r="F1324" s="24" t="s">
        <v>47</v>
      </c>
      <c r="G1324" s="24" t="s">
        <v>31</v>
      </c>
      <c r="H1324" s="24" t="s">
        <v>2650</v>
      </c>
      <c r="I1324" s="24" t="s">
        <v>12883</v>
      </c>
      <c r="J1324" s="24" t="s">
        <v>12884</v>
      </c>
      <c r="K1324" s="24"/>
      <c r="L1324" s="24" t="s">
        <v>52</v>
      </c>
      <c r="M1324" s="15"/>
      <c r="N1324" s="15"/>
      <c r="O1324" s="15" t="s">
        <v>1867</v>
      </c>
      <c r="P1324" s="15" t="s">
        <v>550</v>
      </c>
      <c r="Q1324" s="15" t="s">
        <v>982</v>
      </c>
      <c r="R1324" s="15" t="s">
        <v>552</v>
      </c>
      <c r="S1324" s="24" t="s">
        <v>39</v>
      </c>
      <c r="T1324" s="24" t="s">
        <v>39</v>
      </c>
      <c r="U1324" s="24" t="s">
        <v>39</v>
      </c>
      <c r="V1324" s="24" t="s">
        <v>39</v>
      </c>
      <c r="W1324" s="24"/>
      <c r="X1324" s="24"/>
      <c r="Y1324" s="15"/>
      <c r="Z1324" s="15"/>
      <c r="AA1324" s="24"/>
      <c r="AB1324" s="24"/>
      <c r="AC1324" s="24"/>
      <c r="AD1324" s="24"/>
      <c r="AE1324" s="24"/>
      <c r="AF1324" s="24"/>
      <c r="AG1324" s="24"/>
      <c r="AH1324" s="24"/>
    </row>
    <row r="1325" spans="1:34" ht="75" x14ac:dyDescent="0.25">
      <c r="A1325" s="24" t="str">
        <f>HYPERLINK("https://www.cpso.on.ca/DoctorDetails/Lindsey-Jane-George/0057324-68912","George, Lindsey Jane")</f>
        <v>George, Lindsey Jane</v>
      </c>
      <c r="B1325" s="25" t="s">
        <v>12885</v>
      </c>
      <c r="C1325" s="24" t="s">
        <v>3831</v>
      </c>
      <c r="D1325" s="24" t="s">
        <v>214</v>
      </c>
      <c r="E1325" s="24" t="s">
        <v>29</v>
      </c>
      <c r="F1325" s="24" t="s">
        <v>47</v>
      </c>
      <c r="G1325" s="24" t="s">
        <v>31</v>
      </c>
      <c r="H1325" s="24" t="s">
        <v>3932</v>
      </c>
      <c r="I1325" s="24" t="s">
        <v>12886</v>
      </c>
      <c r="J1325" s="24" t="s">
        <v>12887</v>
      </c>
      <c r="K1325" s="24" t="s">
        <v>12888</v>
      </c>
      <c r="L1325" s="24" t="s">
        <v>184</v>
      </c>
      <c r="M1325" s="15"/>
      <c r="N1325" s="15"/>
      <c r="O1325" s="15"/>
      <c r="P1325" s="15" t="s">
        <v>1343</v>
      </c>
      <c r="Q1325" s="15" t="s">
        <v>3936</v>
      </c>
      <c r="R1325" s="15" t="s">
        <v>3839</v>
      </c>
      <c r="S1325" s="24" t="s">
        <v>39</v>
      </c>
      <c r="T1325" s="24" t="s">
        <v>39</v>
      </c>
      <c r="U1325" s="24" t="s">
        <v>39</v>
      </c>
      <c r="V1325" s="24" t="s">
        <v>39</v>
      </c>
      <c r="W1325" s="24"/>
      <c r="X1325" s="24"/>
      <c r="Y1325" s="15"/>
      <c r="Z1325" s="15"/>
      <c r="AA1325" s="24"/>
      <c r="AB1325" s="24"/>
      <c r="AC1325" s="24"/>
      <c r="AD1325" s="24"/>
      <c r="AE1325" s="24"/>
      <c r="AF1325" s="24"/>
      <c r="AG1325" s="24"/>
      <c r="AH1325" s="24"/>
    </row>
    <row r="1326" spans="1:34" ht="45" x14ac:dyDescent="0.25">
      <c r="A1326" s="24" t="str">
        <f>HYPERLINK("https://www.cpso.on.ca/DoctorDetails/Lino-Andre-Pistor/0027919-32742","Pistor, Lino Andre")</f>
        <v>Pistor, Lino Andre</v>
      </c>
      <c r="B1326" s="25" t="s">
        <v>12889</v>
      </c>
      <c r="C1326" s="24" t="s">
        <v>12890</v>
      </c>
      <c r="D1326" s="24" t="s">
        <v>3155</v>
      </c>
      <c r="E1326" s="24" t="s">
        <v>29</v>
      </c>
      <c r="F1326" s="24" t="s">
        <v>30</v>
      </c>
      <c r="G1326" s="24" t="s">
        <v>31</v>
      </c>
      <c r="H1326" s="24" t="s">
        <v>9945</v>
      </c>
      <c r="I1326" s="24" t="s">
        <v>1852</v>
      </c>
      <c r="J1326" s="24" t="s">
        <v>1853</v>
      </c>
      <c r="K1326" s="24" t="s">
        <v>6932</v>
      </c>
      <c r="L1326" s="24" t="s">
        <v>328</v>
      </c>
      <c r="M1326" s="15" t="s">
        <v>12891</v>
      </c>
      <c r="N1326" s="15"/>
      <c r="O1326" s="15"/>
      <c r="P1326" s="15" t="s">
        <v>1771</v>
      </c>
      <c r="Q1326" s="15" t="s">
        <v>12892</v>
      </c>
      <c r="R1326" s="15" t="s">
        <v>3159</v>
      </c>
      <c r="S1326" s="24" t="s">
        <v>39</v>
      </c>
      <c r="T1326" s="24" t="s">
        <v>39</v>
      </c>
      <c r="U1326" s="24" t="s">
        <v>39</v>
      </c>
      <c r="V1326" s="24" t="s">
        <v>39</v>
      </c>
      <c r="W1326" s="24" t="s">
        <v>12893</v>
      </c>
      <c r="X1326" s="24" t="s">
        <v>12894</v>
      </c>
      <c r="Y1326" s="15" t="s">
        <v>12895</v>
      </c>
      <c r="Z1326" s="15" t="s">
        <v>12896</v>
      </c>
      <c r="AA1326" s="24"/>
      <c r="AB1326" s="24"/>
      <c r="AC1326" s="24"/>
      <c r="AD1326" s="24"/>
      <c r="AE1326" s="24"/>
      <c r="AF1326" s="24"/>
      <c r="AG1326" s="24"/>
      <c r="AH1326" s="24"/>
    </row>
    <row r="1327" spans="1:34" x14ac:dyDescent="0.25">
      <c r="A1327" s="24" t="str">
        <f>HYPERLINK("https://www.cpso.on.ca/DoctorDetails/Lionel-Gerber/0051782-65761","Gerber, Lionel")</f>
        <v>Gerber, Lionel</v>
      </c>
      <c r="B1327" s="25" t="s">
        <v>12897</v>
      </c>
      <c r="C1327" s="24" t="s">
        <v>9864</v>
      </c>
      <c r="D1327" s="24" t="s">
        <v>12898</v>
      </c>
      <c r="E1327" s="24" t="s">
        <v>29</v>
      </c>
      <c r="F1327" s="24" t="s">
        <v>30</v>
      </c>
      <c r="G1327" s="24" t="s">
        <v>31</v>
      </c>
      <c r="H1327" s="24" t="s">
        <v>12899</v>
      </c>
      <c r="I1327" s="24" t="s">
        <v>12900</v>
      </c>
      <c r="J1327" s="24" t="s">
        <v>12901</v>
      </c>
      <c r="K1327" s="24" t="s">
        <v>2124</v>
      </c>
      <c r="L1327" s="24" t="s">
        <v>52</v>
      </c>
      <c r="M1327" s="15"/>
      <c r="N1327" s="15"/>
      <c r="O1327" s="15" t="s">
        <v>1397</v>
      </c>
      <c r="P1327" s="15" t="s">
        <v>1984</v>
      </c>
      <c r="Q1327" s="15"/>
      <c r="R1327" s="15" t="s">
        <v>12902</v>
      </c>
      <c r="S1327" s="24" t="s">
        <v>39</v>
      </c>
      <c r="T1327" s="24" t="s">
        <v>39</v>
      </c>
      <c r="U1327" s="24" t="s">
        <v>39</v>
      </c>
      <c r="V1327" s="24" t="s">
        <v>39</v>
      </c>
      <c r="W1327" s="24"/>
      <c r="X1327" s="24"/>
      <c r="Y1327" s="15"/>
      <c r="Z1327" s="15"/>
      <c r="AA1327" s="24"/>
      <c r="AB1327" s="24"/>
      <c r="AC1327" s="24"/>
      <c r="AD1327" s="24"/>
      <c r="AE1327" s="24"/>
      <c r="AF1327" s="24"/>
      <c r="AG1327" s="24"/>
      <c r="AH1327" s="24"/>
    </row>
    <row r="1328" spans="1:34" ht="60" x14ac:dyDescent="0.25">
      <c r="A1328" s="24" t="str">
        <f>HYPERLINK("https://www.cpso.on.ca/DoctorDetails/Lionel-Trevor-Young/0040599-54575","Young, Lionel Trevor")</f>
        <v>Young, Lionel Trevor</v>
      </c>
      <c r="B1328" s="25" t="s">
        <v>12903</v>
      </c>
      <c r="C1328" s="24" t="s">
        <v>12904</v>
      </c>
      <c r="D1328" s="24" t="s">
        <v>12905</v>
      </c>
      <c r="E1328" s="24" t="s">
        <v>29</v>
      </c>
      <c r="F1328" s="24" t="s">
        <v>30</v>
      </c>
      <c r="G1328" s="24" t="s">
        <v>31</v>
      </c>
      <c r="H1328" s="24" t="s">
        <v>2637</v>
      </c>
      <c r="I1328" s="24" t="s">
        <v>12906</v>
      </c>
      <c r="J1328" s="24" t="s">
        <v>12907</v>
      </c>
      <c r="K1328" s="24"/>
      <c r="L1328" s="24" t="s">
        <v>52</v>
      </c>
      <c r="M1328" s="15"/>
      <c r="N1328" s="15"/>
      <c r="O1328" s="15" t="s">
        <v>12908</v>
      </c>
      <c r="P1328" s="15" t="s">
        <v>3194</v>
      </c>
      <c r="Q1328" s="15"/>
      <c r="R1328" s="15" t="s">
        <v>12909</v>
      </c>
      <c r="S1328" s="24" t="s">
        <v>39</v>
      </c>
      <c r="T1328" s="24" t="s">
        <v>39</v>
      </c>
      <c r="U1328" s="24" t="s">
        <v>39</v>
      </c>
      <c r="V1328" s="24" t="s">
        <v>39</v>
      </c>
      <c r="W1328" s="24" t="s">
        <v>12910</v>
      </c>
      <c r="X1328" s="24" t="s">
        <v>12911</v>
      </c>
      <c r="Y1328" s="15" t="s">
        <v>12912</v>
      </c>
      <c r="Z1328" s="15" t="s">
        <v>12913</v>
      </c>
      <c r="AA1328" s="24"/>
      <c r="AB1328" s="24"/>
      <c r="AC1328" s="24"/>
      <c r="AD1328" s="24"/>
      <c r="AE1328" s="24"/>
      <c r="AF1328" s="24"/>
      <c r="AG1328" s="24"/>
      <c r="AH1328" s="24"/>
    </row>
    <row r="1329" spans="1:34" ht="75" x14ac:dyDescent="0.25">
      <c r="A1329" s="24" t="str">
        <f>HYPERLINK("https://www.cpso.on.ca/DoctorDetails/Lisa-Anna-Louise-Ramshaw/0057357-68945","Ramshaw, Lisa Anna Louise")</f>
        <v>Ramshaw, Lisa Anna Louise</v>
      </c>
      <c r="B1329" s="25" t="s">
        <v>12914</v>
      </c>
      <c r="C1329" s="24" t="s">
        <v>3831</v>
      </c>
      <c r="D1329" s="24" t="s">
        <v>214</v>
      </c>
      <c r="E1329" s="24" t="s">
        <v>12915</v>
      </c>
      <c r="F1329" s="24" t="s">
        <v>47</v>
      </c>
      <c r="G1329" s="24" t="s">
        <v>31</v>
      </c>
      <c r="H1329" s="24" t="s">
        <v>3932</v>
      </c>
      <c r="I1329" s="24" t="s">
        <v>12916</v>
      </c>
      <c r="J1329" s="24" t="s">
        <v>12917</v>
      </c>
      <c r="K1329" s="24" t="s">
        <v>10072</v>
      </c>
      <c r="L1329" s="24" t="s">
        <v>52</v>
      </c>
      <c r="M1329" s="15"/>
      <c r="N1329" s="15" t="s">
        <v>342</v>
      </c>
      <c r="O1329" s="15" t="s">
        <v>842</v>
      </c>
      <c r="P1329" s="15" t="s">
        <v>1343</v>
      </c>
      <c r="Q1329" s="15" t="s">
        <v>4714</v>
      </c>
      <c r="R1329" s="15" t="s">
        <v>3839</v>
      </c>
      <c r="S1329" s="24" t="s">
        <v>39</v>
      </c>
      <c r="T1329" s="24" t="s">
        <v>39</v>
      </c>
      <c r="U1329" s="24" t="s">
        <v>39</v>
      </c>
      <c r="V1329" s="24" t="s">
        <v>39</v>
      </c>
      <c r="W1329" s="24" t="s">
        <v>12918</v>
      </c>
      <c r="X1329" s="24" t="s">
        <v>12919</v>
      </c>
      <c r="Y1329" s="15" t="s">
        <v>12920</v>
      </c>
      <c r="Z1329" s="15" t="s">
        <v>12921</v>
      </c>
      <c r="AA1329" s="24"/>
      <c r="AB1329" s="24"/>
      <c r="AC1329" s="24"/>
      <c r="AD1329" s="24"/>
      <c r="AE1329" s="24"/>
      <c r="AF1329" s="24"/>
      <c r="AG1329" s="24"/>
      <c r="AH1329" s="24"/>
    </row>
    <row r="1330" spans="1:34" ht="135" x14ac:dyDescent="0.25">
      <c r="A1330" s="24" t="str">
        <f>HYPERLINK("https://www.cpso.on.ca/DoctorDetails/Lisa-Anne-Bogue/0056274-67862","Bogue, Lisa Anne")</f>
        <v>Bogue, Lisa Anne</v>
      </c>
      <c r="B1330" s="25" t="s">
        <v>12922</v>
      </c>
      <c r="C1330" s="24" t="s">
        <v>1669</v>
      </c>
      <c r="D1330" s="24" t="s">
        <v>12923</v>
      </c>
      <c r="E1330" s="24" t="s">
        <v>29</v>
      </c>
      <c r="F1330" s="24" t="s">
        <v>47</v>
      </c>
      <c r="G1330" s="24" t="s">
        <v>31</v>
      </c>
      <c r="H1330" s="24" t="s">
        <v>12924</v>
      </c>
      <c r="I1330" s="24" t="s">
        <v>12925</v>
      </c>
      <c r="J1330" s="24" t="s">
        <v>12926</v>
      </c>
      <c r="K1330" s="24" t="s">
        <v>12927</v>
      </c>
      <c r="L1330" s="24" t="s">
        <v>135</v>
      </c>
      <c r="M1330" s="15"/>
      <c r="N1330" s="15"/>
      <c r="O1330" s="15"/>
      <c r="P1330" s="15" t="s">
        <v>562</v>
      </c>
      <c r="Q1330" s="15" t="s">
        <v>12928</v>
      </c>
      <c r="R1330" s="15" t="s">
        <v>12929</v>
      </c>
      <c r="S1330" s="24" t="s">
        <v>39</v>
      </c>
      <c r="T1330" s="24" t="s">
        <v>39</v>
      </c>
      <c r="U1330" s="24" t="s">
        <v>39</v>
      </c>
      <c r="V1330" s="24" t="s">
        <v>39</v>
      </c>
      <c r="W1330" s="24"/>
      <c r="X1330" s="24"/>
      <c r="Y1330" s="15"/>
      <c r="Z1330" s="15"/>
      <c r="AA1330" s="24"/>
      <c r="AB1330" s="24"/>
      <c r="AC1330" s="24"/>
      <c r="AD1330" s="24"/>
      <c r="AE1330" s="24"/>
      <c r="AF1330" s="24"/>
      <c r="AG1330" s="24"/>
      <c r="AH1330" s="24"/>
    </row>
    <row r="1331" spans="1:34" ht="30" x14ac:dyDescent="0.25">
      <c r="A1331" s="24" t="str">
        <f>HYPERLINK("https://www.cpso.on.ca/DoctorDetails/Lisa-Anne-McMurray/0062886-74583","McMurray, Lisa Anne")</f>
        <v>McMurray, Lisa Anne</v>
      </c>
      <c r="B1331" s="25" t="s">
        <v>12930</v>
      </c>
      <c r="C1331" s="24" t="s">
        <v>12931</v>
      </c>
      <c r="D1331" s="24" t="s">
        <v>12932</v>
      </c>
      <c r="E1331" s="24" t="s">
        <v>29</v>
      </c>
      <c r="F1331" s="24" t="s">
        <v>47</v>
      </c>
      <c r="G1331" s="24" t="s">
        <v>813</v>
      </c>
      <c r="H1331" s="24" t="s">
        <v>1671</v>
      </c>
      <c r="I1331" s="24" t="s">
        <v>11662</v>
      </c>
      <c r="J1331" s="24" t="s">
        <v>1511</v>
      </c>
      <c r="K1331" s="24" t="s">
        <v>1613</v>
      </c>
      <c r="L1331" s="24" t="s">
        <v>84</v>
      </c>
      <c r="M1331" s="15"/>
      <c r="N1331" s="15" t="s">
        <v>710</v>
      </c>
      <c r="O1331" s="15" t="s">
        <v>1309</v>
      </c>
      <c r="P1331" s="15" t="s">
        <v>1677</v>
      </c>
      <c r="Q1331" s="15"/>
      <c r="R1331" s="15" t="s">
        <v>12933</v>
      </c>
      <c r="S1331" s="24" t="s">
        <v>39</v>
      </c>
      <c r="T1331" s="24" t="s">
        <v>39</v>
      </c>
      <c r="U1331" s="24" t="s">
        <v>39</v>
      </c>
      <c r="V1331" s="24" t="s">
        <v>39</v>
      </c>
      <c r="W1331" s="24" t="s">
        <v>12934</v>
      </c>
      <c r="X1331" s="24" t="s">
        <v>12935</v>
      </c>
      <c r="Y1331" s="15" t="s">
        <v>12936</v>
      </c>
      <c r="Z1331" s="15" t="s">
        <v>718</v>
      </c>
      <c r="AA1331" s="24"/>
      <c r="AB1331" s="24"/>
      <c r="AC1331" s="24"/>
      <c r="AD1331" s="24"/>
      <c r="AE1331" s="24"/>
      <c r="AF1331" s="24"/>
      <c r="AG1331" s="24"/>
      <c r="AH1331" s="24"/>
    </row>
    <row r="1332" spans="1:34" ht="75" x14ac:dyDescent="0.25">
      <c r="A1332" s="24" t="str">
        <f>HYPERLINK("https://www.cpso.on.ca/DoctorDetails/Lisa-Basya-Judith-Sheinin/0041713-55689","Sheinin, Lisa Basya Judith")</f>
        <v>Sheinin, Lisa Basya Judith</v>
      </c>
      <c r="B1332" s="25" t="s">
        <v>12937</v>
      </c>
      <c r="C1332" s="24" t="s">
        <v>2902</v>
      </c>
      <c r="D1332" s="24" t="s">
        <v>4119</v>
      </c>
      <c r="E1332" s="24" t="s">
        <v>29</v>
      </c>
      <c r="F1332" s="24" t="s">
        <v>47</v>
      </c>
      <c r="G1332" s="24" t="s">
        <v>813</v>
      </c>
      <c r="H1332" s="24" t="s">
        <v>2904</v>
      </c>
      <c r="I1332" s="24" t="s">
        <v>12938</v>
      </c>
      <c r="J1332" s="24" t="s">
        <v>12939</v>
      </c>
      <c r="K1332" s="24" t="s">
        <v>12940</v>
      </c>
      <c r="L1332" s="24" t="s">
        <v>52</v>
      </c>
      <c r="M1332" s="15" t="s">
        <v>12941</v>
      </c>
      <c r="N1332" s="15"/>
      <c r="O1332" s="15"/>
      <c r="P1332" s="15" t="s">
        <v>2908</v>
      </c>
      <c r="Q1332" s="15" t="s">
        <v>12942</v>
      </c>
      <c r="R1332" s="15" t="s">
        <v>4124</v>
      </c>
      <c r="S1332" s="24" t="s">
        <v>39</v>
      </c>
      <c r="T1332" s="24" t="s">
        <v>39</v>
      </c>
      <c r="U1332" s="24" t="s">
        <v>39</v>
      </c>
      <c r="V1332" s="24" t="s">
        <v>39</v>
      </c>
      <c r="W1332" s="24"/>
      <c r="X1332" s="24"/>
      <c r="Y1332" s="15"/>
      <c r="Z1332" s="15"/>
      <c r="AA1332" s="24"/>
      <c r="AB1332" s="24"/>
      <c r="AC1332" s="24"/>
      <c r="AD1332" s="24"/>
      <c r="AE1332" s="24"/>
      <c r="AF1332" s="24"/>
      <c r="AG1332" s="24"/>
      <c r="AH1332" s="24"/>
    </row>
    <row r="1333" spans="1:34" ht="90" x14ac:dyDescent="0.25">
      <c r="A1333" s="24" t="str">
        <f>HYPERLINK("https://www.cpso.on.ca/DoctorDetails/Lisa-Francesca-Simone-Andermann/0133617-70267","Andermann, Lisa Francesca Simone")</f>
        <v>Andermann, Lisa Francesca Simone</v>
      </c>
      <c r="B1333" s="25" t="s">
        <v>12943</v>
      </c>
      <c r="C1333" s="24" t="s">
        <v>2673</v>
      </c>
      <c r="D1333" s="24" t="s">
        <v>2674</v>
      </c>
      <c r="E1333" s="24" t="s">
        <v>29</v>
      </c>
      <c r="F1333" s="24" t="s">
        <v>47</v>
      </c>
      <c r="G1333" s="24" t="s">
        <v>813</v>
      </c>
      <c r="H1333" s="24" t="s">
        <v>6722</v>
      </c>
      <c r="I1333" s="24" t="s">
        <v>12944</v>
      </c>
      <c r="J1333" s="24" t="s">
        <v>12945</v>
      </c>
      <c r="K1333" s="24" t="s">
        <v>1528</v>
      </c>
      <c r="L1333" s="24" t="s">
        <v>52</v>
      </c>
      <c r="M1333" s="15"/>
      <c r="N1333" s="15" t="s">
        <v>342</v>
      </c>
      <c r="O1333" s="15" t="s">
        <v>12946</v>
      </c>
      <c r="P1333" s="15" t="s">
        <v>2678</v>
      </c>
      <c r="Q1333" s="15" t="s">
        <v>2679</v>
      </c>
      <c r="R1333" s="15" t="s">
        <v>2680</v>
      </c>
      <c r="S1333" s="24" t="s">
        <v>39</v>
      </c>
      <c r="T1333" s="24" t="s">
        <v>39</v>
      </c>
      <c r="U1333" s="24" t="s">
        <v>39</v>
      </c>
      <c r="V1333" s="24" t="s">
        <v>39</v>
      </c>
      <c r="W1333" s="24"/>
      <c r="X1333" s="24"/>
      <c r="Y1333" s="15"/>
      <c r="Z1333" s="15"/>
      <c r="AA1333" s="24"/>
      <c r="AB1333" s="24"/>
      <c r="AC1333" s="24"/>
      <c r="AD1333" s="24"/>
      <c r="AE1333" s="24"/>
      <c r="AF1333" s="24"/>
      <c r="AG1333" s="24"/>
      <c r="AH1333" s="24"/>
    </row>
    <row r="1334" spans="1:34" x14ac:dyDescent="0.25">
      <c r="A1334" s="24" t="str">
        <f>HYPERLINK("https://www.cpso.on.ca/DoctorDetails/Lloyd-Howard-Frost/0046009-59987","Frost, Lloyd Howard")</f>
        <v>Frost, Lloyd Howard</v>
      </c>
      <c r="B1334" s="25" t="s">
        <v>12947</v>
      </c>
      <c r="C1334" s="24" t="s">
        <v>8634</v>
      </c>
      <c r="D1334" s="24" t="s">
        <v>8635</v>
      </c>
      <c r="E1334" s="24" t="s">
        <v>29</v>
      </c>
      <c r="F1334" s="24" t="s">
        <v>30</v>
      </c>
      <c r="G1334" s="24" t="s">
        <v>31</v>
      </c>
      <c r="H1334" s="24" t="s">
        <v>12948</v>
      </c>
      <c r="I1334" s="24" t="s">
        <v>107</v>
      </c>
      <c r="J1334" s="24"/>
      <c r="K1334" s="24"/>
      <c r="L1334" s="24"/>
      <c r="M1334" s="15"/>
      <c r="N1334" s="15"/>
      <c r="O1334" s="15"/>
      <c r="P1334" s="15" t="s">
        <v>12949</v>
      </c>
      <c r="Q1334" s="15"/>
      <c r="R1334" s="15" t="s">
        <v>8641</v>
      </c>
      <c r="S1334" s="24" t="s">
        <v>39</v>
      </c>
      <c r="T1334" s="24" t="s">
        <v>39</v>
      </c>
      <c r="U1334" s="24" t="s">
        <v>39</v>
      </c>
      <c r="V1334" s="24" t="s">
        <v>39</v>
      </c>
      <c r="W1334" s="24"/>
      <c r="X1334" s="24"/>
      <c r="Y1334" s="15"/>
      <c r="Z1334" s="15"/>
      <c r="AA1334" s="24"/>
      <c r="AB1334" s="24"/>
      <c r="AC1334" s="24"/>
      <c r="AD1334" s="24"/>
      <c r="AE1334" s="24"/>
      <c r="AF1334" s="24"/>
      <c r="AG1334" s="24"/>
      <c r="AH1334" s="24"/>
    </row>
    <row r="1335" spans="1:34" ht="30" x14ac:dyDescent="0.25">
      <c r="A1335" s="24" t="str">
        <f>HYPERLINK("https://www.cpso.on.ca/DoctorDetails/Lloyd-Rex-Kalman-Kay/0045963-59941","Kay, Lloyd Rex Kalman")</f>
        <v>Kay, Lloyd Rex Kalman</v>
      </c>
      <c r="B1335" s="25" t="s">
        <v>12950</v>
      </c>
      <c r="C1335" s="24" t="s">
        <v>3463</v>
      </c>
      <c r="D1335" s="24" t="s">
        <v>8268</v>
      </c>
      <c r="E1335" s="24" t="s">
        <v>29</v>
      </c>
      <c r="F1335" s="24" t="s">
        <v>30</v>
      </c>
      <c r="G1335" s="24" t="s">
        <v>31</v>
      </c>
      <c r="H1335" s="24" t="s">
        <v>1197</v>
      </c>
      <c r="I1335" s="24" t="s">
        <v>12951</v>
      </c>
      <c r="J1335" s="24" t="s">
        <v>12952</v>
      </c>
      <c r="K1335" s="24"/>
      <c r="L1335" s="24" t="s">
        <v>52</v>
      </c>
      <c r="M1335" s="15" t="s">
        <v>12953</v>
      </c>
      <c r="N1335" s="15"/>
      <c r="O1335" s="15" t="s">
        <v>1201</v>
      </c>
      <c r="P1335" s="15" t="s">
        <v>1984</v>
      </c>
      <c r="Q1335" s="15" t="s">
        <v>6291</v>
      </c>
      <c r="R1335" s="15" t="s">
        <v>12954</v>
      </c>
      <c r="S1335" s="24" t="s">
        <v>39</v>
      </c>
      <c r="T1335" s="24" t="s">
        <v>39</v>
      </c>
      <c r="U1335" s="24" t="s">
        <v>39</v>
      </c>
      <c r="V1335" s="24" t="s">
        <v>39</v>
      </c>
      <c r="W1335" s="24"/>
      <c r="X1335" s="24"/>
      <c r="Y1335" s="15"/>
      <c r="Z1335" s="15"/>
      <c r="AA1335" s="24"/>
      <c r="AB1335" s="24"/>
      <c r="AC1335" s="24"/>
      <c r="AD1335" s="24"/>
      <c r="AE1335" s="24"/>
      <c r="AF1335" s="24"/>
      <c r="AG1335" s="24"/>
      <c r="AH1335" s="24"/>
    </row>
    <row r="1336" spans="1:34" ht="30" x14ac:dyDescent="0.25">
      <c r="A1336" s="24" t="str">
        <f>HYPERLINK("https://www.cpso.on.ca/DoctorDetails/Lois-Jean-Hutchinson/0023239-28030","Hutchinson, Lois Jean")</f>
        <v>Hutchinson, Lois Jean</v>
      </c>
      <c r="B1336" s="25" t="s">
        <v>12955</v>
      </c>
      <c r="C1336" s="24" t="s">
        <v>12956</v>
      </c>
      <c r="D1336" s="24" t="s">
        <v>12957</v>
      </c>
      <c r="E1336" s="24" t="s">
        <v>29</v>
      </c>
      <c r="F1336" s="24" t="s">
        <v>47</v>
      </c>
      <c r="G1336" s="24" t="s">
        <v>31</v>
      </c>
      <c r="H1336" s="24" t="s">
        <v>10640</v>
      </c>
      <c r="I1336" s="24" t="s">
        <v>12958</v>
      </c>
      <c r="J1336" s="24" t="s">
        <v>12959</v>
      </c>
      <c r="K1336" s="24" t="s">
        <v>12960</v>
      </c>
      <c r="L1336" s="24" t="s">
        <v>3849</v>
      </c>
      <c r="M1336" s="15" t="s">
        <v>12961</v>
      </c>
      <c r="N1336" s="15"/>
      <c r="O1336" s="15" t="s">
        <v>4262</v>
      </c>
      <c r="P1336" s="15" t="s">
        <v>12751</v>
      </c>
      <c r="Q1336" s="15"/>
      <c r="R1336" s="15" t="s">
        <v>12962</v>
      </c>
      <c r="S1336" s="24" t="s">
        <v>39</v>
      </c>
      <c r="T1336" s="24" t="s">
        <v>39</v>
      </c>
      <c r="U1336" s="24" t="s">
        <v>39</v>
      </c>
      <c r="V1336" s="24" t="s">
        <v>39</v>
      </c>
      <c r="W1336" s="24"/>
      <c r="X1336" s="24"/>
      <c r="Y1336" s="15"/>
      <c r="Z1336" s="15"/>
      <c r="AA1336" s="24"/>
      <c r="AB1336" s="24"/>
      <c r="AC1336" s="24"/>
      <c r="AD1336" s="24"/>
      <c r="AE1336" s="24"/>
      <c r="AF1336" s="24"/>
      <c r="AG1336" s="24"/>
      <c r="AH1336" s="24"/>
    </row>
    <row r="1337" spans="1:34" ht="45" x14ac:dyDescent="0.25">
      <c r="A1337" s="24" t="str">
        <f>HYPERLINK("https://www.cpso.on.ca/DoctorDetails/Lokesh-Kumar-Nukalapati/0321442-114525","Nukalapati, Lokesh Kumar")</f>
        <v>Nukalapati, Lokesh Kumar</v>
      </c>
      <c r="B1337" s="25" t="s">
        <v>12963</v>
      </c>
      <c r="C1337" s="24" t="s">
        <v>12964</v>
      </c>
      <c r="D1337" s="24" t="s">
        <v>12965</v>
      </c>
      <c r="E1337" s="24" t="s">
        <v>29</v>
      </c>
      <c r="F1337" s="24" t="s">
        <v>30</v>
      </c>
      <c r="G1337" s="24" t="s">
        <v>31</v>
      </c>
      <c r="H1337" s="24" t="s">
        <v>12966</v>
      </c>
      <c r="I1337" s="24" t="s">
        <v>12967</v>
      </c>
      <c r="J1337" s="24" t="s">
        <v>12968</v>
      </c>
      <c r="K1337" s="24"/>
      <c r="L1337" s="24" t="s">
        <v>340</v>
      </c>
      <c r="M1337" s="15"/>
      <c r="N1337" s="15"/>
      <c r="O1337" s="15"/>
      <c r="P1337" s="15" t="s">
        <v>12969</v>
      </c>
      <c r="Q1337" s="15"/>
      <c r="R1337" s="15" t="s">
        <v>12970</v>
      </c>
      <c r="S1337" s="24" t="s">
        <v>71</v>
      </c>
      <c r="T1337" s="24" t="s">
        <v>39</v>
      </c>
      <c r="U1337" s="24" t="s">
        <v>39</v>
      </c>
      <c r="V1337" s="24" t="s">
        <v>39</v>
      </c>
      <c r="W1337" s="24"/>
      <c r="X1337" s="24"/>
      <c r="Y1337" s="15"/>
      <c r="Z1337" s="15"/>
      <c r="AA1337" s="24"/>
      <c r="AB1337" s="24"/>
      <c r="AC1337" s="24"/>
      <c r="AD1337" s="24"/>
      <c r="AE1337" s="24"/>
      <c r="AF1337" s="24"/>
      <c r="AG1337" s="24"/>
      <c r="AH1337" s="24"/>
    </row>
    <row r="1338" spans="1:34" ht="75" x14ac:dyDescent="0.25">
      <c r="A1338" s="24" t="str">
        <f>HYPERLINK("https://www.cpso.on.ca/DoctorDetails/Lori-Bryna-Wasserman/0242558-86228","Wasserman, Lori Bryna")</f>
        <v>Wasserman, Lori Bryna</v>
      </c>
      <c r="B1338" s="25" t="s">
        <v>12971</v>
      </c>
      <c r="C1338" s="24" t="s">
        <v>1115</v>
      </c>
      <c r="D1338" s="24" t="s">
        <v>1594</v>
      </c>
      <c r="E1338" s="24" t="s">
        <v>29</v>
      </c>
      <c r="F1338" s="24" t="s">
        <v>47</v>
      </c>
      <c r="G1338" s="24" t="s">
        <v>31</v>
      </c>
      <c r="H1338" s="24" t="s">
        <v>11384</v>
      </c>
      <c r="I1338" s="24" t="s">
        <v>12972</v>
      </c>
      <c r="J1338" s="24" t="s">
        <v>12973</v>
      </c>
      <c r="K1338" s="24" t="s">
        <v>12974</v>
      </c>
      <c r="L1338" s="24" t="s">
        <v>52</v>
      </c>
      <c r="M1338" s="15"/>
      <c r="N1338" s="15"/>
      <c r="O1338" s="15" t="s">
        <v>1110</v>
      </c>
      <c r="P1338" s="15" t="s">
        <v>1074</v>
      </c>
      <c r="Q1338" s="15" t="s">
        <v>1601</v>
      </c>
      <c r="R1338" s="15" t="s">
        <v>1602</v>
      </c>
      <c r="S1338" s="24" t="s">
        <v>39</v>
      </c>
      <c r="T1338" s="24" t="s">
        <v>39</v>
      </c>
      <c r="U1338" s="24" t="s">
        <v>39</v>
      </c>
      <c r="V1338" s="24" t="s">
        <v>39</v>
      </c>
      <c r="W1338" s="24" t="s">
        <v>12975</v>
      </c>
      <c r="X1338" s="24" t="s">
        <v>12976</v>
      </c>
      <c r="Y1338" s="15" t="s">
        <v>12977</v>
      </c>
      <c r="Z1338" s="15" t="s">
        <v>12978</v>
      </c>
      <c r="AA1338" s="24"/>
      <c r="AB1338" s="24"/>
      <c r="AC1338" s="24"/>
      <c r="AD1338" s="24"/>
      <c r="AE1338" s="24"/>
      <c r="AF1338" s="24"/>
      <c r="AG1338" s="24"/>
      <c r="AH1338" s="24"/>
    </row>
    <row r="1339" spans="1:34" ht="30" x14ac:dyDescent="0.25">
      <c r="A1339" s="24" t="str">
        <f>HYPERLINK("https://www.cpso.on.ca/DoctorDetails/Lori-Joy-Finkelstein/0036576-50552","Finkelstein, Lori Joy")</f>
        <v>Finkelstein, Lori Joy</v>
      </c>
      <c r="B1339" s="25" t="s">
        <v>12979</v>
      </c>
      <c r="C1339" s="24" t="s">
        <v>3746</v>
      </c>
      <c r="D1339" s="24" t="s">
        <v>1873</v>
      </c>
      <c r="E1339" s="24" t="s">
        <v>29</v>
      </c>
      <c r="F1339" s="24" t="s">
        <v>47</v>
      </c>
      <c r="G1339" s="24" t="s">
        <v>31</v>
      </c>
      <c r="H1339" s="24" t="s">
        <v>3737</v>
      </c>
      <c r="I1339" s="24" t="s">
        <v>12980</v>
      </c>
      <c r="J1339" s="24" t="s">
        <v>12981</v>
      </c>
      <c r="K1339" s="24"/>
      <c r="L1339" s="24" t="s">
        <v>52</v>
      </c>
      <c r="M1339" s="15"/>
      <c r="N1339" s="15"/>
      <c r="O1339" s="15"/>
      <c r="P1339" s="15" t="s">
        <v>5839</v>
      </c>
      <c r="Q1339" s="15"/>
      <c r="R1339" s="15" t="s">
        <v>12982</v>
      </c>
      <c r="S1339" s="24" t="s">
        <v>39</v>
      </c>
      <c r="T1339" s="24" t="s">
        <v>39</v>
      </c>
      <c r="U1339" s="24" t="s">
        <v>39</v>
      </c>
      <c r="V1339" s="24" t="s">
        <v>39</v>
      </c>
      <c r="W1339" s="24"/>
      <c r="X1339" s="24"/>
      <c r="Y1339" s="15"/>
      <c r="Z1339" s="15"/>
      <c r="AA1339" s="24"/>
      <c r="AB1339" s="24"/>
      <c r="AC1339" s="24"/>
      <c r="AD1339" s="24"/>
      <c r="AE1339" s="24"/>
      <c r="AF1339" s="24"/>
      <c r="AG1339" s="24"/>
      <c r="AH1339" s="24"/>
    </row>
    <row r="1340" spans="1:34" ht="120" x14ac:dyDescent="0.25">
      <c r="A1340" s="24" t="str">
        <f>HYPERLINK("https://www.cpso.on.ca/DoctorDetails/Lori-Michelle-Weisberg/0210778-81078","Weisberg, Lori Michelle")</f>
        <v>Weisberg, Lori Michelle</v>
      </c>
      <c r="B1340" s="25" t="s">
        <v>12983</v>
      </c>
      <c r="C1340" s="24" t="s">
        <v>12984</v>
      </c>
      <c r="D1340" s="24" t="s">
        <v>12985</v>
      </c>
      <c r="E1340" s="24" t="s">
        <v>29</v>
      </c>
      <c r="F1340" s="24" t="s">
        <v>47</v>
      </c>
      <c r="G1340" s="24" t="s">
        <v>31</v>
      </c>
      <c r="H1340" s="24" t="s">
        <v>1170</v>
      </c>
      <c r="I1340" s="24" t="s">
        <v>12986</v>
      </c>
      <c r="J1340" s="24" t="s">
        <v>12987</v>
      </c>
      <c r="K1340" s="24" t="s">
        <v>4720</v>
      </c>
      <c r="L1340" s="24" t="s">
        <v>52</v>
      </c>
      <c r="M1340" s="15"/>
      <c r="N1340" s="15"/>
      <c r="O1340" s="15" t="s">
        <v>271</v>
      </c>
      <c r="P1340" s="15" t="s">
        <v>1283</v>
      </c>
      <c r="Q1340" s="15" t="s">
        <v>12988</v>
      </c>
      <c r="R1340" s="15" t="s">
        <v>12989</v>
      </c>
      <c r="S1340" s="24" t="s">
        <v>39</v>
      </c>
      <c r="T1340" s="24" t="s">
        <v>39</v>
      </c>
      <c r="U1340" s="24" t="s">
        <v>39</v>
      </c>
      <c r="V1340" s="24" t="s">
        <v>71</v>
      </c>
      <c r="W1340" s="24" t="s">
        <v>12990</v>
      </c>
      <c r="X1340" s="24" t="s">
        <v>12991</v>
      </c>
      <c r="Y1340" s="15" t="s">
        <v>12992</v>
      </c>
      <c r="Z1340" s="15" t="s">
        <v>12993</v>
      </c>
      <c r="AA1340" s="24"/>
      <c r="AB1340" s="24"/>
      <c r="AC1340" s="24"/>
      <c r="AD1340" s="24"/>
      <c r="AE1340" s="24"/>
      <c r="AF1340" s="24"/>
      <c r="AG1340" s="24"/>
      <c r="AH1340" s="24"/>
    </row>
    <row r="1341" spans="1:34" ht="105" x14ac:dyDescent="0.25">
      <c r="A1341" s="24" t="str">
        <f>HYPERLINK("https://www.cpso.on.ca/DoctorDetails/LoriAnne-Bernadette-Williams/0257774-91026","Williams, Lori-Anne Bernadette")</f>
        <v>Williams, Lori-Anne Bernadette</v>
      </c>
      <c r="B1341" s="25" t="s">
        <v>12994</v>
      </c>
      <c r="C1341" s="24" t="s">
        <v>442</v>
      </c>
      <c r="D1341" s="24" t="s">
        <v>12995</v>
      </c>
      <c r="E1341" s="24" t="s">
        <v>29</v>
      </c>
      <c r="F1341" s="24" t="s">
        <v>47</v>
      </c>
      <c r="G1341" s="24" t="s">
        <v>31</v>
      </c>
      <c r="H1341" s="24" t="s">
        <v>3586</v>
      </c>
      <c r="I1341" s="24" t="s">
        <v>150</v>
      </c>
      <c r="J1341" s="24" t="s">
        <v>12996</v>
      </c>
      <c r="K1341" s="24"/>
      <c r="L1341" s="24" t="s">
        <v>152</v>
      </c>
      <c r="M1341" s="15"/>
      <c r="N1341" s="15"/>
      <c r="O1341" s="15" t="s">
        <v>95</v>
      </c>
      <c r="P1341" s="15" t="s">
        <v>5194</v>
      </c>
      <c r="Q1341" s="15" t="s">
        <v>12997</v>
      </c>
      <c r="R1341" s="15" t="s">
        <v>12998</v>
      </c>
      <c r="S1341" s="24" t="s">
        <v>39</v>
      </c>
      <c r="T1341" s="24" t="s">
        <v>39</v>
      </c>
      <c r="U1341" s="24" t="s">
        <v>39</v>
      </c>
      <c r="V1341" s="24" t="s">
        <v>39</v>
      </c>
      <c r="W1341" s="24" t="s">
        <v>12999</v>
      </c>
      <c r="X1341" s="24" t="s">
        <v>13000</v>
      </c>
      <c r="Y1341" s="15" t="s">
        <v>13001</v>
      </c>
      <c r="Z1341" s="15" t="s">
        <v>13002</v>
      </c>
      <c r="AA1341" s="24"/>
      <c r="AB1341" s="24"/>
      <c r="AC1341" s="24"/>
      <c r="AD1341" s="24"/>
      <c r="AE1341" s="24"/>
      <c r="AF1341" s="24"/>
      <c r="AG1341" s="24"/>
      <c r="AH1341" s="24"/>
    </row>
    <row r="1342" spans="1:34" ht="45" x14ac:dyDescent="0.25">
      <c r="A1342" s="24" t="str">
        <f>HYPERLINK("https://www.cpso.on.ca/DoctorDetails/Lorie-Earl-Cappe/0017987-22773","Cappe, Lorie Earl")</f>
        <v>Cappe, Lorie Earl</v>
      </c>
      <c r="B1342" s="25" t="s">
        <v>13003</v>
      </c>
      <c r="C1342" s="24" t="s">
        <v>13004</v>
      </c>
      <c r="D1342" s="24" t="s">
        <v>13005</v>
      </c>
      <c r="E1342" s="24" t="s">
        <v>29</v>
      </c>
      <c r="F1342" s="24" t="s">
        <v>30</v>
      </c>
      <c r="G1342" s="24" t="s">
        <v>31</v>
      </c>
      <c r="H1342" s="24" t="s">
        <v>7741</v>
      </c>
      <c r="I1342" s="24" t="s">
        <v>107</v>
      </c>
      <c r="J1342" s="24"/>
      <c r="K1342" s="24"/>
      <c r="L1342" s="24"/>
      <c r="M1342" s="15"/>
      <c r="N1342" s="15"/>
      <c r="O1342" s="15"/>
      <c r="P1342" s="15" t="s">
        <v>9921</v>
      </c>
      <c r="Q1342" s="15"/>
      <c r="R1342" s="15" t="s">
        <v>13006</v>
      </c>
      <c r="S1342" s="24" t="s">
        <v>39</v>
      </c>
      <c r="T1342" s="24" t="s">
        <v>39</v>
      </c>
      <c r="U1342" s="24" t="s">
        <v>39</v>
      </c>
      <c r="V1342" s="24" t="s">
        <v>39</v>
      </c>
      <c r="W1342" s="24"/>
      <c r="X1342" s="24"/>
      <c r="Y1342" s="15"/>
      <c r="Z1342" s="15"/>
      <c r="AA1342" s="24"/>
      <c r="AB1342" s="24"/>
      <c r="AC1342" s="24"/>
      <c r="AD1342" s="24"/>
      <c r="AE1342" s="24"/>
      <c r="AF1342" s="24"/>
      <c r="AG1342" s="24"/>
      <c r="AH1342" s="24"/>
    </row>
    <row r="1343" spans="1:34" x14ac:dyDescent="0.25">
      <c r="A1343" s="24" t="str">
        <f>HYPERLINK("https://www.cpso.on.ca/DoctorDetails/Lorin-June-Young/0291679-102366","Young, Lorin June")</f>
        <v>Young, Lorin June</v>
      </c>
      <c r="B1343" s="25" t="s">
        <v>13007</v>
      </c>
      <c r="C1343" s="24" t="s">
        <v>13008</v>
      </c>
      <c r="D1343" s="24" t="s">
        <v>13009</v>
      </c>
      <c r="E1343" s="24" t="s">
        <v>29</v>
      </c>
      <c r="F1343" s="24" t="s">
        <v>47</v>
      </c>
      <c r="G1343" s="24" t="s">
        <v>813</v>
      </c>
      <c r="H1343" s="24" t="s">
        <v>2269</v>
      </c>
      <c r="I1343" s="24" t="s">
        <v>13010</v>
      </c>
      <c r="J1343" s="24" t="s">
        <v>13011</v>
      </c>
      <c r="K1343" s="24" t="s">
        <v>13012</v>
      </c>
      <c r="L1343" s="24" t="s">
        <v>328</v>
      </c>
      <c r="M1343" s="15"/>
      <c r="N1343" s="15"/>
      <c r="O1343" s="15" t="s">
        <v>329</v>
      </c>
      <c r="P1343" s="15" t="s">
        <v>13013</v>
      </c>
      <c r="Q1343" s="15"/>
      <c r="R1343" s="15" t="s">
        <v>13014</v>
      </c>
      <c r="S1343" s="24" t="s">
        <v>39</v>
      </c>
      <c r="T1343" s="24" t="s">
        <v>39</v>
      </c>
      <c r="U1343" s="24" t="s">
        <v>39</v>
      </c>
      <c r="V1343" s="24" t="s">
        <v>39</v>
      </c>
      <c r="W1343" s="24"/>
      <c r="X1343" s="24"/>
      <c r="Y1343" s="15"/>
      <c r="Z1343" s="15"/>
      <c r="AA1343" s="24"/>
      <c r="AB1343" s="24"/>
      <c r="AC1343" s="24"/>
      <c r="AD1343" s="24"/>
      <c r="AE1343" s="24"/>
      <c r="AF1343" s="24"/>
      <c r="AG1343" s="24"/>
      <c r="AH1343" s="24"/>
    </row>
    <row r="1344" spans="1:34" ht="90" x14ac:dyDescent="0.25">
      <c r="A1344" s="24" t="str">
        <f>HYPERLINK("https://www.cpso.on.ca/DoctorDetails/Lorne-Andrew-Tugg/0046742-60720","Tugg, Lorne Andrew")</f>
        <v>Tugg, Lorne Andrew</v>
      </c>
      <c r="B1344" s="25" t="s">
        <v>13015</v>
      </c>
      <c r="C1344" s="24" t="s">
        <v>12689</v>
      </c>
      <c r="D1344" s="24" t="s">
        <v>11596</v>
      </c>
      <c r="E1344" s="24" t="s">
        <v>29</v>
      </c>
      <c r="F1344" s="24" t="s">
        <v>30</v>
      </c>
      <c r="G1344" s="24" t="s">
        <v>31</v>
      </c>
      <c r="H1344" s="24" t="s">
        <v>767</v>
      </c>
      <c r="I1344" s="24" t="s">
        <v>13016</v>
      </c>
      <c r="J1344" s="24" t="s">
        <v>11238</v>
      </c>
      <c r="K1344" s="24"/>
      <c r="L1344" s="24" t="s">
        <v>52</v>
      </c>
      <c r="M1344" s="15"/>
      <c r="N1344" s="15"/>
      <c r="O1344" s="15" t="s">
        <v>232</v>
      </c>
      <c r="P1344" s="15" t="s">
        <v>169</v>
      </c>
      <c r="Q1344" s="15" t="s">
        <v>13017</v>
      </c>
      <c r="R1344" s="15" t="s">
        <v>12695</v>
      </c>
      <c r="S1344" s="24" t="s">
        <v>39</v>
      </c>
      <c r="T1344" s="24" t="s">
        <v>39</v>
      </c>
      <c r="U1344" s="24" t="s">
        <v>39</v>
      </c>
      <c r="V1344" s="24" t="s">
        <v>39</v>
      </c>
      <c r="W1344" s="24" t="s">
        <v>13018</v>
      </c>
      <c r="X1344" s="24" t="s">
        <v>13019</v>
      </c>
      <c r="Y1344" s="15" t="s">
        <v>13020</v>
      </c>
      <c r="Z1344" s="15" t="s">
        <v>13021</v>
      </c>
      <c r="AA1344" s="24"/>
      <c r="AB1344" s="24"/>
      <c r="AC1344" s="24"/>
      <c r="AD1344" s="24"/>
      <c r="AE1344" s="24"/>
      <c r="AF1344" s="24"/>
      <c r="AG1344" s="24"/>
      <c r="AH1344" s="24"/>
    </row>
    <row r="1345" spans="1:34" ht="30" x14ac:dyDescent="0.25">
      <c r="A1345" s="24" t="str">
        <f>HYPERLINK("https://www.cpso.on.ca/DoctorDetails/Lorne-Chapman/0042697-56675","Chapman, Lorne")</f>
        <v>Chapman, Lorne</v>
      </c>
      <c r="B1345" s="25" t="s">
        <v>13022</v>
      </c>
      <c r="C1345" s="24" t="s">
        <v>3427</v>
      </c>
      <c r="D1345" s="24" t="s">
        <v>13023</v>
      </c>
      <c r="E1345" s="24" t="s">
        <v>29</v>
      </c>
      <c r="F1345" s="24" t="s">
        <v>30</v>
      </c>
      <c r="G1345" s="24" t="s">
        <v>31</v>
      </c>
      <c r="H1345" s="24" t="s">
        <v>13024</v>
      </c>
      <c r="I1345" s="24" t="s">
        <v>13025</v>
      </c>
      <c r="J1345" s="24" t="s">
        <v>13026</v>
      </c>
      <c r="K1345" s="24"/>
      <c r="L1345" s="24" t="s">
        <v>52</v>
      </c>
      <c r="M1345" s="15" t="s">
        <v>13027</v>
      </c>
      <c r="N1345" s="15"/>
      <c r="O1345" s="15" t="s">
        <v>3590</v>
      </c>
      <c r="P1345" s="15" t="s">
        <v>1984</v>
      </c>
      <c r="Q1345" s="15"/>
      <c r="R1345" s="15" t="s">
        <v>13028</v>
      </c>
      <c r="S1345" s="24" t="s">
        <v>39</v>
      </c>
      <c r="T1345" s="24" t="s">
        <v>39</v>
      </c>
      <c r="U1345" s="24" t="s">
        <v>39</v>
      </c>
      <c r="V1345" s="24" t="s">
        <v>39</v>
      </c>
      <c r="W1345" s="24" t="s">
        <v>13029</v>
      </c>
      <c r="X1345" s="24" t="s">
        <v>13030</v>
      </c>
      <c r="Y1345" s="15" t="s">
        <v>13031</v>
      </c>
      <c r="Z1345" s="15" t="s">
        <v>13032</v>
      </c>
      <c r="AA1345" s="24"/>
      <c r="AB1345" s="24"/>
      <c r="AC1345" s="24"/>
      <c r="AD1345" s="24"/>
      <c r="AE1345" s="24"/>
      <c r="AF1345" s="24"/>
      <c r="AG1345" s="24"/>
      <c r="AH1345" s="24"/>
    </row>
    <row r="1346" spans="1:34" ht="30" x14ac:dyDescent="0.25">
      <c r="A1346" s="24" t="str">
        <f>HYPERLINK("https://www.cpso.on.ca/DoctorDetails/Lorraine-Taylor/0042989-56967","Taylor, Lorraine")</f>
        <v>Taylor, Lorraine</v>
      </c>
      <c r="B1346" s="25" t="s">
        <v>13033</v>
      </c>
      <c r="C1346" s="24" t="s">
        <v>801</v>
      </c>
      <c r="D1346" s="24" t="s">
        <v>13034</v>
      </c>
      <c r="E1346" s="24" t="s">
        <v>29</v>
      </c>
      <c r="F1346" s="24" t="s">
        <v>47</v>
      </c>
      <c r="G1346" s="24" t="s">
        <v>31</v>
      </c>
      <c r="H1346" s="24" t="s">
        <v>4039</v>
      </c>
      <c r="I1346" s="24" t="s">
        <v>13035</v>
      </c>
      <c r="J1346" s="24" t="s">
        <v>13036</v>
      </c>
      <c r="K1346" s="24" t="s">
        <v>13037</v>
      </c>
      <c r="L1346" s="24" t="s">
        <v>184</v>
      </c>
      <c r="M1346" s="15"/>
      <c r="N1346" s="15" t="s">
        <v>3698</v>
      </c>
      <c r="O1346" s="15"/>
      <c r="P1346" s="15" t="s">
        <v>6038</v>
      </c>
      <c r="Q1346" s="15"/>
      <c r="R1346" s="15" t="s">
        <v>13038</v>
      </c>
      <c r="S1346" s="24" t="s">
        <v>39</v>
      </c>
      <c r="T1346" s="24" t="s">
        <v>39</v>
      </c>
      <c r="U1346" s="24" t="s">
        <v>39</v>
      </c>
      <c r="V1346" s="24" t="s">
        <v>39</v>
      </c>
      <c r="W1346" s="24"/>
      <c r="X1346" s="24"/>
      <c r="Y1346" s="15"/>
      <c r="Z1346" s="15"/>
      <c r="AA1346" s="24"/>
      <c r="AB1346" s="24"/>
      <c r="AC1346" s="24"/>
      <c r="AD1346" s="24"/>
      <c r="AE1346" s="24"/>
      <c r="AF1346" s="24"/>
      <c r="AG1346" s="24"/>
      <c r="AH1346" s="24"/>
    </row>
    <row r="1347" spans="1:34" ht="30" x14ac:dyDescent="0.25">
      <c r="A1347" s="24" t="str">
        <f>HYPERLINK("https://www.cpso.on.ca/DoctorDetails/Lou-Peltz/0038439-52415","Peltz, Lou")</f>
        <v>Peltz, Lou</v>
      </c>
      <c r="B1347" s="25" t="s">
        <v>13039</v>
      </c>
      <c r="C1347" s="24" t="s">
        <v>2000</v>
      </c>
      <c r="D1347" s="24" t="s">
        <v>8970</v>
      </c>
      <c r="E1347" s="24" t="s">
        <v>29</v>
      </c>
      <c r="F1347" s="24" t="s">
        <v>30</v>
      </c>
      <c r="G1347" s="24" t="s">
        <v>31</v>
      </c>
      <c r="H1347" s="24" t="s">
        <v>2003</v>
      </c>
      <c r="I1347" s="24" t="s">
        <v>13040</v>
      </c>
      <c r="J1347" s="24" t="s">
        <v>10946</v>
      </c>
      <c r="K1347" s="24"/>
      <c r="L1347" s="24" t="s">
        <v>36</v>
      </c>
      <c r="M1347" s="15"/>
      <c r="N1347" s="15"/>
      <c r="O1347" s="15"/>
      <c r="P1347" s="15" t="s">
        <v>2864</v>
      </c>
      <c r="Q1347" s="15"/>
      <c r="R1347" s="15" t="s">
        <v>13041</v>
      </c>
      <c r="S1347" s="24" t="s">
        <v>39</v>
      </c>
      <c r="T1347" s="24" t="s">
        <v>39</v>
      </c>
      <c r="U1347" s="24" t="s">
        <v>39</v>
      </c>
      <c r="V1347" s="24" t="s">
        <v>39</v>
      </c>
      <c r="W1347" s="24" t="s">
        <v>12616</v>
      </c>
      <c r="X1347" s="24" t="s">
        <v>12617</v>
      </c>
      <c r="Y1347" s="15" t="s">
        <v>12618</v>
      </c>
      <c r="Z1347" s="15" t="s">
        <v>12619</v>
      </c>
      <c r="AA1347" s="24"/>
      <c r="AB1347" s="24"/>
      <c r="AC1347" s="24"/>
      <c r="AD1347" s="24"/>
      <c r="AE1347" s="24"/>
      <c r="AF1347" s="24"/>
      <c r="AG1347" s="24"/>
      <c r="AH1347" s="24"/>
    </row>
    <row r="1348" spans="1:34" ht="75" x14ac:dyDescent="0.25">
      <c r="A1348" s="24" t="str">
        <f>HYPERLINK("https://www.cpso.on.ca/DoctorDetails/Louis-Bernard-Antoine/0236907-87177","Antoine, Louis Bernard")</f>
        <v>Antoine, Louis Bernard</v>
      </c>
      <c r="B1348" s="25" t="s">
        <v>13042</v>
      </c>
      <c r="C1348" s="24" t="s">
        <v>13043</v>
      </c>
      <c r="D1348" s="24" t="s">
        <v>13044</v>
      </c>
      <c r="E1348" s="24" t="s">
        <v>29</v>
      </c>
      <c r="F1348" s="24" t="s">
        <v>30</v>
      </c>
      <c r="G1348" s="24" t="s">
        <v>4601</v>
      </c>
      <c r="H1348" s="24" t="s">
        <v>13045</v>
      </c>
      <c r="I1348" s="24" t="s">
        <v>13046</v>
      </c>
      <c r="J1348" s="24" t="s">
        <v>13047</v>
      </c>
      <c r="K1348" s="24"/>
      <c r="L1348" s="24"/>
      <c r="M1348" s="15" t="s">
        <v>13048</v>
      </c>
      <c r="N1348" s="15" t="s">
        <v>13049</v>
      </c>
      <c r="O1348" s="15" t="s">
        <v>1855</v>
      </c>
      <c r="P1348" s="15" t="s">
        <v>13050</v>
      </c>
      <c r="Q1348" s="15"/>
      <c r="R1348" s="15" t="s">
        <v>13051</v>
      </c>
      <c r="S1348" s="24" t="s">
        <v>71</v>
      </c>
      <c r="T1348" s="24" t="s">
        <v>39</v>
      </c>
      <c r="U1348" s="24" t="s">
        <v>39</v>
      </c>
      <c r="V1348" s="24" t="s">
        <v>39</v>
      </c>
      <c r="W1348" s="24" t="s">
        <v>13052</v>
      </c>
      <c r="X1348" s="24" t="s">
        <v>13053</v>
      </c>
      <c r="Y1348" s="15"/>
      <c r="Z1348" s="15"/>
      <c r="AA1348" s="24"/>
      <c r="AB1348" s="24"/>
      <c r="AC1348" s="24"/>
      <c r="AD1348" s="24"/>
      <c r="AE1348" s="24"/>
      <c r="AF1348" s="24"/>
      <c r="AG1348" s="24"/>
      <c r="AH1348" s="24"/>
    </row>
    <row r="1349" spans="1:34" x14ac:dyDescent="0.25">
      <c r="A1349" s="24" t="str">
        <f>HYPERLINK("https://www.cpso.on.ca/DoctorDetails/Louis-Chigozie-Obikaonu/0321610-113917","Obikaonu, Louis Chigozie")</f>
        <v>Obikaonu, Louis Chigozie</v>
      </c>
      <c r="B1349" s="25" t="s">
        <v>13054</v>
      </c>
      <c r="C1349" s="24" t="s">
        <v>13055</v>
      </c>
      <c r="D1349" s="24" t="s">
        <v>13056</v>
      </c>
      <c r="E1349" s="24" t="s">
        <v>29</v>
      </c>
      <c r="F1349" s="24" t="s">
        <v>30</v>
      </c>
      <c r="G1349" s="24" t="s">
        <v>31</v>
      </c>
      <c r="H1349" s="24" t="s">
        <v>13057</v>
      </c>
      <c r="I1349" s="24" t="s">
        <v>13058</v>
      </c>
      <c r="J1349" s="24" t="s">
        <v>13059</v>
      </c>
      <c r="K1349" s="24"/>
      <c r="L1349" s="24" t="s">
        <v>152</v>
      </c>
      <c r="M1349" s="15"/>
      <c r="N1349" s="15" t="s">
        <v>4171</v>
      </c>
      <c r="O1349" s="15"/>
      <c r="P1349" s="15" t="s">
        <v>195</v>
      </c>
      <c r="Q1349" s="15"/>
      <c r="R1349" s="15" t="s">
        <v>13060</v>
      </c>
      <c r="S1349" s="24" t="s">
        <v>39</v>
      </c>
      <c r="T1349" s="24" t="s">
        <v>39</v>
      </c>
      <c r="U1349" s="24" t="s">
        <v>39</v>
      </c>
      <c r="V1349" s="24" t="s">
        <v>39</v>
      </c>
      <c r="W1349" s="24" t="s">
        <v>13061</v>
      </c>
      <c r="X1349" s="24" t="s">
        <v>13062</v>
      </c>
      <c r="Y1349" s="15" t="s">
        <v>13063</v>
      </c>
      <c r="Z1349" s="15" t="s">
        <v>13064</v>
      </c>
      <c r="AA1349" s="24"/>
      <c r="AB1349" s="24"/>
      <c r="AC1349" s="24"/>
      <c r="AD1349" s="24"/>
      <c r="AE1349" s="24"/>
      <c r="AF1349" s="24"/>
      <c r="AG1349" s="24"/>
      <c r="AH1349" s="24"/>
    </row>
    <row r="1350" spans="1:34" ht="30" x14ac:dyDescent="0.25">
      <c r="A1350" s="24" t="str">
        <f>HYPERLINK("https://www.cpso.on.ca/DoctorDetails/Louis-Joseph-Soucy/0049054-63032","Soucy, Louis Joseph")</f>
        <v>Soucy, Louis Joseph</v>
      </c>
      <c r="B1350" s="25" t="s">
        <v>13065</v>
      </c>
      <c r="C1350" s="24" t="s">
        <v>13066</v>
      </c>
      <c r="D1350" s="24" t="s">
        <v>13067</v>
      </c>
      <c r="E1350" s="24" t="s">
        <v>29</v>
      </c>
      <c r="F1350" s="24" t="s">
        <v>30</v>
      </c>
      <c r="G1350" s="24" t="s">
        <v>31</v>
      </c>
      <c r="H1350" s="24" t="s">
        <v>13068</v>
      </c>
      <c r="I1350" s="24" t="s">
        <v>10542</v>
      </c>
      <c r="J1350" s="24" t="s">
        <v>992</v>
      </c>
      <c r="K1350" s="24" t="s">
        <v>744</v>
      </c>
      <c r="L1350" s="24" t="s">
        <v>84</v>
      </c>
      <c r="M1350" s="15"/>
      <c r="N1350" s="15"/>
      <c r="O1350" s="15" t="s">
        <v>3045</v>
      </c>
      <c r="P1350" s="15" t="s">
        <v>13069</v>
      </c>
      <c r="Q1350" s="15" t="s">
        <v>1163</v>
      </c>
      <c r="R1350" s="15" t="s">
        <v>13070</v>
      </c>
      <c r="S1350" s="24" t="s">
        <v>39</v>
      </c>
      <c r="T1350" s="24" t="s">
        <v>39</v>
      </c>
      <c r="U1350" s="24" t="s">
        <v>39</v>
      </c>
      <c r="V1350" s="24" t="s">
        <v>39</v>
      </c>
      <c r="W1350" s="24" t="s">
        <v>13071</v>
      </c>
      <c r="X1350" s="24" t="s">
        <v>5754</v>
      </c>
      <c r="Y1350" s="15" t="s">
        <v>13072</v>
      </c>
      <c r="Z1350" s="15" t="s">
        <v>13073</v>
      </c>
      <c r="AA1350" s="24"/>
      <c r="AB1350" s="24"/>
      <c r="AC1350" s="24"/>
      <c r="AD1350" s="24"/>
      <c r="AE1350" s="24"/>
      <c r="AF1350" s="24"/>
      <c r="AG1350" s="24"/>
      <c r="AH1350" s="24"/>
    </row>
    <row r="1351" spans="1:34" x14ac:dyDescent="0.25">
      <c r="A1351" s="24" t="str">
        <f>HYPERLINK("https://www.cpso.on.ca/DoctorDetails/Louis-Theo-Van-Zyl/0164710-74267","Van Zyl, Louis Theo")</f>
        <v>Van Zyl, Louis Theo</v>
      </c>
      <c r="B1351" s="25" t="s">
        <v>13074</v>
      </c>
      <c r="C1351" s="24" t="s">
        <v>13075</v>
      </c>
      <c r="D1351" s="24" t="s">
        <v>13076</v>
      </c>
      <c r="E1351" s="24" t="s">
        <v>29</v>
      </c>
      <c r="F1351" s="24" t="s">
        <v>30</v>
      </c>
      <c r="G1351" s="24" t="s">
        <v>4698</v>
      </c>
      <c r="H1351" s="24" t="s">
        <v>13077</v>
      </c>
      <c r="I1351" s="24" t="s">
        <v>13078</v>
      </c>
      <c r="J1351" s="24" t="s">
        <v>13079</v>
      </c>
      <c r="K1351" s="24" t="s">
        <v>13080</v>
      </c>
      <c r="L1351" s="24" t="s">
        <v>52</v>
      </c>
      <c r="M1351" s="15"/>
      <c r="N1351" s="15"/>
      <c r="O1351" s="15"/>
      <c r="P1351" s="15" t="s">
        <v>13081</v>
      </c>
      <c r="Q1351" s="15" t="s">
        <v>13082</v>
      </c>
      <c r="R1351" s="15" t="s">
        <v>13083</v>
      </c>
      <c r="S1351" s="24" t="s">
        <v>39</v>
      </c>
      <c r="T1351" s="24" t="s">
        <v>39</v>
      </c>
      <c r="U1351" s="24" t="s">
        <v>39</v>
      </c>
      <c r="V1351" s="24" t="s">
        <v>39</v>
      </c>
      <c r="W1351" s="24" t="s">
        <v>13084</v>
      </c>
      <c r="X1351" s="24" t="s">
        <v>99</v>
      </c>
      <c r="Y1351" s="15" t="s">
        <v>13085</v>
      </c>
      <c r="Z1351" s="15" t="s">
        <v>13086</v>
      </c>
      <c r="AA1351" s="24"/>
      <c r="AB1351" s="24"/>
      <c r="AC1351" s="24"/>
      <c r="AD1351" s="24"/>
      <c r="AE1351" s="24"/>
      <c r="AF1351" s="24"/>
      <c r="AG1351" s="24"/>
      <c r="AH1351" s="24"/>
    </row>
    <row r="1352" spans="1:34" ht="30" x14ac:dyDescent="0.25">
      <c r="A1352" s="24" t="str">
        <f>HYPERLINK("https://www.cpso.on.ca/DoctorDetails/Louise-Carrier/0144265-71586","Carrier, Louise")</f>
        <v>Carrier, Louise</v>
      </c>
      <c r="B1352" s="25" t="s">
        <v>13087</v>
      </c>
      <c r="C1352" s="24" t="s">
        <v>13088</v>
      </c>
      <c r="D1352" s="24" t="s">
        <v>13089</v>
      </c>
      <c r="E1352" s="24" t="s">
        <v>29</v>
      </c>
      <c r="F1352" s="24" t="s">
        <v>47</v>
      </c>
      <c r="G1352" s="24" t="s">
        <v>813</v>
      </c>
      <c r="H1352" s="24" t="s">
        <v>13090</v>
      </c>
      <c r="I1352" s="24" t="s">
        <v>13091</v>
      </c>
      <c r="J1352" s="24" t="s">
        <v>12836</v>
      </c>
      <c r="K1352" s="24" t="s">
        <v>12837</v>
      </c>
      <c r="L1352" s="24" t="s">
        <v>84</v>
      </c>
      <c r="M1352" s="15" t="s">
        <v>13092</v>
      </c>
      <c r="N1352" s="15"/>
      <c r="O1352" s="15" t="s">
        <v>1923</v>
      </c>
      <c r="P1352" s="15" t="s">
        <v>13093</v>
      </c>
      <c r="Q1352" s="15"/>
      <c r="R1352" s="15" t="s">
        <v>13094</v>
      </c>
      <c r="S1352" s="24" t="s">
        <v>39</v>
      </c>
      <c r="T1352" s="24" t="s">
        <v>39</v>
      </c>
      <c r="U1352" s="24" t="s">
        <v>39</v>
      </c>
      <c r="V1352" s="24" t="s">
        <v>39</v>
      </c>
      <c r="W1352" s="24" t="s">
        <v>13095</v>
      </c>
      <c r="X1352" s="24" t="s">
        <v>13096</v>
      </c>
      <c r="Y1352" s="15" t="s">
        <v>13097</v>
      </c>
      <c r="Z1352" s="15" t="s">
        <v>13098</v>
      </c>
      <c r="AA1352" s="24"/>
      <c r="AB1352" s="24"/>
      <c r="AC1352" s="24"/>
      <c r="AD1352" s="24"/>
      <c r="AE1352" s="24"/>
      <c r="AF1352" s="24"/>
      <c r="AG1352" s="24"/>
      <c r="AH1352" s="24"/>
    </row>
    <row r="1353" spans="1:34" ht="30" x14ac:dyDescent="0.25">
      <c r="A1353" s="24" t="str">
        <f>HYPERLINK("https://www.cpso.on.ca/DoctorDetails/Louise-Ellen-Teitelbaum/0043325-57303","Teitelbaum, Louise Ellen")</f>
        <v>Teitelbaum, Louise Ellen</v>
      </c>
      <c r="B1353" s="25" t="s">
        <v>13099</v>
      </c>
      <c r="C1353" s="24" t="s">
        <v>801</v>
      </c>
      <c r="D1353" s="24" t="s">
        <v>13100</v>
      </c>
      <c r="E1353" s="24" t="s">
        <v>29</v>
      </c>
      <c r="F1353" s="24" t="s">
        <v>47</v>
      </c>
      <c r="G1353" s="24" t="s">
        <v>31</v>
      </c>
      <c r="H1353" s="24" t="s">
        <v>13101</v>
      </c>
      <c r="I1353" s="24" t="s">
        <v>13102</v>
      </c>
      <c r="J1353" s="24" t="s">
        <v>13103</v>
      </c>
      <c r="K1353" s="24"/>
      <c r="L1353" s="24" t="s">
        <v>340</v>
      </c>
      <c r="M1353" s="15"/>
      <c r="N1353" s="15"/>
      <c r="O1353" s="15" t="s">
        <v>1122</v>
      </c>
      <c r="P1353" s="15" t="s">
        <v>2137</v>
      </c>
      <c r="Q1353" s="15" t="s">
        <v>13104</v>
      </c>
      <c r="R1353" s="15" t="s">
        <v>13105</v>
      </c>
      <c r="S1353" s="24" t="s">
        <v>39</v>
      </c>
      <c r="T1353" s="24" t="s">
        <v>39</v>
      </c>
      <c r="U1353" s="24" t="s">
        <v>39</v>
      </c>
      <c r="V1353" s="24" t="s">
        <v>39</v>
      </c>
      <c r="W1353" s="24" t="s">
        <v>13106</v>
      </c>
      <c r="X1353" s="24" t="s">
        <v>13107</v>
      </c>
      <c r="Y1353" s="15" t="s">
        <v>13108</v>
      </c>
      <c r="Z1353" s="15" t="s">
        <v>13109</v>
      </c>
      <c r="AA1353" s="24"/>
      <c r="AB1353" s="24"/>
      <c r="AC1353" s="24"/>
      <c r="AD1353" s="24"/>
      <c r="AE1353" s="24"/>
      <c r="AF1353" s="24"/>
      <c r="AG1353" s="24"/>
      <c r="AH1353" s="24"/>
    </row>
    <row r="1354" spans="1:34" ht="75" x14ac:dyDescent="0.25">
      <c r="A1354" s="24" t="str">
        <f>HYPERLINK("https://www.cpso.on.ca/DoctorDetails/Loys-Jane-Ligate/0027437-32260","Ligate, Loys Jane")</f>
        <v>Ligate, Loys Jane</v>
      </c>
      <c r="B1354" s="25" t="s">
        <v>13110</v>
      </c>
      <c r="C1354" s="24" t="s">
        <v>13111</v>
      </c>
      <c r="D1354" s="24" t="s">
        <v>13112</v>
      </c>
      <c r="E1354" s="24" t="s">
        <v>29</v>
      </c>
      <c r="F1354" s="24" t="s">
        <v>47</v>
      </c>
      <c r="G1354" s="24" t="s">
        <v>31</v>
      </c>
      <c r="H1354" s="24" t="s">
        <v>13113</v>
      </c>
      <c r="I1354" s="24" t="s">
        <v>13114</v>
      </c>
      <c r="J1354" s="24" t="s">
        <v>13115</v>
      </c>
      <c r="K1354" s="24" t="s">
        <v>13116</v>
      </c>
      <c r="L1354" s="24" t="s">
        <v>152</v>
      </c>
      <c r="M1354" s="15" t="s">
        <v>13117</v>
      </c>
      <c r="N1354" s="15"/>
      <c r="O1354" s="15"/>
      <c r="P1354" s="15" t="s">
        <v>7499</v>
      </c>
      <c r="Q1354" s="15"/>
      <c r="R1354" s="15" t="s">
        <v>13118</v>
      </c>
      <c r="S1354" s="24" t="s">
        <v>39</v>
      </c>
      <c r="T1354" s="24" t="s">
        <v>39</v>
      </c>
      <c r="U1354" s="24" t="s">
        <v>39</v>
      </c>
      <c r="V1354" s="24" t="s">
        <v>39</v>
      </c>
      <c r="W1354" s="24" t="s">
        <v>13119</v>
      </c>
      <c r="X1354" s="24" t="s">
        <v>13120</v>
      </c>
      <c r="Y1354" s="15" t="s">
        <v>13121</v>
      </c>
      <c r="Z1354" s="15" t="s">
        <v>13122</v>
      </c>
      <c r="AA1354" s="24"/>
      <c r="AB1354" s="24"/>
      <c r="AC1354" s="24"/>
      <c r="AD1354" s="24"/>
      <c r="AE1354" s="24"/>
      <c r="AF1354" s="24"/>
      <c r="AG1354" s="24"/>
      <c r="AH1354" s="24"/>
    </row>
    <row r="1355" spans="1:34" ht="45" x14ac:dyDescent="0.25">
      <c r="A1355" s="24" t="str">
        <f>HYPERLINK("https://www.cpso.on.ca/DoctorDetails/Lucas-Shawn-Henry/0312736-112532","Henry, Lucas Shawn")</f>
        <v>Henry, Lucas Shawn</v>
      </c>
      <c r="B1355" s="25" t="s">
        <v>13123</v>
      </c>
      <c r="C1355" s="24" t="s">
        <v>4276</v>
      </c>
      <c r="D1355" s="24" t="s">
        <v>13124</v>
      </c>
      <c r="E1355" s="24" t="s">
        <v>29</v>
      </c>
      <c r="F1355" s="24" t="s">
        <v>30</v>
      </c>
      <c r="G1355" s="24" t="s">
        <v>31</v>
      </c>
      <c r="H1355" s="24" t="s">
        <v>13125</v>
      </c>
      <c r="I1355" s="24" t="s">
        <v>9540</v>
      </c>
      <c r="J1355" s="24" t="s">
        <v>13126</v>
      </c>
      <c r="K1355" s="24" t="s">
        <v>13127</v>
      </c>
      <c r="L1355" s="24" t="s">
        <v>52</v>
      </c>
      <c r="M1355" s="15"/>
      <c r="N1355" s="15" t="s">
        <v>13128</v>
      </c>
      <c r="O1355" s="15"/>
      <c r="P1355" s="15" t="s">
        <v>13129</v>
      </c>
      <c r="Q1355" s="15"/>
      <c r="R1355" s="15" t="s">
        <v>13130</v>
      </c>
      <c r="S1355" s="24" t="s">
        <v>71</v>
      </c>
      <c r="T1355" s="24" t="s">
        <v>39</v>
      </c>
      <c r="U1355" s="24" t="s">
        <v>39</v>
      </c>
      <c r="V1355" s="24" t="s">
        <v>39</v>
      </c>
      <c r="W1355" s="24"/>
      <c r="X1355" s="24"/>
      <c r="Y1355" s="15"/>
      <c r="Z1355" s="15"/>
      <c r="AA1355" s="24"/>
      <c r="AB1355" s="24"/>
      <c r="AC1355" s="24"/>
      <c r="AD1355" s="24"/>
      <c r="AE1355" s="24"/>
      <c r="AF1355" s="24"/>
      <c r="AG1355" s="24"/>
      <c r="AH1355" s="24"/>
    </row>
    <row r="1356" spans="1:34" ht="75" x14ac:dyDescent="0.25">
      <c r="A1356" s="24" t="str">
        <f>HYPERLINK("https://www.cpso.on.ca/DoctorDetails/Luciano-Minuzzi/0274227-96960","Minuzzi, Luciano")</f>
        <v>Minuzzi, Luciano</v>
      </c>
      <c r="B1356" s="25" t="s">
        <v>13131</v>
      </c>
      <c r="C1356" s="24" t="s">
        <v>13132</v>
      </c>
      <c r="D1356" s="24" t="s">
        <v>13133</v>
      </c>
      <c r="E1356" s="24" t="s">
        <v>29</v>
      </c>
      <c r="F1356" s="24" t="s">
        <v>30</v>
      </c>
      <c r="G1356" s="24" t="s">
        <v>468</v>
      </c>
      <c r="H1356" s="24" t="s">
        <v>13134</v>
      </c>
      <c r="I1356" s="24" t="s">
        <v>13135</v>
      </c>
      <c r="J1356" s="24" t="s">
        <v>13136</v>
      </c>
      <c r="K1356" s="24" t="s">
        <v>3011</v>
      </c>
      <c r="L1356" s="24" t="s">
        <v>184</v>
      </c>
      <c r="M1356" s="15"/>
      <c r="N1356" s="15"/>
      <c r="O1356" s="15" t="s">
        <v>6565</v>
      </c>
      <c r="P1356" s="15" t="s">
        <v>13137</v>
      </c>
      <c r="Q1356" s="15" t="s">
        <v>13138</v>
      </c>
      <c r="R1356" s="15" t="s">
        <v>13139</v>
      </c>
      <c r="S1356" s="24" t="s">
        <v>71</v>
      </c>
      <c r="T1356" s="24" t="s">
        <v>39</v>
      </c>
      <c r="U1356" s="24" t="s">
        <v>39</v>
      </c>
      <c r="V1356" s="24" t="s">
        <v>39</v>
      </c>
      <c r="W1356" s="24" t="s">
        <v>13140</v>
      </c>
      <c r="X1356" s="24" t="s">
        <v>13141</v>
      </c>
      <c r="Y1356" s="15" t="s">
        <v>13142</v>
      </c>
      <c r="Z1356" s="15" t="s">
        <v>13143</v>
      </c>
      <c r="AA1356" s="24"/>
      <c r="AB1356" s="24"/>
      <c r="AC1356" s="24"/>
      <c r="AD1356" s="24"/>
      <c r="AE1356" s="24"/>
      <c r="AF1356" s="24"/>
      <c r="AG1356" s="24"/>
      <c r="AH1356" s="24"/>
    </row>
    <row r="1357" spans="1:34" x14ac:dyDescent="0.25">
      <c r="A1357" s="24" t="str">
        <f>HYPERLINK("https://www.cpso.on.ca/DoctorDetails/Lucien-Faucher/0019027-23814","Faucher, Lucien")</f>
        <v>Faucher, Lucien</v>
      </c>
      <c r="B1357" s="25" t="s">
        <v>13144</v>
      </c>
      <c r="C1357" s="24" t="s">
        <v>13145</v>
      </c>
      <c r="D1357" s="24" t="s">
        <v>13146</v>
      </c>
      <c r="E1357" s="24" t="s">
        <v>29</v>
      </c>
      <c r="F1357" s="24" t="s">
        <v>30</v>
      </c>
      <c r="G1357" s="24" t="s">
        <v>813</v>
      </c>
      <c r="H1357" s="24" t="s">
        <v>13147</v>
      </c>
      <c r="I1357" s="24" t="s">
        <v>13148</v>
      </c>
      <c r="J1357" s="24" t="s">
        <v>5230</v>
      </c>
      <c r="K1357" s="24" t="s">
        <v>5231</v>
      </c>
      <c r="L1357" s="24" t="s">
        <v>84</v>
      </c>
      <c r="M1357" s="15"/>
      <c r="N1357" s="15"/>
      <c r="O1357" s="15"/>
      <c r="P1357" s="15" t="s">
        <v>4387</v>
      </c>
      <c r="Q1357" s="15"/>
      <c r="R1357" s="15" t="s">
        <v>13149</v>
      </c>
      <c r="S1357" s="24" t="s">
        <v>39</v>
      </c>
      <c r="T1357" s="24" t="s">
        <v>39</v>
      </c>
      <c r="U1357" s="24" t="s">
        <v>39</v>
      </c>
      <c r="V1357" s="24" t="s">
        <v>39</v>
      </c>
      <c r="W1357" s="24"/>
      <c r="X1357" s="24"/>
      <c r="Y1357" s="15"/>
      <c r="Z1357" s="15"/>
      <c r="AA1357" s="24"/>
      <c r="AB1357" s="24"/>
      <c r="AC1357" s="24"/>
      <c r="AD1357" s="24"/>
      <c r="AE1357" s="24"/>
      <c r="AF1357" s="24"/>
      <c r="AG1357" s="24"/>
      <c r="AH1357" s="24"/>
    </row>
    <row r="1358" spans="1:34" ht="30" x14ac:dyDescent="0.25">
      <c r="A1358" s="24" t="str">
        <f>HYPERLINK("https://www.cpso.on.ca/DoctorDetails/Lucille-Necas/0038717-52693","Necas, Lucille")</f>
        <v>Necas, Lucille</v>
      </c>
      <c r="B1358" s="25" t="s">
        <v>13150</v>
      </c>
      <c r="C1358" s="24" t="s">
        <v>3561</v>
      </c>
      <c r="D1358" s="24" t="s">
        <v>12719</v>
      </c>
      <c r="E1358" s="24" t="s">
        <v>29</v>
      </c>
      <c r="F1358" s="24" t="s">
        <v>47</v>
      </c>
      <c r="G1358" s="24" t="s">
        <v>31</v>
      </c>
      <c r="H1358" s="24" t="s">
        <v>3563</v>
      </c>
      <c r="I1358" s="24" t="s">
        <v>13151</v>
      </c>
      <c r="J1358" s="24" t="s">
        <v>13152</v>
      </c>
      <c r="K1358" s="24"/>
      <c r="L1358" s="24" t="s">
        <v>52</v>
      </c>
      <c r="M1358" s="15"/>
      <c r="N1358" s="15"/>
      <c r="O1358" s="15"/>
      <c r="P1358" s="15" t="s">
        <v>3857</v>
      </c>
      <c r="Q1358" s="15"/>
      <c r="R1358" s="15" t="s">
        <v>12722</v>
      </c>
      <c r="S1358" s="24" t="s">
        <v>39</v>
      </c>
      <c r="T1358" s="24" t="s">
        <v>39</v>
      </c>
      <c r="U1358" s="24" t="s">
        <v>39</v>
      </c>
      <c r="V1358" s="24" t="s">
        <v>39</v>
      </c>
      <c r="W1358" s="24"/>
      <c r="X1358" s="24"/>
      <c r="Y1358" s="15"/>
      <c r="Z1358" s="15"/>
      <c r="AA1358" s="24"/>
      <c r="AB1358" s="24"/>
      <c r="AC1358" s="24"/>
      <c r="AD1358" s="24"/>
      <c r="AE1358" s="24"/>
      <c r="AF1358" s="24"/>
      <c r="AG1358" s="24"/>
      <c r="AH1358" s="24"/>
    </row>
    <row r="1359" spans="1:34" ht="90" x14ac:dyDescent="0.25">
      <c r="A1359" s="24" t="str">
        <f>HYPERLINK("https://www.cpso.on.ca/DoctorDetails/Lucy-Church-Barker/0288684-101531","Barker, Lucy Church")</f>
        <v>Barker, Lucy Church</v>
      </c>
      <c r="B1359" s="25" t="s">
        <v>13153</v>
      </c>
      <c r="C1359" s="24" t="s">
        <v>199</v>
      </c>
      <c r="D1359" s="24" t="s">
        <v>200</v>
      </c>
      <c r="E1359" s="24" t="s">
        <v>29</v>
      </c>
      <c r="F1359" s="24" t="s">
        <v>47</v>
      </c>
      <c r="G1359" s="24" t="s">
        <v>31</v>
      </c>
      <c r="H1359" s="24" t="s">
        <v>2992</v>
      </c>
      <c r="I1359" s="24" t="s">
        <v>13154</v>
      </c>
      <c r="J1359" s="24"/>
      <c r="K1359" s="24"/>
      <c r="L1359" s="24" t="s">
        <v>52</v>
      </c>
      <c r="M1359" s="15"/>
      <c r="N1359" s="15"/>
      <c r="O1359" s="15" t="s">
        <v>1110</v>
      </c>
      <c r="P1359" s="15" t="s">
        <v>205</v>
      </c>
      <c r="Q1359" s="15" t="s">
        <v>13155</v>
      </c>
      <c r="R1359" s="15" t="s">
        <v>207</v>
      </c>
      <c r="S1359" s="24" t="s">
        <v>39</v>
      </c>
      <c r="T1359" s="24" t="s">
        <v>39</v>
      </c>
      <c r="U1359" s="24" t="s">
        <v>39</v>
      </c>
      <c r="V1359" s="24" t="s">
        <v>39</v>
      </c>
      <c r="W1359" s="24"/>
      <c r="X1359" s="24"/>
      <c r="Y1359" s="15"/>
      <c r="Z1359" s="15"/>
      <c r="AA1359" s="24"/>
      <c r="AB1359" s="24"/>
      <c r="AC1359" s="24"/>
      <c r="AD1359" s="24"/>
      <c r="AE1359" s="24"/>
      <c r="AF1359" s="24"/>
      <c r="AG1359" s="24"/>
      <c r="AH1359" s="24"/>
    </row>
    <row r="1360" spans="1:34" ht="30" x14ac:dyDescent="0.25">
      <c r="A1360" s="24" t="str">
        <f>HYPERLINK("https://www.cpso.on.ca/DoctorDetails/Ludomir-Alexander-Luczak/0037048-51024","Luczak, Ludomir Alexander")</f>
        <v>Luczak, Ludomir Alexander</v>
      </c>
      <c r="B1360" s="25" t="s">
        <v>13156</v>
      </c>
      <c r="C1360" s="24" t="s">
        <v>3746</v>
      </c>
      <c r="D1360" s="24" t="s">
        <v>493</v>
      </c>
      <c r="E1360" s="24" t="s">
        <v>29</v>
      </c>
      <c r="F1360" s="24" t="s">
        <v>30</v>
      </c>
      <c r="G1360" s="24" t="s">
        <v>31</v>
      </c>
      <c r="H1360" s="24" t="s">
        <v>13157</v>
      </c>
      <c r="I1360" s="24" t="s">
        <v>13158</v>
      </c>
      <c r="J1360" s="24" t="s">
        <v>13159</v>
      </c>
      <c r="K1360" s="24" t="s">
        <v>13160</v>
      </c>
      <c r="L1360" s="24" t="s">
        <v>36</v>
      </c>
      <c r="M1360" s="15"/>
      <c r="N1360" s="15"/>
      <c r="O1360" s="15"/>
      <c r="P1360" s="15" t="s">
        <v>5839</v>
      </c>
      <c r="Q1360" s="15"/>
      <c r="R1360" s="15" t="s">
        <v>13161</v>
      </c>
      <c r="S1360" s="24" t="s">
        <v>39</v>
      </c>
      <c r="T1360" s="24" t="s">
        <v>39</v>
      </c>
      <c r="U1360" s="24" t="s">
        <v>39</v>
      </c>
      <c r="V1360" s="24" t="s">
        <v>39</v>
      </c>
      <c r="W1360" s="24" t="s">
        <v>13162</v>
      </c>
      <c r="X1360" s="24" t="s">
        <v>13163</v>
      </c>
      <c r="Y1360" s="15" t="s">
        <v>13164</v>
      </c>
      <c r="Z1360" s="15" t="s">
        <v>13165</v>
      </c>
      <c r="AA1360" s="24"/>
      <c r="AB1360" s="24"/>
      <c r="AC1360" s="24"/>
      <c r="AD1360" s="24"/>
      <c r="AE1360" s="24"/>
      <c r="AF1360" s="24"/>
      <c r="AG1360" s="24"/>
      <c r="AH1360" s="24"/>
    </row>
    <row r="1361" spans="1:34" ht="30" x14ac:dyDescent="0.25">
      <c r="A1361" s="24" t="str">
        <f>HYPERLINK("https://www.cpso.on.ca/DoctorDetails/Luigi-Canella/0038798-52774","Canella, Luigi")</f>
        <v>Canella, Luigi</v>
      </c>
      <c r="B1361" s="25" t="s">
        <v>13166</v>
      </c>
      <c r="C1361" s="24" t="s">
        <v>3561</v>
      </c>
      <c r="D1361" s="24" t="s">
        <v>13167</v>
      </c>
      <c r="E1361" s="24" t="s">
        <v>29</v>
      </c>
      <c r="F1361" s="24" t="s">
        <v>30</v>
      </c>
      <c r="G1361" s="24" t="s">
        <v>2188</v>
      </c>
      <c r="H1361" s="24" t="s">
        <v>3563</v>
      </c>
      <c r="I1361" s="24" t="s">
        <v>13168</v>
      </c>
      <c r="J1361" s="24" t="s">
        <v>13169</v>
      </c>
      <c r="K1361" s="24" t="s">
        <v>13170</v>
      </c>
      <c r="L1361" s="24" t="s">
        <v>52</v>
      </c>
      <c r="M1361" s="15"/>
      <c r="N1361" s="15"/>
      <c r="O1361" s="15"/>
      <c r="P1361" s="15" t="s">
        <v>3857</v>
      </c>
      <c r="Q1361" s="15"/>
      <c r="R1361" s="15" t="s">
        <v>13171</v>
      </c>
      <c r="S1361" s="24" t="s">
        <v>39</v>
      </c>
      <c r="T1361" s="24" t="s">
        <v>39</v>
      </c>
      <c r="U1361" s="24" t="s">
        <v>39</v>
      </c>
      <c r="V1361" s="24" t="s">
        <v>39</v>
      </c>
      <c r="W1361" s="24"/>
      <c r="X1361" s="24"/>
      <c r="Y1361" s="15"/>
      <c r="Z1361" s="15"/>
      <c r="AA1361" s="24"/>
      <c r="AB1361" s="24"/>
      <c r="AC1361" s="24"/>
      <c r="AD1361" s="24"/>
      <c r="AE1361" s="24"/>
      <c r="AF1361" s="24"/>
      <c r="AG1361" s="24"/>
      <c r="AH1361" s="24"/>
    </row>
    <row r="1362" spans="1:34" x14ac:dyDescent="0.25">
      <c r="A1362" s="24" t="str">
        <f>HYPERLINK("https://www.cpso.on.ca/DoctorDetails/Luis-Fernando-Cleto/0116489-69771","Cleto, Luis Fernando")</f>
        <v>Cleto, Luis Fernando</v>
      </c>
      <c r="B1362" s="25" t="s">
        <v>13172</v>
      </c>
      <c r="C1362" s="24" t="s">
        <v>13173</v>
      </c>
      <c r="D1362" s="24" t="s">
        <v>13174</v>
      </c>
      <c r="E1362" s="24" t="s">
        <v>29</v>
      </c>
      <c r="F1362" s="24" t="s">
        <v>30</v>
      </c>
      <c r="G1362" s="24" t="s">
        <v>13175</v>
      </c>
      <c r="H1362" s="24" t="s">
        <v>9189</v>
      </c>
      <c r="I1362" s="24" t="s">
        <v>13176</v>
      </c>
      <c r="J1362" s="24" t="s">
        <v>13177</v>
      </c>
      <c r="K1362" s="24" t="s">
        <v>13178</v>
      </c>
      <c r="L1362" s="24" t="s">
        <v>135</v>
      </c>
      <c r="M1362" s="15"/>
      <c r="N1362" s="15"/>
      <c r="O1362" s="15"/>
      <c r="P1362" s="15" t="s">
        <v>2137</v>
      </c>
      <c r="Q1362" s="15"/>
      <c r="R1362" s="15" t="s">
        <v>13179</v>
      </c>
      <c r="S1362" s="24" t="s">
        <v>39</v>
      </c>
      <c r="T1362" s="24" t="s">
        <v>39</v>
      </c>
      <c r="U1362" s="24" t="s">
        <v>39</v>
      </c>
      <c r="V1362" s="24" t="s">
        <v>39</v>
      </c>
      <c r="W1362" s="24" t="s">
        <v>13180</v>
      </c>
      <c r="X1362" s="24" t="s">
        <v>13181</v>
      </c>
      <c r="Y1362" s="15" t="s">
        <v>13182</v>
      </c>
      <c r="Z1362" s="15" t="s">
        <v>13183</v>
      </c>
      <c r="AA1362" s="24"/>
      <c r="AB1362" s="24"/>
      <c r="AC1362" s="24"/>
      <c r="AD1362" s="24"/>
      <c r="AE1362" s="24"/>
      <c r="AF1362" s="24"/>
      <c r="AG1362" s="24"/>
      <c r="AH1362" s="24"/>
    </row>
    <row r="1363" spans="1:34" ht="120" x14ac:dyDescent="0.25">
      <c r="A1363" s="24" t="str">
        <f>HYPERLINK("https://www.cpso.on.ca/DoctorDetails/Luis-Oscar-Roldan-Lozano/0050843-64822","Roldan Lozano, Luis Oscar")</f>
        <v>Roldan Lozano, Luis Oscar</v>
      </c>
      <c r="B1363" s="25" t="s">
        <v>13184</v>
      </c>
      <c r="C1363" s="24" t="s">
        <v>13185</v>
      </c>
      <c r="D1363" s="24" t="s">
        <v>13186</v>
      </c>
      <c r="E1363" s="24" t="s">
        <v>29</v>
      </c>
      <c r="F1363" s="24" t="s">
        <v>30</v>
      </c>
      <c r="G1363" s="24" t="s">
        <v>115</v>
      </c>
      <c r="H1363" s="24" t="s">
        <v>13187</v>
      </c>
      <c r="I1363" s="24" t="s">
        <v>13188</v>
      </c>
      <c r="J1363" s="24" t="s">
        <v>13189</v>
      </c>
      <c r="K1363" s="24" t="s">
        <v>13190</v>
      </c>
      <c r="L1363" s="24" t="s">
        <v>52</v>
      </c>
      <c r="M1363" s="15"/>
      <c r="N1363" s="15"/>
      <c r="O1363" s="15"/>
      <c r="P1363" s="15" t="s">
        <v>12693</v>
      </c>
      <c r="Q1363" s="15" t="s">
        <v>13191</v>
      </c>
      <c r="R1363" s="15" t="s">
        <v>13192</v>
      </c>
      <c r="S1363" s="24" t="s">
        <v>39</v>
      </c>
      <c r="T1363" s="24" t="s">
        <v>39</v>
      </c>
      <c r="U1363" s="24" t="s">
        <v>39</v>
      </c>
      <c r="V1363" s="24" t="s">
        <v>39</v>
      </c>
      <c r="W1363" s="24" t="s">
        <v>13193</v>
      </c>
      <c r="X1363" s="24" t="s">
        <v>4673</v>
      </c>
      <c r="Y1363" s="15" t="s">
        <v>13194</v>
      </c>
      <c r="Z1363" s="15" t="s">
        <v>13195</v>
      </c>
      <c r="AA1363" s="24"/>
      <c r="AB1363" s="24"/>
      <c r="AC1363" s="24"/>
      <c r="AD1363" s="24"/>
      <c r="AE1363" s="24"/>
      <c r="AF1363" s="24"/>
      <c r="AG1363" s="24"/>
      <c r="AH1363" s="24"/>
    </row>
    <row r="1364" spans="1:34" x14ac:dyDescent="0.25">
      <c r="A1364" s="24" t="str">
        <f>HYPERLINK("https://www.cpso.on.ca/DoctorDetails/Lumir-Edward-Krul/0024709-29531","Krul, Lumir Edward")</f>
        <v>Krul, Lumir Edward</v>
      </c>
      <c r="B1364" s="25" t="s">
        <v>13196</v>
      </c>
      <c r="C1364" s="24" t="s">
        <v>13197</v>
      </c>
      <c r="D1364" s="24" t="s">
        <v>13198</v>
      </c>
      <c r="E1364" s="24" t="s">
        <v>29</v>
      </c>
      <c r="F1364" s="24" t="s">
        <v>30</v>
      </c>
      <c r="G1364" s="24" t="s">
        <v>6879</v>
      </c>
      <c r="H1364" s="24" t="s">
        <v>13199</v>
      </c>
      <c r="I1364" s="24" t="s">
        <v>13200</v>
      </c>
      <c r="J1364" s="24" t="s">
        <v>13201</v>
      </c>
      <c r="K1364" s="24"/>
      <c r="L1364" s="24" t="s">
        <v>84</v>
      </c>
      <c r="M1364" s="15"/>
      <c r="N1364" s="15"/>
      <c r="O1364" s="15"/>
      <c r="P1364" s="15" t="s">
        <v>6465</v>
      </c>
      <c r="Q1364" s="15"/>
      <c r="R1364" s="15" t="s">
        <v>13202</v>
      </c>
      <c r="S1364" s="24" t="s">
        <v>39</v>
      </c>
      <c r="T1364" s="24" t="s">
        <v>39</v>
      </c>
      <c r="U1364" s="24" t="s">
        <v>39</v>
      </c>
      <c r="V1364" s="24" t="s">
        <v>39</v>
      </c>
      <c r="W1364" s="24" t="s">
        <v>13203</v>
      </c>
      <c r="X1364" s="24" t="s">
        <v>13204</v>
      </c>
      <c r="Y1364" s="15" t="s">
        <v>13205</v>
      </c>
      <c r="Z1364" s="15" t="s">
        <v>13206</v>
      </c>
      <c r="AA1364" s="24"/>
      <c r="AB1364" s="24"/>
      <c r="AC1364" s="24"/>
      <c r="AD1364" s="24"/>
      <c r="AE1364" s="24"/>
      <c r="AF1364" s="24"/>
      <c r="AG1364" s="24"/>
      <c r="AH1364" s="24"/>
    </row>
    <row r="1365" spans="1:34" ht="75" x14ac:dyDescent="0.25">
      <c r="A1365" s="24" t="str">
        <f>HYPERLINK("https://www.cpso.on.ca/DoctorDetails/Luna-Soberano-Roher/0045700-59678","Roher, Luna Soberano")</f>
        <v>Roher, Luna Soberano</v>
      </c>
      <c r="B1365" s="25" t="s">
        <v>13207</v>
      </c>
      <c r="C1365" s="24" t="s">
        <v>13208</v>
      </c>
      <c r="D1365" s="24" t="s">
        <v>13209</v>
      </c>
      <c r="E1365" s="24" t="s">
        <v>29</v>
      </c>
      <c r="F1365" s="24" t="s">
        <v>47</v>
      </c>
      <c r="G1365" s="24" t="s">
        <v>115</v>
      </c>
      <c r="H1365" s="24" t="s">
        <v>6839</v>
      </c>
      <c r="I1365" s="24" t="s">
        <v>13210</v>
      </c>
      <c r="J1365" s="24" t="s">
        <v>13211</v>
      </c>
      <c r="K1365" s="24" t="s">
        <v>13212</v>
      </c>
      <c r="L1365" s="24" t="s">
        <v>36</v>
      </c>
      <c r="M1365" s="15"/>
      <c r="N1365" s="15"/>
      <c r="O1365" s="15"/>
      <c r="P1365" s="15" t="s">
        <v>13213</v>
      </c>
      <c r="Q1365" s="15" t="s">
        <v>13214</v>
      </c>
      <c r="R1365" s="15" t="s">
        <v>13215</v>
      </c>
      <c r="S1365" s="24" t="s">
        <v>39</v>
      </c>
      <c r="T1365" s="24" t="s">
        <v>39</v>
      </c>
      <c r="U1365" s="24" t="s">
        <v>39</v>
      </c>
      <c r="V1365" s="24" t="s">
        <v>39</v>
      </c>
      <c r="W1365" s="24" t="s">
        <v>13216</v>
      </c>
      <c r="X1365" s="24" t="s">
        <v>13217</v>
      </c>
      <c r="Y1365" s="15" t="s">
        <v>13218</v>
      </c>
      <c r="Z1365" s="15" t="s">
        <v>13219</v>
      </c>
      <c r="AA1365" s="24"/>
      <c r="AB1365" s="24"/>
      <c r="AC1365" s="24"/>
      <c r="AD1365" s="24"/>
      <c r="AE1365" s="24"/>
      <c r="AF1365" s="24"/>
      <c r="AG1365" s="24"/>
      <c r="AH1365" s="24"/>
    </row>
    <row r="1366" spans="1:34" ht="90" x14ac:dyDescent="0.25">
      <c r="A1366" s="24" t="str">
        <f>HYPERLINK("https://www.cpso.on.ca/DoctorDetails/Lynda-Louise-Molleken/0049605-63583","Molleken, Lynda Louise")</f>
        <v>Molleken, Lynda Louise</v>
      </c>
      <c r="B1366" s="25" t="s">
        <v>13220</v>
      </c>
      <c r="C1366" s="24" t="s">
        <v>10222</v>
      </c>
      <c r="D1366" s="24" t="s">
        <v>13221</v>
      </c>
      <c r="E1366" s="24" t="s">
        <v>29</v>
      </c>
      <c r="F1366" s="24" t="s">
        <v>47</v>
      </c>
      <c r="G1366" s="24" t="s">
        <v>31</v>
      </c>
      <c r="H1366" s="24" t="s">
        <v>7928</v>
      </c>
      <c r="I1366" s="24" t="s">
        <v>13222</v>
      </c>
      <c r="J1366" s="24" t="s">
        <v>13223</v>
      </c>
      <c r="K1366" s="24" t="s">
        <v>13224</v>
      </c>
      <c r="L1366" s="24" t="s">
        <v>52</v>
      </c>
      <c r="M1366" s="15" t="s">
        <v>13225</v>
      </c>
      <c r="N1366" s="15"/>
      <c r="O1366" s="15" t="s">
        <v>487</v>
      </c>
      <c r="P1366" s="15" t="s">
        <v>3954</v>
      </c>
      <c r="Q1366" s="15" t="s">
        <v>13226</v>
      </c>
      <c r="R1366" s="15" t="s">
        <v>13227</v>
      </c>
      <c r="S1366" s="24" t="s">
        <v>39</v>
      </c>
      <c r="T1366" s="24" t="s">
        <v>39</v>
      </c>
      <c r="U1366" s="24" t="s">
        <v>39</v>
      </c>
      <c r="V1366" s="24" t="s">
        <v>39</v>
      </c>
      <c r="W1366" s="24" t="s">
        <v>13228</v>
      </c>
      <c r="X1366" s="24" t="s">
        <v>13229</v>
      </c>
      <c r="Y1366" s="15" t="s">
        <v>13230</v>
      </c>
      <c r="Z1366" s="15" t="s">
        <v>13231</v>
      </c>
      <c r="AA1366" s="24"/>
      <c r="AB1366" s="24"/>
      <c r="AC1366" s="24"/>
      <c r="AD1366" s="24"/>
      <c r="AE1366" s="24"/>
      <c r="AF1366" s="24"/>
      <c r="AG1366" s="24"/>
      <c r="AH1366" s="24"/>
    </row>
    <row r="1367" spans="1:34" ht="105" x14ac:dyDescent="0.25">
      <c r="A1367" s="24" t="str">
        <f>HYPERLINK("https://www.cpso.on.ca/DoctorDetails/Lyndal-Christine-Petit/0211003-80916","Petit, Lyndal Christine")</f>
        <v>Petit, Lyndal Christine</v>
      </c>
      <c r="B1367" s="25" t="s">
        <v>13232</v>
      </c>
      <c r="C1367" s="24" t="s">
        <v>13233</v>
      </c>
      <c r="D1367" s="24" t="s">
        <v>906</v>
      </c>
      <c r="E1367" s="24" t="s">
        <v>29</v>
      </c>
      <c r="F1367" s="24" t="s">
        <v>47</v>
      </c>
      <c r="G1367" s="24" t="s">
        <v>813</v>
      </c>
      <c r="H1367" s="24" t="s">
        <v>908</v>
      </c>
      <c r="I1367" s="24" t="s">
        <v>13234</v>
      </c>
      <c r="J1367" s="24" t="s">
        <v>7040</v>
      </c>
      <c r="K1367" s="24" t="s">
        <v>3978</v>
      </c>
      <c r="L1367" s="24" t="s">
        <v>84</v>
      </c>
      <c r="M1367" s="15"/>
      <c r="N1367" s="15"/>
      <c r="O1367" s="15" t="s">
        <v>3979</v>
      </c>
      <c r="P1367" s="15" t="s">
        <v>13235</v>
      </c>
      <c r="Q1367" s="15" t="s">
        <v>13236</v>
      </c>
      <c r="R1367" s="15" t="s">
        <v>13237</v>
      </c>
      <c r="S1367" s="24" t="s">
        <v>39</v>
      </c>
      <c r="T1367" s="24" t="s">
        <v>39</v>
      </c>
      <c r="U1367" s="24" t="s">
        <v>39</v>
      </c>
      <c r="V1367" s="24" t="s">
        <v>39</v>
      </c>
      <c r="W1367" s="24"/>
      <c r="X1367" s="24"/>
      <c r="Y1367" s="15"/>
      <c r="Z1367" s="15"/>
      <c r="AA1367" s="24"/>
      <c r="AB1367" s="24"/>
      <c r="AC1367" s="24"/>
      <c r="AD1367" s="24"/>
      <c r="AE1367" s="24"/>
      <c r="AF1367" s="24"/>
      <c r="AG1367" s="24"/>
      <c r="AH1367" s="24"/>
    </row>
    <row r="1368" spans="1:34" ht="45" x14ac:dyDescent="0.25">
      <c r="A1368" s="24" t="str">
        <f>HYPERLINK("https://www.cpso.on.ca/DoctorDetails/Madeline-DayotVenida/0038036-52012","Dayot-Venida, Madeline")</f>
        <v>Dayot-Venida, Madeline</v>
      </c>
      <c r="B1368" s="25" t="s">
        <v>13238</v>
      </c>
      <c r="C1368" s="24" t="s">
        <v>13239</v>
      </c>
      <c r="D1368" s="24" t="s">
        <v>13240</v>
      </c>
      <c r="E1368" s="24" t="s">
        <v>29</v>
      </c>
      <c r="F1368" s="24" t="s">
        <v>47</v>
      </c>
      <c r="G1368" s="24" t="s">
        <v>861</v>
      </c>
      <c r="H1368" s="24" t="s">
        <v>13241</v>
      </c>
      <c r="I1368" s="24" t="s">
        <v>13242</v>
      </c>
      <c r="J1368" s="24" t="s">
        <v>13243</v>
      </c>
      <c r="K1368" s="24" t="s">
        <v>13243</v>
      </c>
      <c r="L1368" s="24" t="s">
        <v>340</v>
      </c>
      <c r="M1368" s="15"/>
      <c r="N1368" s="15"/>
      <c r="O1368" s="15"/>
      <c r="P1368" s="15" t="s">
        <v>4108</v>
      </c>
      <c r="Q1368" s="15"/>
      <c r="R1368" s="15" t="s">
        <v>13244</v>
      </c>
      <c r="S1368" s="24" t="s">
        <v>39</v>
      </c>
      <c r="T1368" s="24" t="s">
        <v>39</v>
      </c>
      <c r="U1368" s="24" t="s">
        <v>39</v>
      </c>
      <c r="V1368" s="24" t="s">
        <v>39</v>
      </c>
      <c r="W1368" s="24" t="s">
        <v>13245</v>
      </c>
      <c r="X1368" s="24" t="s">
        <v>13246</v>
      </c>
      <c r="Y1368" s="15" t="s">
        <v>13247</v>
      </c>
      <c r="Z1368" s="15" t="s">
        <v>13248</v>
      </c>
      <c r="AA1368" s="24"/>
      <c r="AB1368" s="24"/>
      <c r="AC1368" s="24"/>
      <c r="AD1368" s="24"/>
      <c r="AE1368" s="24"/>
      <c r="AF1368" s="24"/>
      <c r="AG1368" s="24"/>
      <c r="AH1368" s="24"/>
    </row>
    <row r="1369" spans="1:34" ht="120" x14ac:dyDescent="0.25">
      <c r="A1369" s="24" t="str">
        <f>HYPERLINK("https://www.cpso.on.ca/DoctorDetails/Madeline-TsuiYee-Li/0158357-73839","Li, Madeline Tsui-Yee")</f>
        <v>Li, Madeline Tsui-Yee</v>
      </c>
      <c r="B1369" s="25" t="s">
        <v>13249</v>
      </c>
      <c r="C1369" s="24" t="s">
        <v>280</v>
      </c>
      <c r="D1369" s="24" t="s">
        <v>1234</v>
      </c>
      <c r="E1369" s="24" t="s">
        <v>29</v>
      </c>
      <c r="F1369" s="24" t="s">
        <v>47</v>
      </c>
      <c r="G1369" s="24" t="s">
        <v>31</v>
      </c>
      <c r="H1369" s="24" t="s">
        <v>2846</v>
      </c>
      <c r="I1369" s="24" t="s">
        <v>13250</v>
      </c>
      <c r="J1369" s="24" t="s">
        <v>13251</v>
      </c>
      <c r="K1369" s="24" t="s">
        <v>7631</v>
      </c>
      <c r="L1369" s="24" t="s">
        <v>52</v>
      </c>
      <c r="M1369" s="15"/>
      <c r="N1369" s="15"/>
      <c r="O1369" s="15" t="s">
        <v>5784</v>
      </c>
      <c r="P1369" s="15" t="s">
        <v>1239</v>
      </c>
      <c r="Q1369" s="15" t="s">
        <v>13252</v>
      </c>
      <c r="R1369" s="15" t="s">
        <v>1241</v>
      </c>
      <c r="S1369" s="24" t="s">
        <v>39</v>
      </c>
      <c r="T1369" s="24" t="s">
        <v>39</v>
      </c>
      <c r="U1369" s="24" t="s">
        <v>39</v>
      </c>
      <c r="V1369" s="24" t="s">
        <v>39</v>
      </c>
      <c r="W1369" s="24" t="s">
        <v>13253</v>
      </c>
      <c r="X1369" s="24" t="s">
        <v>1927</v>
      </c>
      <c r="Y1369" s="15" t="s">
        <v>13254</v>
      </c>
      <c r="Z1369" s="15" t="s">
        <v>13255</v>
      </c>
      <c r="AA1369" s="24"/>
      <c r="AB1369" s="24"/>
      <c r="AC1369" s="24"/>
      <c r="AD1369" s="24"/>
      <c r="AE1369" s="24"/>
      <c r="AF1369" s="24"/>
      <c r="AG1369" s="24"/>
      <c r="AH1369" s="24"/>
    </row>
    <row r="1370" spans="1:34" ht="45" x14ac:dyDescent="0.25">
      <c r="A1370" s="24" t="str">
        <f>HYPERLINK("https://www.cpso.on.ca/DoctorDetails/Madhulika-Agarwal-Gupta/0026383-31206","Gupta, Madhulika Agarwal")</f>
        <v>Gupta, Madhulika Agarwal</v>
      </c>
      <c r="B1370" s="25" t="s">
        <v>13256</v>
      </c>
      <c r="C1370" s="24" t="s">
        <v>13257</v>
      </c>
      <c r="D1370" s="24" t="s">
        <v>13258</v>
      </c>
      <c r="E1370" s="24" t="s">
        <v>13259</v>
      </c>
      <c r="F1370" s="24" t="s">
        <v>47</v>
      </c>
      <c r="G1370" s="24" t="s">
        <v>1375</v>
      </c>
      <c r="H1370" s="24" t="s">
        <v>1216</v>
      </c>
      <c r="I1370" s="24" t="s">
        <v>13260</v>
      </c>
      <c r="J1370" s="24" t="s">
        <v>13261</v>
      </c>
      <c r="K1370" s="24" t="s">
        <v>13262</v>
      </c>
      <c r="L1370" s="24" t="s">
        <v>135</v>
      </c>
      <c r="M1370" s="15"/>
      <c r="N1370" s="15" t="s">
        <v>13263</v>
      </c>
      <c r="O1370" s="15" t="s">
        <v>913</v>
      </c>
      <c r="P1370" s="15" t="s">
        <v>13264</v>
      </c>
      <c r="Q1370" s="15"/>
      <c r="R1370" s="15" t="s">
        <v>13265</v>
      </c>
      <c r="S1370" s="24" t="s">
        <v>39</v>
      </c>
      <c r="T1370" s="24" t="s">
        <v>39</v>
      </c>
      <c r="U1370" s="24" t="s">
        <v>39</v>
      </c>
      <c r="V1370" s="24" t="s">
        <v>39</v>
      </c>
      <c r="W1370" s="24" t="s">
        <v>13266</v>
      </c>
      <c r="X1370" s="24" t="s">
        <v>10590</v>
      </c>
      <c r="Y1370" s="15" t="s">
        <v>13267</v>
      </c>
      <c r="Z1370" s="15" t="s">
        <v>13268</v>
      </c>
      <c r="AA1370" s="24"/>
      <c r="AB1370" s="24"/>
      <c r="AC1370" s="24"/>
      <c r="AD1370" s="24"/>
      <c r="AE1370" s="24"/>
      <c r="AF1370" s="24"/>
      <c r="AG1370" s="24"/>
      <c r="AH1370" s="24"/>
    </row>
    <row r="1371" spans="1:34" x14ac:dyDescent="0.25">
      <c r="A1371" s="24" t="str">
        <f>HYPERLINK("https://www.cpso.on.ca/DoctorDetails/Madhusudana-Rao-Vallabhaneni/0057126-68714","Vallabhaneni, Madhusudana Rao")</f>
        <v>Vallabhaneni, Madhusudana Rao</v>
      </c>
      <c r="B1371" s="25" t="s">
        <v>13269</v>
      </c>
      <c r="C1371" s="24" t="s">
        <v>13270</v>
      </c>
      <c r="D1371" s="24" t="s">
        <v>13271</v>
      </c>
      <c r="E1371" s="24" t="s">
        <v>29</v>
      </c>
      <c r="F1371" s="24" t="s">
        <v>30</v>
      </c>
      <c r="G1371" s="24" t="s">
        <v>8331</v>
      </c>
      <c r="H1371" s="24" t="s">
        <v>13272</v>
      </c>
      <c r="I1371" s="24" t="s">
        <v>13273</v>
      </c>
      <c r="J1371" s="24" t="s">
        <v>13274</v>
      </c>
      <c r="K1371" s="24" t="s">
        <v>13275</v>
      </c>
      <c r="L1371" s="24" t="s">
        <v>52</v>
      </c>
      <c r="M1371" s="15"/>
      <c r="N1371" s="15"/>
      <c r="O1371" s="15" t="s">
        <v>1201</v>
      </c>
      <c r="P1371" s="15" t="s">
        <v>13069</v>
      </c>
      <c r="Q1371" s="15"/>
      <c r="R1371" s="15" t="s">
        <v>13276</v>
      </c>
      <c r="S1371" s="24" t="s">
        <v>39</v>
      </c>
      <c r="T1371" s="24" t="s">
        <v>39</v>
      </c>
      <c r="U1371" s="24" t="s">
        <v>39</v>
      </c>
      <c r="V1371" s="24" t="s">
        <v>39</v>
      </c>
      <c r="W1371" s="24"/>
      <c r="X1371" s="24"/>
      <c r="Y1371" s="15"/>
      <c r="Z1371" s="15"/>
      <c r="AA1371" s="24"/>
      <c r="AB1371" s="24"/>
      <c r="AC1371" s="24"/>
      <c r="AD1371" s="24"/>
      <c r="AE1371" s="24"/>
      <c r="AF1371" s="24"/>
      <c r="AG1371" s="24"/>
      <c r="AH1371" s="24"/>
    </row>
    <row r="1372" spans="1:34" ht="30" x14ac:dyDescent="0.25">
      <c r="A1372" s="24" t="str">
        <f>HYPERLINK("https://www.cpso.on.ca/DoctorDetails/Madnayaknahalli-Venugopal-Arun-Prakash/0051923-65902","Arun Prakash, Madnayaknahalli Venugopal")</f>
        <v>Arun Prakash, Madnayaknahalli Venugopal</v>
      </c>
      <c r="B1372" s="25" t="s">
        <v>13277</v>
      </c>
      <c r="C1372" s="24" t="s">
        <v>13278</v>
      </c>
      <c r="D1372" s="24" t="s">
        <v>13279</v>
      </c>
      <c r="E1372" s="24" t="s">
        <v>29</v>
      </c>
      <c r="F1372" s="24" t="s">
        <v>30</v>
      </c>
      <c r="G1372" s="24" t="s">
        <v>13280</v>
      </c>
      <c r="H1372" s="24" t="s">
        <v>9903</v>
      </c>
      <c r="I1372" s="24" t="s">
        <v>13281</v>
      </c>
      <c r="J1372" s="24" t="s">
        <v>13282</v>
      </c>
      <c r="K1372" s="24" t="s">
        <v>13283</v>
      </c>
      <c r="L1372" s="24" t="s">
        <v>135</v>
      </c>
      <c r="M1372" s="15" t="s">
        <v>13284</v>
      </c>
      <c r="N1372" s="15"/>
      <c r="O1372" s="15" t="s">
        <v>4812</v>
      </c>
      <c r="P1372" s="15" t="s">
        <v>1984</v>
      </c>
      <c r="Q1372" s="15"/>
      <c r="R1372" s="15" t="s">
        <v>13285</v>
      </c>
      <c r="S1372" s="24" t="s">
        <v>39</v>
      </c>
      <c r="T1372" s="24" t="s">
        <v>39</v>
      </c>
      <c r="U1372" s="24" t="s">
        <v>39</v>
      </c>
      <c r="V1372" s="24" t="s">
        <v>39</v>
      </c>
      <c r="W1372" s="24" t="s">
        <v>13286</v>
      </c>
      <c r="X1372" s="24" t="s">
        <v>13287</v>
      </c>
      <c r="Y1372" s="15" t="s">
        <v>13288</v>
      </c>
      <c r="Z1372" s="15" t="s">
        <v>13289</v>
      </c>
      <c r="AA1372" s="24"/>
      <c r="AB1372" s="24"/>
      <c r="AC1372" s="24"/>
      <c r="AD1372" s="24"/>
      <c r="AE1372" s="24"/>
      <c r="AF1372" s="24"/>
      <c r="AG1372" s="24"/>
      <c r="AH1372" s="24"/>
    </row>
    <row r="1373" spans="1:34" ht="30" x14ac:dyDescent="0.25">
      <c r="A1373" s="24" t="str">
        <f>HYPERLINK("https://www.cpso.on.ca/DoctorDetails/Maeve-Patricia-Fahy/0042612-56590","Fahy, Maeve Patricia")</f>
        <v>Fahy, Maeve Patricia</v>
      </c>
      <c r="B1373" s="25" t="s">
        <v>13290</v>
      </c>
      <c r="C1373" s="24" t="s">
        <v>13291</v>
      </c>
      <c r="D1373" s="24" t="s">
        <v>13292</v>
      </c>
      <c r="E1373" s="24" t="s">
        <v>13293</v>
      </c>
      <c r="F1373" s="24" t="s">
        <v>47</v>
      </c>
      <c r="G1373" s="24" t="s">
        <v>31</v>
      </c>
      <c r="H1373" s="24" t="s">
        <v>13294</v>
      </c>
      <c r="I1373" s="24" t="s">
        <v>13295</v>
      </c>
      <c r="J1373" s="24" t="s">
        <v>10712</v>
      </c>
      <c r="K1373" s="24"/>
      <c r="L1373" s="24" t="s">
        <v>340</v>
      </c>
      <c r="M1373" s="15"/>
      <c r="N1373" s="15"/>
      <c r="O1373" s="15"/>
      <c r="P1373" s="15" t="s">
        <v>808</v>
      </c>
      <c r="Q1373" s="15"/>
      <c r="R1373" s="15" t="s">
        <v>13296</v>
      </c>
      <c r="S1373" s="24" t="s">
        <v>39</v>
      </c>
      <c r="T1373" s="24" t="s">
        <v>39</v>
      </c>
      <c r="U1373" s="24" t="s">
        <v>39</v>
      </c>
      <c r="V1373" s="24" t="s">
        <v>39</v>
      </c>
      <c r="W1373" s="24"/>
      <c r="X1373" s="24"/>
      <c r="Y1373" s="15"/>
      <c r="Z1373" s="15"/>
      <c r="AA1373" s="24"/>
      <c r="AB1373" s="24"/>
      <c r="AC1373" s="24"/>
      <c r="AD1373" s="24"/>
      <c r="AE1373" s="24"/>
      <c r="AF1373" s="24"/>
      <c r="AG1373" s="24"/>
      <c r="AH1373" s="24"/>
    </row>
    <row r="1374" spans="1:34" ht="30" x14ac:dyDescent="0.25">
      <c r="A1374" s="24" t="str">
        <f>HYPERLINK("https://www.cpso.on.ca/DoctorDetails/Magda-Wadie-Hanna/0172359-75552","Hanna, Magda Wadie")</f>
        <v>Hanna, Magda Wadie</v>
      </c>
      <c r="B1374" s="25" t="s">
        <v>13297</v>
      </c>
      <c r="C1374" s="24" t="s">
        <v>13298</v>
      </c>
      <c r="D1374" s="24" t="s">
        <v>13299</v>
      </c>
      <c r="E1374" s="24" t="s">
        <v>29</v>
      </c>
      <c r="F1374" s="24" t="s">
        <v>47</v>
      </c>
      <c r="G1374" s="24" t="s">
        <v>105</v>
      </c>
      <c r="H1374" s="24" t="s">
        <v>13300</v>
      </c>
      <c r="I1374" s="24" t="s">
        <v>13301</v>
      </c>
      <c r="J1374" s="24" t="s">
        <v>13302</v>
      </c>
      <c r="K1374" s="24" t="s">
        <v>13303</v>
      </c>
      <c r="L1374" s="24" t="s">
        <v>84</v>
      </c>
      <c r="M1374" s="15"/>
      <c r="N1374" s="15"/>
      <c r="O1374" s="15" t="s">
        <v>5060</v>
      </c>
      <c r="P1374" s="15" t="s">
        <v>13304</v>
      </c>
      <c r="Q1374" s="15"/>
      <c r="R1374" s="15" t="s">
        <v>13305</v>
      </c>
      <c r="S1374" s="24" t="s">
        <v>39</v>
      </c>
      <c r="T1374" s="24" t="s">
        <v>39</v>
      </c>
      <c r="U1374" s="24" t="s">
        <v>39</v>
      </c>
      <c r="V1374" s="24" t="s">
        <v>39</v>
      </c>
      <c r="W1374" s="24" t="s">
        <v>13306</v>
      </c>
      <c r="X1374" s="24" t="s">
        <v>13307</v>
      </c>
      <c r="Y1374" s="15" t="s">
        <v>13308</v>
      </c>
      <c r="Z1374" s="15" t="s">
        <v>13309</v>
      </c>
      <c r="AA1374" s="24"/>
      <c r="AB1374" s="24"/>
      <c r="AC1374" s="24"/>
      <c r="AD1374" s="24"/>
      <c r="AE1374" s="24"/>
      <c r="AF1374" s="24"/>
      <c r="AG1374" s="24"/>
      <c r="AH1374" s="24"/>
    </row>
    <row r="1375" spans="1:34" ht="45" x14ac:dyDescent="0.25">
      <c r="A1375" s="24" t="str">
        <f>HYPERLINK("https://www.cpso.on.ca/DoctorDetails/Magdalena-Justyna-Broszko/0326166-117099","Broszko, Magdalena Justyna")</f>
        <v>Broszko, Magdalena Justyna</v>
      </c>
      <c r="B1375" s="25" t="s">
        <v>13310</v>
      </c>
      <c r="C1375" s="24" t="s">
        <v>13311</v>
      </c>
      <c r="D1375" s="24" t="s">
        <v>13312</v>
      </c>
      <c r="E1375" s="24" t="s">
        <v>29</v>
      </c>
      <c r="F1375" s="24" t="s">
        <v>47</v>
      </c>
      <c r="G1375" s="24" t="s">
        <v>31</v>
      </c>
      <c r="H1375" s="24" t="s">
        <v>13313</v>
      </c>
      <c r="I1375" s="24" t="s">
        <v>13314</v>
      </c>
      <c r="J1375" s="24"/>
      <c r="K1375" s="24"/>
      <c r="L1375" s="24" t="s">
        <v>184</v>
      </c>
      <c r="M1375" s="15" t="s">
        <v>13315</v>
      </c>
      <c r="N1375" s="15"/>
      <c r="O1375" s="15"/>
      <c r="P1375" s="15" t="s">
        <v>13316</v>
      </c>
      <c r="Q1375" s="15"/>
      <c r="R1375" s="15" t="s">
        <v>13317</v>
      </c>
      <c r="S1375" s="24" t="s">
        <v>71</v>
      </c>
      <c r="T1375" s="24" t="s">
        <v>39</v>
      </c>
      <c r="U1375" s="24" t="s">
        <v>39</v>
      </c>
      <c r="V1375" s="24" t="s">
        <v>39</v>
      </c>
      <c r="W1375" s="24"/>
      <c r="X1375" s="24"/>
      <c r="Y1375" s="15"/>
      <c r="Z1375" s="15"/>
      <c r="AA1375" s="24"/>
      <c r="AB1375" s="24"/>
      <c r="AC1375" s="24"/>
      <c r="AD1375" s="24"/>
      <c r="AE1375" s="24"/>
      <c r="AF1375" s="24"/>
      <c r="AG1375" s="24"/>
      <c r="AH1375" s="24"/>
    </row>
    <row r="1376" spans="1:34" ht="30" x14ac:dyDescent="0.25">
      <c r="A1376" s="24" t="str">
        <f>HYPERLINK("https://www.cpso.on.ca/DoctorDetails/Maged-Sobhi-Kodsi/0039006-52982","Kodsi, Maged Sobhi")</f>
        <v>Kodsi, Maged Sobhi</v>
      </c>
      <c r="B1376" s="25" t="s">
        <v>13318</v>
      </c>
      <c r="C1376" s="24" t="s">
        <v>13319</v>
      </c>
      <c r="D1376" s="24" t="s">
        <v>13320</v>
      </c>
      <c r="E1376" s="24" t="s">
        <v>29</v>
      </c>
      <c r="F1376" s="24" t="s">
        <v>30</v>
      </c>
      <c r="G1376" s="24" t="s">
        <v>105</v>
      </c>
      <c r="H1376" s="24" t="s">
        <v>13321</v>
      </c>
      <c r="I1376" s="24" t="s">
        <v>13322</v>
      </c>
      <c r="J1376" s="24" t="s">
        <v>13323</v>
      </c>
      <c r="K1376" s="24" t="s">
        <v>13324</v>
      </c>
      <c r="L1376" s="24" t="s">
        <v>52</v>
      </c>
      <c r="M1376" s="15"/>
      <c r="N1376" s="15"/>
      <c r="O1376" s="15" t="s">
        <v>13325</v>
      </c>
      <c r="P1376" s="15" t="s">
        <v>785</v>
      </c>
      <c r="Q1376" s="15"/>
      <c r="R1376" s="15" t="s">
        <v>13326</v>
      </c>
      <c r="S1376" s="24" t="s">
        <v>39</v>
      </c>
      <c r="T1376" s="24" t="s">
        <v>39</v>
      </c>
      <c r="U1376" s="24" t="s">
        <v>39</v>
      </c>
      <c r="V1376" s="24" t="s">
        <v>39</v>
      </c>
      <c r="W1376" s="24" t="s">
        <v>13327</v>
      </c>
      <c r="X1376" s="24" t="s">
        <v>13328</v>
      </c>
      <c r="Y1376" s="15" t="s">
        <v>13329</v>
      </c>
      <c r="Z1376" s="15" t="s">
        <v>13330</v>
      </c>
      <c r="AA1376" s="24"/>
      <c r="AB1376" s="24"/>
      <c r="AC1376" s="24"/>
      <c r="AD1376" s="24"/>
      <c r="AE1376" s="24"/>
      <c r="AF1376" s="24"/>
      <c r="AG1376" s="24"/>
      <c r="AH1376" s="24"/>
    </row>
    <row r="1377" spans="1:34" ht="120" x14ac:dyDescent="0.25">
      <c r="A1377" s="24" t="str">
        <f>HYPERLINK("https://www.cpso.on.ca/DoctorDetails/Mahdi-Memarpour/0210476-81370","Memarpour, Mahdi")</f>
        <v>Memarpour, Mahdi</v>
      </c>
      <c r="B1377" s="25" t="s">
        <v>13331</v>
      </c>
      <c r="C1377" s="24" t="s">
        <v>7524</v>
      </c>
      <c r="D1377" s="24" t="s">
        <v>7525</v>
      </c>
      <c r="E1377" s="24" t="s">
        <v>29</v>
      </c>
      <c r="F1377" s="24" t="s">
        <v>30</v>
      </c>
      <c r="G1377" s="24" t="s">
        <v>522</v>
      </c>
      <c r="H1377" s="24" t="s">
        <v>1730</v>
      </c>
      <c r="I1377" s="24" t="s">
        <v>13332</v>
      </c>
      <c r="J1377" s="24" t="s">
        <v>13333</v>
      </c>
      <c r="K1377" s="24" t="s">
        <v>5935</v>
      </c>
      <c r="L1377" s="24" t="s">
        <v>36</v>
      </c>
      <c r="M1377" s="15"/>
      <c r="N1377" s="15"/>
      <c r="O1377" s="15"/>
      <c r="P1377" s="15" t="s">
        <v>13334</v>
      </c>
      <c r="Q1377" s="15" t="s">
        <v>13335</v>
      </c>
      <c r="R1377" s="15" t="s">
        <v>13336</v>
      </c>
      <c r="S1377" s="24" t="s">
        <v>39</v>
      </c>
      <c r="T1377" s="24" t="s">
        <v>39</v>
      </c>
      <c r="U1377" s="24" t="s">
        <v>39</v>
      </c>
      <c r="V1377" s="24" t="s">
        <v>39</v>
      </c>
      <c r="W1377" s="24" t="s">
        <v>13337</v>
      </c>
      <c r="X1377" s="24" t="s">
        <v>13338</v>
      </c>
      <c r="Y1377" s="15" t="s">
        <v>13339</v>
      </c>
      <c r="Z1377" s="15" t="s">
        <v>13340</v>
      </c>
      <c r="AA1377" s="24"/>
      <c r="AB1377" s="24"/>
      <c r="AC1377" s="24"/>
      <c r="AD1377" s="24"/>
      <c r="AE1377" s="24"/>
      <c r="AF1377" s="24"/>
      <c r="AG1377" s="24"/>
      <c r="AH1377" s="24"/>
    </row>
    <row r="1378" spans="1:34" ht="45" x14ac:dyDescent="0.25">
      <c r="A1378" s="24" t="str">
        <f>HYPERLINK("https://www.cpso.on.ca/DoctorDetails/Mahgul-Malik/0319014-111927","Malik, Mahgul")</f>
        <v>Malik, Mahgul</v>
      </c>
      <c r="B1378" s="25" t="s">
        <v>13341</v>
      </c>
      <c r="C1378" s="24" t="s">
        <v>2067</v>
      </c>
      <c r="D1378" s="24" t="s">
        <v>13342</v>
      </c>
      <c r="E1378" s="24" t="s">
        <v>29</v>
      </c>
      <c r="F1378" s="24" t="s">
        <v>47</v>
      </c>
      <c r="G1378" s="24" t="s">
        <v>31</v>
      </c>
      <c r="H1378" s="24" t="s">
        <v>4295</v>
      </c>
      <c r="I1378" s="24" t="s">
        <v>6015</v>
      </c>
      <c r="J1378" s="24" t="s">
        <v>13343</v>
      </c>
      <c r="K1378" s="24"/>
      <c r="L1378" s="24" t="s">
        <v>36</v>
      </c>
      <c r="M1378" s="15" t="s">
        <v>13344</v>
      </c>
      <c r="N1378" s="15"/>
      <c r="O1378" s="15" t="s">
        <v>972</v>
      </c>
      <c r="P1378" s="15" t="s">
        <v>13345</v>
      </c>
      <c r="Q1378" s="15" t="s">
        <v>13346</v>
      </c>
      <c r="R1378" s="15" t="s">
        <v>13347</v>
      </c>
      <c r="S1378" s="24" t="s">
        <v>39</v>
      </c>
      <c r="T1378" s="24" t="s">
        <v>39</v>
      </c>
      <c r="U1378" s="24" t="s">
        <v>39</v>
      </c>
      <c r="V1378" s="24" t="s">
        <v>39</v>
      </c>
      <c r="W1378" s="24" t="s">
        <v>13348</v>
      </c>
      <c r="X1378" s="24" t="s">
        <v>13349</v>
      </c>
      <c r="Y1378" s="15" t="s">
        <v>13350</v>
      </c>
      <c r="Z1378" s="15" t="s">
        <v>13351</v>
      </c>
      <c r="AA1378" s="24"/>
      <c r="AB1378" s="24"/>
      <c r="AC1378" s="24"/>
      <c r="AD1378" s="24"/>
      <c r="AE1378" s="24"/>
      <c r="AF1378" s="24"/>
      <c r="AG1378" s="24"/>
      <c r="AH1378" s="24"/>
    </row>
    <row r="1379" spans="1:34" ht="75" x14ac:dyDescent="0.25">
      <c r="A1379" s="24" t="str">
        <f>HYPERLINK("https://www.cpso.on.ca/DoctorDetails/Mahomed-Hoosein-Coovadia/0056964-68552","Coovadia, Mahomed Hoosein")</f>
        <v>Coovadia, Mahomed Hoosein</v>
      </c>
      <c r="B1379" s="25" t="s">
        <v>13352</v>
      </c>
      <c r="C1379" s="24" t="s">
        <v>12697</v>
      </c>
      <c r="D1379" s="24" t="s">
        <v>12698</v>
      </c>
      <c r="E1379" s="24" t="s">
        <v>29</v>
      </c>
      <c r="F1379" s="24" t="s">
        <v>30</v>
      </c>
      <c r="G1379" s="24" t="s">
        <v>13353</v>
      </c>
      <c r="H1379" s="24" t="s">
        <v>13354</v>
      </c>
      <c r="I1379" s="24" t="s">
        <v>13355</v>
      </c>
      <c r="J1379" s="24" t="s">
        <v>13356</v>
      </c>
      <c r="K1379" s="24"/>
      <c r="L1379" s="24"/>
      <c r="M1379" s="15"/>
      <c r="N1379" s="15" t="s">
        <v>13357</v>
      </c>
      <c r="O1379" s="15" t="s">
        <v>329</v>
      </c>
      <c r="P1379" s="15" t="s">
        <v>6158</v>
      </c>
      <c r="Q1379" s="15"/>
      <c r="R1379" s="15" t="s">
        <v>13358</v>
      </c>
      <c r="S1379" s="24" t="s">
        <v>39</v>
      </c>
      <c r="T1379" s="24" t="s">
        <v>39</v>
      </c>
      <c r="U1379" s="24" t="s">
        <v>39</v>
      </c>
      <c r="V1379" s="24" t="s">
        <v>39</v>
      </c>
      <c r="W1379" s="24"/>
      <c r="X1379" s="24"/>
      <c r="Y1379" s="15"/>
      <c r="Z1379" s="15"/>
      <c r="AA1379" s="24"/>
      <c r="AB1379" s="24"/>
      <c r="AC1379" s="24"/>
      <c r="AD1379" s="24"/>
      <c r="AE1379" s="24"/>
      <c r="AF1379" s="24"/>
      <c r="AG1379" s="24"/>
      <c r="AH1379" s="24"/>
    </row>
    <row r="1380" spans="1:34" ht="90" x14ac:dyDescent="0.25">
      <c r="A1380" s="24" t="str">
        <f>HYPERLINK("https://www.cpso.on.ca/DoctorDetails/Malati-Gupta/0036675-50651","Gupta, Malati")</f>
        <v>Gupta, Malati</v>
      </c>
      <c r="B1380" s="25" t="s">
        <v>13359</v>
      </c>
      <c r="C1380" s="24" t="s">
        <v>13360</v>
      </c>
      <c r="D1380" s="24" t="s">
        <v>13361</v>
      </c>
      <c r="E1380" s="24" t="s">
        <v>29</v>
      </c>
      <c r="F1380" s="24" t="s">
        <v>47</v>
      </c>
      <c r="G1380" s="24" t="s">
        <v>1375</v>
      </c>
      <c r="H1380" s="24" t="s">
        <v>13362</v>
      </c>
      <c r="I1380" s="24" t="s">
        <v>13363</v>
      </c>
      <c r="J1380" s="24" t="s">
        <v>13364</v>
      </c>
      <c r="K1380" s="24"/>
      <c r="L1380" s="24" t="s">
        <v>52</v>
      </c>
      <c r="M1380" s="15"/>
      <c r="N1380" s="15"/>
      <c r="O1380" s="15"/>
      <c r="P1380" s="15" t="s">
        <v>785</v>
      </c>
      <c r="Q1380" s="15"/>
      <c r="R1380" s="15" t="s">
        <v>13365</v>
      </c>
      <c r="S1380" s="24" t="s">
        <v>39</v>
      </c>
      <c r="T1380" s="24" t="s">
        <v>39</v>
      </c>
      <c r="U1380" s="24" t="s">
        <v>39</v>
      </c>
      <c r="V1380" s="24" t="s">
        <v>39</v>
      </c>
      <c r="W1380" s="24"/>
      <c r="X1380" s="24"/>
      <c r="Y1380" s="15"/>
      <c r="Z1380" s="15"/>
      <c r="AA1380" s="24"/>
      <c r="AB1380" s="24"/>
      <c r="AC1380" s="24"/>
      <c r="AD1380" s="24"/>
      <c r="AE1380" s="24"/>
      <c r="AF1380" s="24"/>
      <c r="AG1380" s="24"/>
      <c r="AH1380" s="24"/>
    </row>
    <row r="1381" spans="1:34" ht="135" x14ac:dyDescent="0.25">
      <c r="A1381" s="24" t="str">
        <f>HYPERLINK("https://www.cpso.on.ca/DoctorDetails/Malgorzata-Dudek/0056498-68086","Dudek, Malgorzata")</f>
        <v>Dudek, Malgorzata</v>
      </c>
      <c r="B1381" s="25" t="s">
        <v>13366</v>
      </c>
      <c r="C1381" s="24" t="s">
        <v>13367</v>
      </c>
      <c r="D1381" s="24" t="s">
        <v>13368</v>
      </c>
      <c r="E1381" s="24" t="s">
        <v>29</v>
      </c>
      <c r="F1381" s="24" t="s">
        <v>47</v>
      </c>
      <c r="G1381" s="24" t="s">
        <v>1657</v>
      </c>
      <c r="H1381" s="24" t="s">
        <v>13369</v>
      </c>
      <c r="I1381" s="24" t="s">
        <v>11172</v>
      </c>
      <c r="J1381" s="24" t="s">
        <v>13370</v>
      </c>
      <c r="K1381" s="24" t="s">
        <v>1783</v>
      </c>
      <c r="L1381" s="24" t="s">
        <v>52</v>
      </c>
      <c r="M1381" s="15" t="s">
        <v>13371</v>
      </c>
      <c r="N1381" s="15"/>
      <c r="O1381" s="15" t="s">
        <v>13372</v>
      </c>
      <c r="P1381" s="15" t="s">
        <v>13373</v>
      </c>
      <c r="Q1381" s="15" t="s">
        <v>13374</v>
      </c>
      <c r="R1381" s="15" t="s">
        <v>13375</v>
      </c>
      <c r="S1381" s="24" t="s">
        <v>39</v>
      </c>
      <c r="T1381" s="24" t="s">
        <v>39</v>
      </c>
      <c r="U1381" s="24" t="s">
        <v>39</v>
      </c>
      <c r="V1381" s="24" t="s">
        <v>39</v>
      </c>
      <c r="W1381" s="24"/>
      <c r="X1381" s="24"/>
      <c r="Y1381" s="15"/>
      <c r="Z1381" s="15"/>
      <c r="AA1381" s="24"/>
      <c r="AB1381" s="24"/>
      <c r="AC1381" s="24"/>
      <c r="AD1381" s="24"/>
      <c r="AE1381" s="24"/>
      <c r="AF1381" s="24"/>
      <c r="AG1381" s="24"/>
      <c r="AH1381" s="24"/>
    </row>
    <row r="1382" spans="1:34" x14ac:dyDescent="0.25">
      <c r="A1382" s="24" t="str">
        <f>HYPERLINK("https://www.cpso.on.ca/DoctorDetails/Malini-Ravishankar-Shenava/0046298-60276","Shenava, Malini Ravishankar")</f>
        <v>Shenava, Malini Ravishankar</v>
      </c>
      <c r="B1382" s="25" t="s">
        <v>13376</v>
      </c>
      <c r="C1382" s="24" t="s">
        <v>13377</v>
      </c>
      <c r="D1382" s="24" t="s">
        <v>13378</v>
      </c>
      <c r="E1382" s="24" t="s">
        <v>29</v>
      </c>
      <c r="F1382" s="24" t="s">
        <v>47</v>
      </c>
      <c r="G1382" s="24" t="s">
        <v>31</v>
      </c>
      <c r="H1382" s="24" t="s">
        <v>9903</v>
      </c>
      <c r="I1382" s="24" t="s">
        <v>107</v>
      </c>
      <c r="J1382" s="24"/>
      <c r="K1382" s="24"/>
      <c r="L1382" s="24"/>
      <c r="M1382" s="15"/>
      <c r="N1382" s="15" t="s">
        <v>66</v>
      </c>
      <c r="O1382" s="15"/>
      <c r="P1382" s="15" t="s">
        <v>3194</v>
      </c>
      <c r="Q1382" s="15"/>
      <c r="R1382" s="15" t="s">
        <v>13379</v>
      </c>
      <c r="S1382" s="24" t="s">
        <v>39</v>
      </c>
      <c r="T1382" s="24" t="s">
        <v>39</v>
      </c>
      <c r="U1382" s="24" t="s">
        <v>39</v>
      </c>
      <c r="V1382" s="24" t="s">
        <v>39</v>
      </c>
      <c r="W1382" s="24" t="s">
        <v>13380</v>
      </c>
      <c r="X1382" s="24" t="s">
        <v>224</v>
      </c>
      <c r="Y1382" s="15"/>
      <c r="Z1382" s="15"/>
      <c r="AA1382" s="24"/>
      <c r="AB1382" s="24"/>
      <c r="AC1382" s="24"/>
      <c r="AD1382" s="24"/>
      <c r="AE1382" s="24"/>
      <c r="AF1382" s="24"/>
      <c r="AG1382" s="24"/>
      <c r="AH1382" s="24"/>
    </row>
    <row r="1383" spans="1:34" ht="90" x14ac:dyDescent="0.25">
      <c r="A1383" s="24" t="str">
        <f>HYPERLINK("https://www.cpso.on.ca/DoctorDetails/Mamta-Gautam/0041442-55418","Gautam, Mamta")</f>
        <v>Gautam, Mamta</v>
      </c>
      <c r="B1383" s="25" t="s">
        <v>13381</v>
      </c>
      <c r="C1383" s="24" t="s">
        <v>4370</v>
      </c>
      <c r="D1383" s="24" t="s">
        <v>13382</v>
      </c>
      <c r="E1383" s="24" t="s">
        <v>29</v>
      </c>
      <c r="F1383" s="24" t="s">
        <v>47</v>
      </c>
      <c r="G1383" s="24" t="s">
        <v>31</v>
      </c>
      <c r="H1383" s="24" t="s">
        <v>5183</v>
      </c>
      <c r="I1383" s="24" t="s">
        <v>13383</v>
      </c>
      <c r="J1383" s="24" t="s">
        <v>13384</v>
      </c>
      <c r="K1383" s="24" t="s">
        <v>13385</v>
      </c>
      <c r="L1383" s="24" t="s">
        <v>84</v>
      </c>
      <c r="M1383" s="15"/>
      <c r="N1383" s="15"/>
      <c r="O1383" s="15" t="s">
        <v>3289</v>
      </c>
      <c r="P1383" s="15" t="s">
        <v>3423</v>
      </c>
      <c r="Q1383" s="15" t="s">
        <v>13386</v>
      </c>
      <c r="R1383" s="15" t="s">
        <v>13387</v>
      </c>
      <c r="S1383" s="24" t="s">
        <v>39</v>
      </c>
      <c r="T1383" s="24" t="s">
        <v>39</v>
      </c>
      <c r="U1383" s="24" t="s">
        <v>39</v>
      </c>
      <c r="V1383" s="24" t="s">
        <v>39</v>
      </c>
      <c r="W1383" s="24"/>
      <c r="X1383" s="24"/>
      <c r="Y1383" s="15"/>
      <c r="Z1383" s="15"/>
      <c r="AA1383" s="24"/>
      <c r="AB1383" s="24"/>
      <c r="AC1383" s="24"/>
      <c r="AD1383" s="24"/>
      <c r="AE1383" s="24"/>
      <c r="AF1383" s="24"/>
      <c r="AG1383" s="24"/>
      <c r="AH1383" s="24"/>
    </row>
    <row r="1384" spans="1:34" ht="60" x14ac:dyDescent="0.25">
      <c r="A1384" s="24" t="str">
        <f>HYPERLINK("https://www.cpso.on.ca/DoctorDetails/Manamohan-Johnson/0050580-64559","Johnson, Manamohan")</f>
        <v>Johnson, Manamohan</v>
      </c>
      <c r="B1384" s="25" t="s">
        <v>13388</v>
      </c>
      <c r="C1384" s="24" t="s">
        <v>13389</v>
      </c>
      <c r="D1384" s="24" t="s">
        <v>13390</v>
      </c>
      <c r="E1384" s="24" t="s">
        <v>29</v>
      </c>
      <c r="F1384" s="24" t="s">
        <v>30</v>
      </c>
      <c r="G1384" s="24" t="s">
        <v>2255</v>
      </c>
      <c r="H1384" s="24" t="s">
        <v>13391</v>
      </c>
      <c r="I1384" s="24" t="s">
        <v>13392</v>
      </c>
      <c r="J1384" s="24" t="s">
        <v>13393</v>
      </c>
      <c r="K1384" s="24" t="s">
        <v>13394</v>
      </c>
      <c r="L1384" s="24" t="s">
        <v>36</v>
      </c>
      <c r="M1384" s="15" t="s">
        <v>13395</v>
      </c>
      <c r="N1384" s="15" t="s">
        <v>398</v>
      </c>
      <c r="O1384" s="15" t="s">
        <v>13396</v>
      </c>
      <c r="P1384" s="15" t="s">
        <v>1842</v>
      </c>
      <c r="Q1384" s="15" t="s">
        <v>13397</v>
      </c>
      <c r="R1384" s="15" t="s">
        <v>13398</v>
      </c>
      <c r="S1384" s="24" t="s">
        <v>39</v>
      </c>
      <c r="T1384" s="24" t="s">
        <v>39</v>
      </c>
      <c r="U1384" s="24" t="s">
        <v>39</v>
      </c>
      <c r="V1384" s="24" t="s">
        <v>39</v>
      </c>
      <c r="W1384" s="24" t="s">
        <v>13399</v>
      </c>
      <c r="X1384" s="24" t="s">
        <v>13400</v>
      </c>
      <c r="Y1384" s="15" t="s">
        <v>13401</v>
      </c>
      <c r="Z1384" s="15" t="s">
        <v>13402</v>
      </c>
      <c r="AA1384" s="24"/>
      <c r="AB1384" s="24"/>
      <c r="AC1384" s="24"/>
      <c r="AD1384" s="24"/>
      <c r="AE1384" s="24"/>
      <c r="AF1384" s="24"/>
      <c r="AG1384" s="24"/>
      <c r="AH1384" s="24"/>
    </row>
    <row r="1385" spans="1:34" ht="90" x14ac:dyDescent="0.25">
      <c r="A1385" s="24" t="str">
        <f>HYPERLINK("https://www.cpso.on.ca/DoctorDetails/Manar-Mouneer-Eysa-ElBohy/0256970-91245","ElBohy, Manar Mouneer Eysa")</f>
        <v>ElBohy, Manar Mouneer Eysa</v>
      </c>
      <c r="B1385" s="25" t="s">
        <v>13403</v>
      </c>
      <c r="C1385" s="24" t="s">
        <v>13404</v>
      </c>
      <c r="D1385" s="24" t="s">
        <v>13405</v>
      </c>
      <c r="E1385" s="24" t="s">
        <v>29</v>
      </c>
      <c r="F1385" s="24" t="s">
        <v>47</v>
      </c>
      <c r="G1385" s="24" t="s">
        <v>105</v>
      </c>
      <c r="H1385" s="24" t="s">
        <v>13406</v>
      </c>
      <c r="I1385" s="24" t="s">
        <v>395</v>
      </c>
      <c r="J1385" s="24" t="s">
        <v>678</v>
      </c>
      <c r="K1385" s="24"/>
      <c r="L1385" s="24" t="s">
        <v>328</v>
      </c>
      <c r="M1385" s="15"/>
      <c r="N1385" s="15"/>
      <c r="O1385" s="15" t="s">
        <v>1855</v>
      </c>
      <c r="P1385" s="15" t="s">
        <v>272</v>
      </c>
      <c r="Q1385" s="15" t="s">
        <v>13407</v>
      </c>
      <c r="R1385" s="15" t="s">
        <v>13408</v>
      </c>
      <c r="S1385" s="24" t="s">
        <v>39</v>
      </c>
      <c r="T1385" s="24" t="s">
        <v>39</v>
      </c>
      <c r="U1385" s="24" t="s">
        <v>39</v>
      </c>
      <c r="V1385" s="24" t="s">
        <v>39</v>
      </c>
      <c r="W1385" s="24" t="s">
        <v>8658</v>
      </c>
      <c r="X1385" s="24" t="s">
        <v>8659</v>
      </c>
      <c r="Y1385" s="15" t="s">
        <v>8660</v>
      </c>
      <c r="Z1385" s="15" t="s">
        <v>4292</v>
      </c>
      <c r="AA1385" s="24"/>
      <c r="AB1385" s="24"/>
      <c r="AC1385" s="24"/>
      <c r="AD1385" s="24"/>
      <c r="AE1385" s="24"/>
      <c r="AF1385" s="24"/>
      <c r="AG1385" s="24"/>
      <c r="AH1385" s="24"/>
    </row>
    <row r="1386" spans="1:34" ht="60" x14ac:dyDescent="0.25">
      <c r="A1386" s="24" t="str">
        <f>HYPERLINK("https://www.cpso.on.ca/DoctorDetails/Manbir-Singh/0031839-43819","Singh, Manbir")</f>
        <v>Singh, Manbir</v>
      </c>
      <c r="B1386" s="25" t="s">
        <v>13409</v>
      </c>
      <c r="C1386" s="24" t="s">
        <v>13410</v>
      </c>
      <c r="D1386" s="24" t="s">
        <v>13411</v>
      </c>
      <c r="E1386" s="24" t="s">
        <v>29</v>
      </c>
      <c r="F1386" s="24" t="s">
        <v>30</v>
      </c>
      <c r="G1386" s="24" t="s">
        <v>691</v>
      </c>
      <c r="H1386" s="24" t="s">
        <v>13412</v>
      </c>
      <c r="I1386" s="24" t="s">
        <v>13413</v>
      </c>
      <c r="J1386" s="24" t="s">
        <v>13414</v>
      </c>
      <c r="K1386" s="24"/>
      <c r="L1386" s="24" t="s">
        <v>152</v>
      </c>
      <c r="M1386" s="15"/>
      <c r="N1386" s="15"/>
      <c r="O1386" s="15"/>
      <c r="P1386" s="15" t="s">
        <v>8551</v>
      </c>
      <c r="Q1386" s="15"/>
      <c r="R1386" s="15" t="s">
        <v>13415</v>
      </c>
      <c r="S1386" s="24" t="s">
        <v>39</v>
      </c>
      <c r="T1386" s="24" t="s">
        <v>39</v>
      </c>
      <c r="U1386" s="24" t="s">
        <v>39</v>
      </c>
      <c r="V1386" s="24" t="s">
        <v>39</v>
      </c>
      <c r="W1386" s="24"/>
      <c r="X1386" s="24"/>
      <c r="Y1386" s="15"/>
      <c r="Z1386" s="15"/>
      <c r="AA1386" s="24"/>
      <c r="AB1386" s="24"/>
      <c r="AC1386" s="24"/>
      <c r="AD1386" s="24"/>
      <c r="AE1386" s="24"/>
      <c r="AF1386" s="24"/>
      <c r="AG1386" s="24"/>
      <c r="AH1386" s="24"/>
    </row>
    <row r="1387" spans="1:34" ht="120" x14ac:dyDescent="0.25">
      <c r="A1387" s="24" t="str">
        <f>HYPERLINK("https://www.cpso.on.ca/DoctorDetails/Mandeep-Singh/0285044-99933","Singh, Mandeep")</f>
        <v>Singh, Mandeep</v>
      </c>
      <c r="B1387" s="25" t="s">
        <v>13416</v>
      </c>
      <c r="C1387" s="24" t="s">
        <v>13417</v>
      </c>
      <c r="D1387" s="24" t="s">
        <v>13418</v>
      </c>
      <c r="E1387" s="24" t="s">
        <v>29</v>
      </c>
      <c r="F1387" s="24" t="s">
        <v>30</v>
      </c>
      <c r="G1387" s="24" t="s">
        <v>691</v>
      </c>
      <c r="H1387" s="24" t="s">
        <v>13419</v>
      </c>
      <c r="I1387" s="24" t="s">
        <v>13420</v>
      </c>
      <c r="J1387" s="24" t="s">
        <v>13421</v>
      </c>
      <c r="K1387" s="24"/>
      <c r="L1387" s="24" t="s">
        <v>36</v>
      </c>
      <c r="M1387" s="15" t="s">
        <v>13422</v>
      </c>
      <c r="N1387" s="15"/>
      <c r="O1387" s="15"/>
      <c r="P1387" s="15" t="s">
        <v>13423</v>
      </c>
      <c r="Q1387" s="15"/>
      <c r="R1387" s="15" t="s">
        <v>13424</v>
      </c>
      <c r="S1387" s="24" t="s">
        <v>71</v>
      </c>
      <c r="T1387" s="24" t="s">
        <v>39</v>
      </c>
      <c r="U1387" s="24" t="s">
        <v>39</v>
      </c>
      <c r="V1387" s="24" t="s">
        <v>39</v>
      </c>
      <c r="W1387" s="24" t="s">
        <v>13425</v>
      </c>
      <c r="X1387" s="24" t="s">
        <v>13426</v>
      </c>
      <c r="Y1387" s="15" t="s">
        <v>13427</v>
      </c>
      <c r="Z1387" s="15" t="s">
        <v>13428</v>
      </c>
      <c r="AA1387" s="24"/>
      <c r="AB1387" s="24"/>
      <c r="AC1387" s="24"/>
      <c r="AD1387" s="24"/>
      <c r="AE1387" s="24"/>
      <c r="AF1387" s="24"/>
      <c r="AG1387" s="24"/>
      <c r="AH1387" s="24"/>
    </row>
    <row r="1388" spans="1:34" ht="60" x14ac:dyDescent="0.25">
      <c r="A1388" s="24" t="str">
        <f>HYPERLINK("https://www.cpso.on.ca/DoctorDetails/Manohar-Keesari/0028183-33006","Keesari, Manohar")</f>
        <v>Keesari, Manohar</v>
      </c>
      <c r="B1388" s="25" t="s">
        <v>13429</v>
      </c>
      <c r="C1388" s="24" t="s">
        <v>13430</v>
      </c>
      <c r="D1388" s="24" t="s">
        <v>13431</v>
      </c>
      <c r="E1388" s="24" t="s">
        <v>29</v>
      </c>
      <c r="F1388" s="24" t="s">
        <v>30</v>
      </c>
      <c r="G1388" s="24" t="s">
        <v>31</v>
      </c>
      <c r="H1388" s="24" t="s">
        <v>13432</v>
      </c>
      <c r="I1388" s="24" t="s">
        <v>13433</v>
      </c>
      <c r="J1388" s="24" t="s">
        <v>13434</v>
      </c>
      <c r="K1388" s="24" t="s">
        <v>13435</v>
      </c>
      <c r="L1388" s="24" t="s">
        <v>36</v>
      </c>
      <c r="M1388" s="15" t="s">
        <v>13436</v>
      </c>
      <c r="N1388" s="15"/>
      <c r="O1388" s="15"/>
      <c r="P1388" s="15" t="s">
        <v>5441</v>
      </c>
      <c r="Q1388" s="15"/>
      <c r="R1388" s="15" t="s">
        <v>13437</v>
      </c>
      <c r="S1388" s="24" t="s">
        <v>39</v>
      </c>
      <c r="T1388" s="24" t="s">
        <v>39</v>
      </c>
      <c r="U1388" s="24" t="s">
        <v>39</v>
      </c>
      <c r="V1388" s="24" t="s">
        <v>39</v>
      </c>
      <c r="W1388" s="24" t="s">
        <v>13438</v>
      </c>
      <c r="X1388" s="24" t="s">
        <v>13439</v>
      </c>
      <c r="Y1388" s="15" t="s">
        <v>13440</v>
      </c>
      <c r="Z1388" s="15" t="s">
        <v>13441</v>
      </c>
      <c r="AA1388" s="24"/>
      <c r="AB1388" s="24"/>
      <c r="AC1388" s="24"/>
      <c r="AD1388" s="24"/>
      <c r="AE1388" s="24"/>
      <c r="AF1388" s="24"/>
      <c r="AG1388" s="24"/>
      <c r="AH1388" s="24"/>
    </row>
    <row r="1389" spans="1:34" ht="30" x14ac:dyDescent="0.25">
      <c r="A1389" s="24" t="str">
        <f>HYPERLINK("https://www.cpso.on.ca/DoctorDetails/Manoranjitham-Raveendran/0117730-69802","Raveendran, Manoranjitham")</f>
        <v>Raveendran, Manoranjitham</v>
      </c>
      <c r="B1389" s="25" t="s">
        <v>13442</v>
      </c>
      <c r="C1389" s="24" t="s">
        <v>13443</v>
      </c>
      <c r="D1389" s="24" t="s">
        <v>13444</v>
      </c>
      <c r="E1389" s="24" t="s">
        <v>29</v>
      </c>
      <c r="F1389" s="24" t="s">
        <v>47</v>
      </c>
      <c r="G1389" s="24" t="s">
        <v>2255</v>
      </c>
      <c r="H1389" s="24" t="s">
        <v>13445</v>
      </c>
      <c r="I1389" s="24" t="s">
        <v>13446</v>
      </c>
      <c r="J1389" s="24" t="s">
        <v>3306</v>
      </c>
      <c r="K1389" s="24" t="s">
        <v>1674</v>
      </c>
      <c r="L1389" s="24" t="s">
        <v>328</v>
      </c>
      <c r="M1389" s="15" t="s">
        <v>13447</v>
      </c>
      <c r="N1389" s="15"/>
      <c r="O1389" s="15" t="s">
        <v>3307</v>
      </c>
      <c r="P1389" s="15" t="s">
        <v>512</v>
      </c>
      <c r="Q1389" s="15"/>
      <c r="R1389" s="15" t="s">
        <v>13448</v>
      </c>
      <c r="S1389" s="24" t="s">
        <v>39</v>
      </c>
      <c r="T1389" s="24" t="s">
        <v>39</v>
      </c>
      <c r="U1389" s="24" t="s">
        <v>39</v>
      </c>
      <c r="V1389" s="24" t="s">
        <v>39</v>
      </c>
      <c r="W1389" s="24" t="s">
        <v>13449</v>
      </c>
      <c r="X1389" s="24" t="s">
        <v>6449</v>
      </c>
      <c r="Y1389" s="15" t="s">
        <v>13450</v>
      </c>
      <c r="Z1389" s="15" t="s">
        <v>13451</v>
      </c>
      <c r="AA1389" s="24"/>
      <c r="AB1389" s="24"/>
      <c r="AC1389" s="24"/>
      <c r="AD1389" s="24"/>
      <c r="AE1389" s="24"/>
      <c r="AF1389" s="24"/>
      <c r="AG1389" s="24"/>
      <c r="AH1389" s="24"/>
    </row>
    <row r="1390" spans="1:34" x14ac:dyDescent="0.25">
      <c r="A1390" s="24" t="str">
        <f>HYPERLINK("https://www.cpso.on.ca/DoctorDetails/Mara-Suzanne-Goldstein/0196339-78188","Goldstein, Mara Suzanne")</f>
        <v>Goldstein, Mara Suzanne</v>
      </c>
      <c r="B1390" s="25" t="s">
        <v>13452</v>
      </c>
      <c r="C1390" s="24" t="s">
        <v>13453</v>
      </c>
      <c r="D1390" s="24" t="s">
        <v>1391</v>
      </c>
      <c r="E1390" s="24" t="s">
        <v>29</v>
      </c>
      <c r="F1390" s="24" t="s">
        <v>47</v>
      </c>
      <c r="G1390" s="24" t="s">
        <v>31</v>
      </c>
      <c r="H1390" s="24" t="s">
        <v>10903</v>
      </c>
      <c r="I1390" s="24" t="s">
        <v>13454</v>
      </c>
      <c r="J1390" s="24" t="s">
        <v>13455</v>
      </c>
      <c r="K1390" s="24"/>
      <c r="L1390" s="24" t="s">
        <v>52</v>
      </c>
      <c r="M1390" s="15"/>
      <c r="N1390" s="15"/>
      <c r="O1390" s="15" t="s">
        <v>1397</v>
      </c>
      <c r="P1390" s="15" t="s">
        <v>1398</v>
      </c>
      <c r="Q1390" s="15"/>
      <c r="R1390" s="15" t="s">
        <v>13456</v>
      </c>
      <c r="S1390" s="24" t="s">
        <v>39</v>
      </c>
      <c r="T1390" s="24" t="s">
        <v>39</v>
      </c>
      <c r="U1390" s="24" t="s">
        <v>39</v>
      </c>
      <c r="V1390" s="24" t="s">
        <v>39</v>
      </c>
      <c r="W1390" s="24"/>
      <c r="X1390" s="24"/>
      <c r="Y1390" s="15"/>
      <c r="Z1390" s="15"/>
      <c r="AA1390" s="24"/>
      <c r="AB1390" s="24"/>
      <c r="AC1390" s="24"/>
      <c r="AD1390" s="24"/>
      <c r="AE1390" s="24"/>
      <c r="AF1390" s="24"/>
      <c r="AG1390" s="24"/>
      <c r="AH1390" s="24"/>
    </row>
    <row r="1391" spans="1:34" ht="75" x14ac:dyDescent="0.25">
      <c r="A1391" s="24" t="str">
        <f>HYPERLINK("https://www.cpso.on.ca/DoctorDetails/Marc-Fadel/0232803-84654","Fadel, Marc")</f>
        <v>Fadel, Marc</v>
      </c>
      <c r="B1391" s="25" t="s">
        <v>13457</v>
      </c>
      <c r="C1391" s="24" t="s">
        <v>647</v>
      </c>
      <c r="D1391" s="24" t="s">
        <v>648</v>
      </c>
      <c r="E1391" s="24" t="s">
        <v>29</v>
      </c>
      <c r="F1391" s="24" t="s">
        <v>30</v>
      </c>
      <c r="G1391" s="24" t="s">
        <v>31</v>
      </c>
      <c r="H1391" s="24" t="s">
        <v>649</v>
      </c>
      <c r="I1391" s="24" t="s">
        <v>13458</v>
      </c>
      <c r="J1391" s="24" t="s">
        <v>8690</v>
      </c>
      <c r="K1391" s="24" t="s">
        <v>13459</v>
      </c>
      <c r="L1391" s="24" t="s">
        <v>36</v>
      </c>
      <c r="M1391" s="15" t="s">
        <v>13460</v>
      </c>
      <c r="N1391" s="15"/>
      <c r="O1391" s="15" t="s">
        <v>13461</v>
      </c>
      <c r="P1391" s="15" t="s">
        <v>12045</v>
      </c>
      <c r="Q1391" s="15" t="s">
        <v>655</v>
      </c>
      <c r="R1391" s="15" t="s">
        <v>656</v>
      </c>
      <c r="S1391" s="24" t="s">
        <v>39</v>
      </c>
      <c r="T1391" s="24" t="s">
        <v>39</v>
      </c>
      <c r="U1391" s="24" t="s">
        <v>39</v>
      </c>
      <c r="V1391" s="24" t="s">
        <v>39</v>
      </c>
      <c r="W1391" s="24"/>
      <c r="X1391" s="24"/>
      <c r="Y1391" s="15"/>
      <c r="Z1391" s="15"/>
      <c r="AA1391" s="24"/>
      <c r="AB1391" s="24"/>
      <c r="AC1391" s="24"/>
      <c r="AD1391" s="24"/>
      <c r="AE1391" s="24"/>
      <c r="AF1391" s="24"/>
      <c r="AG1391" s="24"/>
      <c r="AH1391" s="24"/>
    </row>
    <row r="1392" spans="1:34" ht="60" x14ac:dyDescent="0.25">
      <c r="A1392" s="24" t="str">
        <f>HYPERLINK("https://www.cpso.on.ca/DoctorDetails/Marc-Henry-Lapointe/0052349-66313","Lapointe, Marc Henry")</f>
        <v>Lapointe, Marc Henry</v>
      </c>
      <c r="B1392" s="25" t="s">
        <v>13462</v>
      </c>
      <c r="C1392" s="24" t="s">
        <v>13463</v>
      </c>
      <c r="D1392" s="24" t="s">
        <v>13464</v>
      </c>
      <c r="E1392" s="24" t="s">
        <v>29</v>
      </c>
      <c r="F1392" s="24" t="s">
        <v>30</v>
      </c>
      <c r="G1392" s="24" t="s">
        <v>813</v>
      </c>
      <c r="H1392" s="24" t="s">
        <v>1467</v>
      </c>
      <c r="I1392" s="24" t="s">
        <v>13465</v>
      </c>
      <c r="J1392" s="24" t="s">
        <v>13466</v>
      </c>
      <c r="K1392" s="24" t="s">
        <v>13466</v>
      </c>
      <c r="L1392" s="24"/>
      <c r="M1392" s="15" t="s">
        <v>13467</v>
      </c>
      <c r="N1392" s="15" t="s">
        <v>710</v>
      </c>
      <c r="O1392" s="15" t="s">
        <v>13468</v>
      </c>
      <c r="P1392" s="15" t="s">
        <v>13469</v>
      </c>
      <c r="Q1392" s="15"/>
      <c r="R1392" s="15" t="s">
        <v>13470</v>
      </c>
      <c r="S1392" s="24" t="s">
        <v>39</v>
      </c>
      <c r="T1392" s="24" t="s">
        <v>39</v>
      </c>
      <c r="U1392" s="24" t="s">
        <v>39</v>
      </c>
      <c r="V1392" s="24" t="s">
        <v>39</v>
      </c>
      <c r="W1392" s="24"/>
      <c r="X1392" s="24"/>
      <c r="Y1392" s="15"/>
      <c r="Z1392" s="15"/>
      <c r="AA1392" s="24"/>
      <c r="AB1392" s="24"/>
      <c r="AC1392" s="24"/>
      <c r="AD1392" s="24"/>
      <c r="AE1392" s="24"/>
      <c r="AF1392" s="24"/>
      <c r="AG1392" s="24"/>
      <c r="AH1392" s="24"/>
    </row>
    <row r="1393" spans="1:34" ht="45" x14ac:dyDescent="0.25">
      <c r="A1393" s="24" t="str">
        <f>HYPERLINK("https://www.cpso.on.ca/DoctorDetails/Marc-Louis-Paul-Mauguin/0037078-51054","Mauguin, Marc Louis Paul")</f>
        <v>Mauguin, Marc Louis Paul</v>
      </c>
      <c r="B1393" s="25" t="s">
        <v>13471</v>
      </c>
      <c r="C1393" s="24" t="s">
        <v>492</v>
      </c>
      <c r="D1393" s="24" t="s">
        <v>13472</v>
      </c>
      <c r="E1393" s="24" t="s">
        <v>29</v>
      </c>
      <c r="F1393" s="24" t="s">
        <v>30</v>
      </c>
      <c r="G1393" s="24" t="s">
        <v>813</v>
      </c>
      <c r="H1393" s="24" t="s">
        <v>13473</v>
      </c>
      <c r="I1393" s="24" t="s">
        <v>13474</v>
      </c>
      <c r="J1393" s="24" t="s">
        <v>13475</v>
      </c>
      <c r="K1393" s="24" t="s">
        <v>13476</v>
      </c>
      <c r="L1393" s="24" t="s">
        <v>84</v>
      </c>
      <c r="M1393" s="15" t="s">
        <v>13477</v>
      </c>
      <c r="N1393" s="15"/>
      <c r="O1393" s="15" t="s">
        <v>13478</v>
      </c>
      <c r="P1393" s="15" t="s">
        <v>527</v>
      </c>
      <c r="Q1393" s="15"/>
      <c r="R1393" s="15" t="s">
        <v>13479</v>
      </c>
      <c r="S1393" s="24" t="s">
        <v>39</v>
      </c>
      <c r="T1393" s="24" t="s">
        <v>39</v>
      </c>
      <c r="U1393" s="24" t="s">
        <v>39</v>
      </c>
      <c r="V1393" s="24" t="s">
        <v>39</v>
      </c>
      <c r="W1393" s="24"/>
      <c r="X1393" s="24"/>
      <c r="Y1393" s="15"/>
      <c r="Z1393" s="15"/>
      <c r="AA1393" s="24"/>
      <c r="AB1393" s="24"/>
      <c r="AC1393" s="24"/>
      <c r="AD1393" s="24"/>
      <c r="AE1393" s="24"/>
      <c r="AF1393" s="24"/>
      <c r="AG1393" s="24"/>
      <c r="AH1393" s="24"/>
    </row>
    <row r="1394" spans="1:34" ht="105" x14ac:dyDescent="0.25">
      <c r="A1394" s="24" t="str">
        <f>HYPERLINK("https://www.cpso.on.ca/DoctorDetails/Marcia-Dawn-Benjamin/0142359-71280","Benjamin, Marcia Dawn")</f>
        <v>Benjamin, Marcia Dawn</v>
      </c>
      <c r="B1394" s="25" t="s">
        <v>13480</v>
      </c>
      <c r="C1394" s="24" t="s">
        <v>13481</v>
      </c>
      <c r="D1394" s="24" t="s">
        <v>13482</v>
      </c>
      <c r="E1394" s="24" t="s">
        <v>13483</v>
      </c>
      <c r="F1394" s="24" t="s">
        <v>47</v>
      </c>
      <c r="G1394" s="24" t="s">
        <v>813</v>
      </c>
      <c r="H1394" s="24" t="s">
        <v>3689</v>
      </c>
      <c r="I1394" s="24" t="s">
        <v>13484</v>
      </c>
      <c r="J1394" s="24" t="s">
        <v>13485</v>
      </c>
      <c r="K1394" s="24" t="s">
        <v>13486</v>
      </c>
      <c r="L1394" s="24" t="s">
        <v>36</v>
      </c>
      <c r="M1394" s="15"/>
      <c r="N1394" s="15"/>
      <c r="O1394" s="15"/>
      <c r="P1394" s="15" t="s">
        <v>13487</v>
      </c>
      <c r="Q1394" s="15" t="s">
        <v>13488</v>
      </c>
      <c r="R1394" s="15" t="s">
        <v>13489</v>
      </c>
      <c r="S1394" s="24" t="s">
        <v>39</v>
      </c>
      <c r="T1394" s="24" t="s">
        <v>39</v>
      </c>
      <c r="U1394" s="24" t="s">
        <v>39</v>
      </c>
      <c r="V1394" s="24" t="s">
        <v>39</v>
      </c>
      <c r="W1394" s="24"/>
      <c r="X1394" s="24"/>
      <c r="Y1394" s="15"/>
      <c r="Z1394" s="15"/>
      <c r="AA1394" s="24"/>
      <c r="AB1394" s="24"/>
      <c r="AC1394" s="24"/>
      <c r="AD1394" s="24"/>
      <c r="AE1394" s="24"/>
      <c r="AF1394" s="24"/>
      <c r="AG1394" s="24"/>
      <c r="AH1394" s="24"/>
    </row>
    <row r="1395" spans="1:34" ht="105" x14ac:dyDescent="0.25">
      <c r="A1395" s="24" t="str">
        <f>HYPERLINK("https://www.cpso.on.ca/DoctorDetails/Marcia-Helena-Alves-Maciel-Santiago/0261146-92242","Santiago, Marcia Helena Alves Maciel")</f>
        <v>Santiago, Marcia Helena Alves Maciel</v>
      </c>
      <c r="B1395" s="25" t="s">
        <v>13490</v>
      </c>
      <c r="C1395" s="24" t="s">
        <v>392</v>
      </c>
      <c r="D1395" s="24" t="s">
        <v>13491</v>
      </c>
      <c r="E1395" s="24" t="s">
        <v>29</v>
      </c>
      <c r="F1395" s="24" t="s">
        <v>47</v>
      </c>
      <c r="G1395" s="24" t="s">
        <v>31</v>
      </c>
      <c r="H1395" s="24" t="s">
        <v>13492</v>
      </c>
      <c r="I1395" s="24" t="s">
        <v>13493</v>
      </c>
      <c r="J1395" s="24"/>
      <c r="K1395" s="24"/>
      <c r="L1395" s="24" t="s">
        <v>184</v>
      </c>
      <c r="M1395" s="15"/>
      <c r="N1395" s="15"/>
      <c r="O1395" s="15"/>
      <c r="P1395" s="15" t="s">
        <v>13494</v>
      </c>
      <c r="Q1395" s="15" t="s">
        <v>13495</v>
      </c>
      <c r="R1395" s="15" t="s">
        <v>13496</v>
      </c>
      <c r="S1395" s="24" t="s">
        <v>39</v>
      </c>
      <c r="T1395" s="24" t="s">
        <v>39</v>
      </c>
      <c r="U1395" s="24" t="s">
        <v>39</v>
      </c>
      <c r="V1395" s="24" t="s">
        <v>39</v>
      </c>
      <c r="W1395" s="24"/>
      <c r="X1395" s="24"/>
      <c r="Y1395" s="15"/>
      <c r="Z1395" s="15"/>
      <c r="AA1395" s="24"/>
      <c r="AB1395" s="24"/>
      <c r="AC1395" s="24"/>
      <c r="AD1395" s="24"/>
      <c r="AE1395" s="24"/>
      <c r="AF1395" s="24"/>
      <c r="AG1395" s="24"/>
      <c r="AH1395" s="24"/>
    </row>
    <row r="1396" spans="1:34" ht="135" x14ac:dyDescent="0.25">
      <c r="A1396" s="24" t="str">
        <f>HYPERLINK("https://www.cpso.on.ca/DoctorDetails/Marcia-Helena-Shapir-Kahan/0208387-80362","Shapir Kahan, Marcia Helena")</f>
        <v>Shapir Kahan, Marcia Helena</v>
      </c>
      <c r="B1396" s="25" t="s">
        <v>13497</v>
      </c>
      <c r="C1396" s="24" t="s">
        <v>1432</v>
      </c>
      <c r="D1396" s="24" t="s">
        <v>1433</v>
      </c>
      <c r="E1396" s="24" t="s">
        <v>13498</v>
      </c>
      <c r="F1396" s="24" t="s">
        <v>47</v>
      </c>
      <c r="G1396" s="24" t="s">
        <v>13499</v>
      </c>
      <c r="H1396" s="24" t="s">
        <v>13500</v>
      </c>
      <c r="I1396" s="24" t="s">
        <v>13501</v>
      </c>
      <c r="J1396" s="24" t="s">
        <v>13502</v>
      </c>
      <c r="K1396" s="24" t="s">
        <v>13503</v>
      </c>
      <c r="L1396" s="24" t="s">
        <v>52</v>
      </c>
      <c r="M1396" s="15"/>
      <c r="N1396" s="15"/>
      <c r="O1396" s="15"/>
      <c r="P1396" s="15" t="s">
        <v>13504</v>
      </c>
      <c r="Q1396" s="15" t="s">
        <v>13505</v>
      </c>
      <c r="R1396" s="15" t="s">
        <v>13506</v>
      </c>
      <c r="S1396" s="24" t="s">
        <v>39</v>
      </c>
      <c r="T1396" s="24" t="s">
        <v>39</v>
      </c>
      <c r="U1396" s="24" t="s">
        <v>39</v>
      </c>
      <c r="V1396" s="24" t="s">
        <v>39</v>
      </c>
      <c r="W1396" s="24"/>
      <c r="X1396" s="24"/>
      <c r="Y1396" s="15"/>
      <c r="Z1396" s="15"/>
      <c r="AA1396" s="24"/>
      <c r="AB1396" s="24"/>
      <c r="AC1396" s="24"/>
      <c r="AD1396" s="24"/>
      <c r="AE1396" s="24"/>
      <c r="AF1396" s="24"/>
      <c r="AG1396" s="24"/>
      <c r="AH1396" s="24"/>
    </row>
    <row r="1397" spans="1:34" ht="30" x14ac:dyDescent="0.25">
      <c r="A1397" s="24" t="str">
        <f>HYPERLINK("https://www.cpso.on.ca/DoctorDetails/Marcia-Sharon-Zemans/0117197-78630","Zemans, Marcia Sharon")</f>
        <v>Zemans, Marcia Sharon</v>
      </c>
      <c r="B1397" s="25" t="s">
        <v>13507</v>
      </c>
      <c r="C1397" s="24" t="s">
        <v>13508</v>
      </c>
      <c r="D1397" s="24" t="s">
        <v>13509</v>
      </c>
      <c r="E1397" s="24" t="s">
        <v>29</v>
      </c>
      <c r="F1397" s="24" t="s">
        <v>47</v>
      </c>
      <c r="G1397" s="24" t="s">
        <v>31</v>
      </c>
      <c r="H1397" s="24" t="s">
        <v>1107</v>
      </c>
      <c r="I1397" s="24" t="s">
        <v>13510</v>
      </c>
      <c r="J1397" s="24" t="s">
        <v>13511</v>
      </c>
      <c r="K1397" s="24" t="s">
        <v>5642</v>
      </c>
      <c r="L1397" s="24" t="s">
        <v>52</v>
      </c>
      <c r="M1397" s="15" t="s">
        <v>13512</v>
      </c>
      <c r="N1397" s="15"/>
      <c r="O1397" s="15" t="s">
        <v>842</v>
      </c>
      <c r="P1397" s="15" t="s">
        <v>1398</v>
      </c>
      <c r="Q1397" s="15"/>
      <c r="R1397" s="15" t="s">
        <v>13513</v>
      </c>
      <c r="S1397" s="24" t="s">
        <v>39</v>
      </c>
      <c r="T1397" s="24" t="s">
        <v>39</v>
      </c>
      <c r="U1397" s="24" t="s">
        <v>39</v>
      </c>
      <c r="V1397" s="24" t="s">
        <v>39</v>
      </c>
      <c r="W1397" s="24"/>
      <c r="X1397" s="24"/>
      <c r="Y1397" s="15"/>
      <c r="Z1397" s="15"/>
      <c r="AA1397" s="24"/>
      <c r="AB1397" s="24"/>
      <c r="AC1397" s="24"/>
      <c r="AD1397" s="24"/>
      <c r="AE1397" s="24"/>
      <c r="AF1397" s="24"/>
      <c r="AG1397" s="24"/>
      <c r="AH1397" s="24"/>
    </row>
    <row r="1398" spans="1:34" ht="30" x14ac:dyDescent="0.25">
      <c r="A1398" s="24" t="str">
        <f>HYPERLINK("https://www.cpso.on.ca/DoctorDetails/Marcia-Sirota/0043337-57315","Sirota, Marcia")</f>
        <v>Sirota, Marcia</v>
      </c>
      <c r="B1398" s="25" t="s">
        <v>13514</v>
      </c>
      <c r="C1398" s="24" t="s">
        <v>3427</v>
      </c>
      <c r="D1398" s="24" t="s">
        <v>13515</v>
      </c>
      <c r="E1398" s="24" t="s">
        <v>13516</v>
      </c>
      <c r="F1398" s="24" t="s">
        <v>47</v>
      </c>
      <c r="G1398" s="24" t="s">
        <v>31</v>
      </c>
      <c r="H1398" s="24" t="s">
        <v>8322</v>
      </c>
      <c r="I1398" s="24" t="s">
        <v>13517</v>
      </c>
      <c r="J1398" s="24" t="s">
        <v>13518</v>
      </c>
      <c r="K1398" s="24"/>
      <c r="L1398" s="24" t="s">
        <v>52</v>
      </c>
      <c r="M1398" s="15"/>
      <c r="N1398" s="15"/>
      <c r="O1398" s="15"/>
      <c r="P1398" s="15" t="s">
        <v>9049</v>
      </c>
      <c r="Q1398" s="15"/>
      <c r="R1398" s="15" t="s">
        <v>13519</v>
      </c>
      <c r="S1398" s="24" t="s">
        <v>39</v>
      </c>
      <c r="T1398" s="24" t="s">
        <v>39</v>
      </c>
      <c r="U1398" s="24" t="s">
        <v>39</v>
      </c>
      <c r="V1398" s="24" t="s">
        <v>39</v>
      </c>
      <c r="W1398" s="24" t="s">
        <v>13520</v>
      </c>
      <c r="X1398" s="24" t="s">
        <v>13521</v>
      </c>
      <c r="Y1398" s="15" t="s">
        <v>13522</v>
      </c>
      <c r="Z1398" s="15" t="s">
        <v>13523</v>
      </c>
      <c r="AA1398" s="24"/>
      <c r="AB1398" s="24"/>
      <c r="AC1398" s="24"/>
      <c r="AD1398" s="24"/>
      <c r="AE1398" s="24"/>
      <c r="AF1398" s="24"/>
      <c r="AG1398" s="24"/>
      <c r="AH1398" s="24"/>
    </row>
    <row r="1399" spans="1:34" ht="30" x14ac:dyDescent="0.25">
      <c r="A1399" s="24" t="str">
        <f>HYPERLINK("https://www.cpso.on.ca/DoctorDetails/Marco-Maria-Battaglia/0306682-108348","Battaglia, Marco Maria")</f>
        <v>Battaglia, Marco Maria</v>
      </c>
      <c r="B1399" s="25" t="s">
        <v>13524</v>
      </c>
      <c r="C1399" s="24" t="s">
        <v>4043</v>
      </c>
      <c r="D1399" s="24" t="s">
        <v>4044</v>
      </c>
      <c r="E1399" s="24" t="s">
        <v>29</v>
      </c>
      <c r="F1399" s="24" t="s">
        <v>30</v>
      </c>
      <c r="G1399" s="24" t="s">
        <v>706</v>
      </c>
      <c r="H1399" s="24" t="s">
        <v>13525</v>
      </c>
      <c r="I1399" s="24" t="s">
        <v>13526</v>
      </c>
      <c r="J1399" s="24" t="s">
        <v>13527</v>
      </c>
      <c r="K1399" s="24"/>
      <c r="L1399" s="24" t="s">
        <v>52</v>
      </c>
      <c r="M1399" s="15"/>
      <c r="N1399" s="15"/>
      <c r="O1399" s="15"/>
      <c r="P1399" s="15" t="s">
        <v>4048</v>
      </c>
      <c r="Q1399" s="15"/>
      <c r="R1399" s="15" t="s">
        <v>4049</v>
      </c>
      <c r="S1399" s="24" t="s">
        <v>71</v>
      </c>
      <c r="T1399" s="24" t="s">
        <v>39</v>
      </c>
      <c r="U1399" s="24" t="s">
        <v>39</v>
      </c>
      <c r="V1399" s="24" t="s">
        <v>39</v>
      </c>
      <c r="W1399" s="24" t="s">
        <v>4050</v>
      </c>
      <c r="X1399" s="24" t="s">
        <v>4051</v>
      </c>
      <c r="Y1399" s="15" t="s">
        <v>4052</v>
      </c>
      <c r="Z1399" s="15" t="s">
        <v>4053</v>
      </c>
      <c r="AA1399" s="24"/>
      <c r="AB1399" s="24"/>
      <c r="AC1399" s="24"/>
      <c r="AD1399" s="24"/>
      <c r="AE1399" s="24"/>
      <c r="AF1399" s="24"/>
      <c r="AG1399" s="24"/>
      <c r="AH1399" s="24"/>
    </row>
    <row r="1400" spans="1:34" ht="120" x14ac:dyDescent="0.25">
      <c r="A1400" s="24" t="str">
        <f>HYPERLINK("https://www.cpso.on.ca/DoctorDetails/Marcus-Jonathan-Michell/0037222-51198","Michell, Marcus Jonathan")</f>
        <v>Michell, Marcus Jonathan</v>
      </c>
      <c r="B1400" s="25" t="s">
        <v>13528</v>
      </c>
      <c r="C1400" s="24" t="s">
        <v>13529</v>
      </c>
      <c r="D1400" s="24" t="s">
        <v>2247</v>
      </c>
      <c r="E1400" s="24" t="s">
        <v>29</v>
      </c>
      <c r="F1400" s="24" t="s">
        <v>30</v>
      </c>
      <c r="G1400" s="24" t="s">
        <v>31</v>
      </c>
      <c r="H1400" s="24" t="s">
        <v>2861</v>
      </c>
      <c r="I1400" s="24" t="s">
        <v>13530</v>
      </c>
      <c r="J1400" s="24" t="s">
        <v>13531</v>
      </c>
      <c r="K1400" s="24"/>
      <c r="L1400" s="24" t="s">
        <v>52</v>
      </c>
      <c r="M1400" s="15"/>
      <c r="N1400" s="15"/>
      <c r="O1400" s="15"/>
      <c r="P1400" s="15" t="s">
        <v>13532</v>
      </c>
      <c r="Q1400" s="15" t="s">
        <v>13533</v>
      </c>
      <c r="R1400" s="15" t="s">
        <v>13534</v>
      </c>
      <c r="S1400" s="24" t="s">
        <v>39</v>
      </c>
      <c r="T1400" s="24" t="s">
        <v>39</v>
      </c>
      <c r="U1400" s="24" t="s">
        <v>39</v>
      </c>
      <c r="V1400" s="24" t="s">
        <v>39</v>
      </c>
      <c r="W1400" s="24"/>
      <c r="X1400" s="24"/>
      <c r="Y1400" s="15"/>
      <c r="Z1400" s="15"/>
      <c r="AA1400" s="24"/>
      <c r="AB1400" s="24"/>
      <c r="AC1400" s="24"/>
      <c r="AD1400" s="24"/>
      <c r="AE1400" s="24"/>
      <c r="AF1400" s="24"/>
      <c r="AG1400" s="24"/>
      <c r="AH1400" s="24"/>
    </row>
    <row r="1401" spans="1:34" ht="30" x14ac:dyDescent="0.25">
      <c r="A1401" s="24" t="str">
        <f>HYPERLINK("https://www.cpso.on.ca/DoctorDetails/Margaret-Ann-Pelz/0027180-32003","Pelz, Margaret Ann")</f>
        <v>Pelz, Margaret Ann</v>
      </c>
      <c r="B1401" s="25" t="s">
        <v>13535</v>
      </c>
      <c r="C1401" s="24" t="s">
        <v>13536</v>
      </c>
      <c r="D1401" s="24" t="s">
        <v>13537</v>
      </c>
      <c r="E1401" s="24" t="s">
        <v>29</v>
      </c>
      <c r="F1401" s="24" t="s">
        <v>47</v>
      </c>
      <c r="G1401" s="24" t="s">
        <v>31</v>
      </c>
      <c r="H1401" s="24" t="s">
        <v>13538</v>
      </c>
      <c r="I1401" s="24" t="s">
        <v>13539</v>
      </c>
      <c r="J1401" s="24" t="s">
        <v>13540</v>
      </c>
      <c r="K1401" s="24"/>
      <c r="L1401" s="24" t="s">
        <v>135</v>
      </c>
      <c r="M1401" s="15" t="s">
        <v>13541</v>
      </c>
      <c r="N1401" s="15"/>
      <c r="O1401" s="15" t="s">
        <v>8738</v>
      </c>
      <c r="P1401" s="15" t="s">
        <v>2985</v>
      </c>
      <c r="Q1401" s="15"/>
      <c r="R1401" s="15" t="s">
        <v>13542</v>
      </c>
      <c r="S1401" s="24" t="s">
        <v>39</v>
      </c>
      <c r="T1401" s="24" t="s">
        <v>39</v>
      </c>
      <c r="U1401" s="24" t="s">
        <v>39</v>
      </c>
      <c r="V1401" s="24" t="s">
        <v>39</v>
      </c>
      <c r="W1401" s="24" t="s">
        <v>13543</v>
      </c>
      <c r="X1401" s="24" t="s">
        <v>13544</v>
      </c>
      <c r="Y1401" s="15" t="s">
        <v>13545</v>
      </c>
      <c r="Z1401" s="15" t="s">
        <v>13546</v>
      </c>
      <c r="AA1401" s="24"/>
      <c r="AB1401" s="24"/>
      <c r="AC1401" s="24"/>
      <c r="AD1401" s="24"/>
      <c r="AE1401" s="24"/>
      <c r="AF1401" s="24"/>
      <c r="AG1401" s="24"/>
      <c r="AH1401" s="24"/>
    </row>
    <row r="1402" spans="1:34" ht="90" x14ac:dyDescent="0.25">
      <c r="A1402" s="24" t="str">
        <f>HYPERLINK("https://www.cpso.on.ca/DoctorDetails/Margaret-Anne-Richter/0041441-55417","Richter, Margaret Anne")</f>
        <v>Richter, Margaret Anne</v>
      </c>
      <c r="B1402" s="25" t="s">
        <v>13547</v>
      </c>
      <c r="C1402" s="24" t="s">
        <v>4370</v>
      </c>
      <c r="D1402" s="24" t="s">
        <v>13548</v>
      </c>
      <c r="E1402" s="24" t="s">
        <v>29</v>
      </c>
      <c r="F1402" s="24" t="s">
        <v>47</v>
      </c>
      <c r="G1402" s="24" t="s">
        <v>31</v>
      </c>
      <c r="H1402" s="24" t="s">
        <v>5183</v>
      </c>
      <c r="I1402" s="24" t="s">
        <v>13549</v>
      </c>
      <c r="J1402" s="24" t="s">
        <v>13550</v>
      </c>
      <c r="K1402" s="24" t="s">
        <v>13551</v>
      </c>
      <c r="L1402" s="24" t="s">
        <v>52</v>
      </c>
      <c r="M1402" s="15"/>
      <c r="N1402" s="15"/>
      <c r="O1402" s="15" t="s">
        <v>13552</v>
      </c>
      <c r="P1402" s="15" t="s">
        <v>3423</v>
      </c>
      <c r="Q1402" s="15" t="s">
        <v>13553</v>
      </c>
      <c r="R1402" s="15" t="s">
        <v>13554</v>
      </c>
      <c r="S1402" s="24" t="s">
        <v>39</v>
      </c>
      <c r="T1402" s="24" t="s">
        <v>39</v>
      </c>
      <c r="U1402" s="24" t="s">
        <v>39</v>
      </c>
      <c r="V1402" s="24" t="s">
        <v>39</v>
      </c>
      <c r="W1402" s="24"/>
      <c r="X1402" s="24"/>
      <c r="Y1402" s="15"/>
      <c r="Z1402" s="15"/>
      <c r="AA1402" s="24"/>
      <c r="AB1402" s="24"/>
      <c r="AC1402" s="24"/>
      <c r="AD1402" s="24"/>
      <c r="AE1402" s="24"/>
      <c r="AF1402" s="24"/>
      <c r="AG1402" s="24"/>
      <c r="AH1402" s="24"/>
    </row>
    <row r="1403" spans="1:34" x14ac:dyDescent="0.25">
      <c r="A1403" s="24" t="str">
        <f>HYPERLINK("https://www.cpso.on.ca/DoctorDetails/Margaret-Jaya-MacSween/0299195-105184","MacSween, Margaret Jaya")</f>
        <v>MacSween, Margaret Jaya</v>
      </c>
      <c r="B1403" s="25" t="s">
        <v>13555</v>
      </c>
      <c r="C1403" s="24" t="s">
        <v>2811</v>
      </c>
      <c r="D1403" s="24" t="s">
        <v>2812</v>
      </c>
      <c r="E1403" s="24" t="s">
        <v>29</v>
      </c>
      <c r="F1403" s="24" t="s">
        <v>47</v>
      </c>
      <c r="G1403" s="24" t="s">
        <v>31</v>
      </c>
      <c r="H1403" s="24" t="s">
        <v>1595</v>
      </c>
      <c r="I1403" s="24" t="s">
        <v>13556</v>
      </c>
      <c r="J1403" s="24" t="s">
        <v>13557</v>
      </c>
      <c r="K1403" s="24" t="s">
        <v>13558</v>
      </c>
      <c r="L1403" s="24" t="s">
        <v>152</v>
      </c>
      <c r="M1403" s="15"/>
      <c r="N1403" s="15"/>
      <c r="O1403" s="15"/>
      <c r="P1403" s="15" t="s">
        <v>1074</v>
      </c>
      <c r="Q1403" s="15"/>
      <c r="R1403" s="15" t="s">
        <v>13559</v>
      </c>
      <c r="S1403" s="24" t="s">
        <v>39</v>
      </c>
      <c r="T1403" s="24" t="s">
        <v>39</v>
      </c>
      <c r="U1403" s="24" t="s">
        <v>39</v>
      </c>
      <c r="V1403" s="24" t="s">
        <v>39</v>
      </c>
      <c r="W1403" s="24"/>
      <c r="X1403" s="24"/>
      <c r="Y1403" s="15"/>
      <c r="Z1403" s="15"/>
      <c r="AA1403" s="24"/>
      <c r="AB1403" s="24"/>
      <c r="AC1403" s="24"/>
      <c r="AD1403" s="24"/>
      <c r="AE1403" s="24"/>
      <c r="AF1403" s="24"/>
      <c r="AG1403" s="24"/>
      <c r="AH1403" s="24"/>
    </row>
    <row r="1404" spans="1:34" ht="45" x14ac:dyDescent="0.25">
      <c r="A1404" s="24" t="str">
        <f>HYPERLINK("https://www.cpso.on.ca/DoctorDetails/Margaret-Karolina-Hahn/0260234-91868","Hahn, Margaret Karolina")</f>
        <v>Hahn, Margaret Karolina</v>
      </c>
      <c r="B1404" s="25" t="s">
        <v>13560</v>
      </c>
      <c r="C1404" s="24" t="s">
        <v>5097</v>
      </c>
      <c r="D1404" s="24" t="s">
        <v>13561</v>
      </c>
      <c r="E1404" s="24" t="s">
        <v>29</v>
      </c>
      <c r="F1404" s="24" t="s">
        <v>47</v>
      </c>
      <c r="G1404" s="24" t="s">
        <v>907</v>
      </c>
      <c r="H1404" s="24" t="s">
        <v>8015</v>
      </c>
      <c r="I1404" s="24" t="s">
        <v>9057</v>
      </c>
      <c r="J1404" s="24" t="s">
        <v>13562</v>
      </c>
      <c r="K1404" s="24" t="s">
        <v>7615</v>
      </c>
      <c r="L1404" s="24" t="s">
        <v>52</v>
      </c>
      <c r="M1404" s="15"/>
      <c r="N1404" s="15"/>
      <c r="O1404" s="15" t="s">
        <v>793</v>
      </c>
      <c r="P1404" s="15" t="s">
        <v>55</v>
      </c>
      <c r="Q1404" s="15" t="s">
        <v>13563</v>
      </c>
      <c r="R1404" s="15" t="s">
        <v>13564</v>
      </c>
      <c r="S1404" s="24" t="s">
        <v>39</v>
      </c>
      <c r="T1404" s="24" t="s">
        <v>39</v>
      </c>
      <c r="U1404" s="24" t="s">
        <v>39</v>
      </c>
      <c r="V1404" s="24" t="s">
        <v>39</v>
      </c>
      <c r="W1404" s="24" t="s">
        <v>13565</v>
      </c>
      <c r="X1404" s="24" t="s">
        <v>13566</v>
      </c>
      <c r="Y1404" s="15" t="s">
        <v>13567</v>
      </c>
      <c r="Z1404" s="15" t="s">
        <v>13568</v>
      </c>
      <c r="AA1404" s="24"/>
      <c r="AB1404" s="24"/>
      <c r="AC1404" s="24"/>
      <c r="AD1404" s="24"/>
      <c r="AE1404" s="24"/>
      <c r="AF1404" s="24"/>
      <c r="AG1404" s="24"/>
      <c r="AH1404" s="24"/>
    </row>
    <row r="1405" spans="1:34" ht="30" x14ac:dyDescent="0.25">
      <c r="A1405" s="24" t="str">
        <f>HYPERLINK("https://www.cpso.on.ca/DoctorDetails/Margaret-Lynne-Thurling/0026360-31183","Thurling, Margaret Lynne")</f>
        <v>Thurling, Margaret Lynne</v>
      </c>
      <c r="B1405" s="25" t="s">
        <v>13569</v>
      </c>
      <c r="C1405" s="24" t="s">
        <v>13257</v>
      </c>
      <c r="D1405" s="24" t="s">
        <v>13570</v>
      </c>
      <c r="E1405" s="24" t="s">
        <v>29</v>
      </c>
      <c r="F1405" s="24" t="s">
        <v>47</v>
      </c>
      <c r="G1405" s="24" t="s">
        <v>813</v>
      </c>
      <c r="H1405" s="24" t="s">
        <v>2916</v>
      </c>
      <c r="I1405" s="24" t="s">
        <v>13571</v>
      </c>
      <c r="J1405" s="24" t="s">
        <v>13572</v>
      </c>
      <c r="K1405" s="24" t="s">
        <v>13573</v>
      </c>
      <c r="L1405" s="24" t="s">
        <v>52</v>
      </c>
      <c r="M1405" s="15"/>
      <c r="N1405" s="15"/>
      <c r="O1405" s="15"/>
      <c r="P1405" s="15" t="s">
        <v>3636</v>
      </c>
      <c r="Q1405" s="15"/>
      <c r="R1405" s="15" t="s">
        <v>13574</v>
      </c>
      <c r="S1405" s="24" t="s">
        <v>39</v>
      </c>
      <c r="T1405" s="24" t="s">
        <v>39</v>
      </c>
      <c r="U1405" s="24" t="s">
        <v>39</v>
      </c>
      <c r="V1405" s="24" t="s">
        <v>39</v>
      </c>
      <c r="W1405" s="24"/>
      <c r="X1405" s="24"/>
      <c r="Y1405" s="15"/>
      <c r="Z1405" s="15"/>
      <c r="AA1405" s="24"/>
      <c r="AB1405" s="24"/>
      <c r="AC1405" s="24"/>
      <c r="AD1405" s="24"/>
      <c r="AE1405" s="24"/>
      <c r="AF1405" s="24"/>
      <c r="AG1405" s="24"/>
      <c r="AH1405" s="24"/>
    </row>
    <row r="1406" spans="1:34" ht="75" x14ac:dyDescent="0.25">
      <c r="A1406" s="24" t="str">
        <f>HYPERLINK("https://www.cpso.on.ca/DoctorDetails/Margaret-Mary-Steele/0044572-58550","Steele, Margaret Mary")</f>
        <v>Steele, Margaret Mary</v>
      </c>
      <c r="B1406" s="25" t="s">
        <v>13575</v>
      </c>
      <c r="C1406" s="24" t="s">
        <v>3161</v>
      </c>
      <c r="D1406" s="24" t="s">
        <v>13576</v>
      </c>
      <c r="E1406" s="24" t="s">
        <v>29</v>
      </c>
      <c r="F1406" s="24" t="s">
        <v>47</v>
      </c>
      <c r="G1406" s="24" t="s">
        <v>31</v>
      </c>
      <c r="H1406" s="24" t="s">
        <v>1839</v>
      </c>
      <c r="I1406" s="24" t="s">
        <v>13577</v>
      </c>
      <c r="J1406" s="24" t="s">
        <v>13578</v>
      </c>
      <c r="K1406" s="24" t="s">
        <v>13579</v>
      </c>
      <c r="L1406" s="24"/>
      <c r="M1406" s="15"/>
      <c r="N1406" s="15" t="s">
        <v>167</v>
      </c>
      <c r="O1406" s="15"/>
      <c r="P1406" s="15" t="s">
        <v>13580</v>
      </c>
      <c r="Q1406" s="15" t="s">
        <v>13581</v>
      </c>
      <c r="R1406" s="15" t="s">
        <v>13582</v>
      </c>
      <c r="S1406" s="24" t="s">
        <v>39</v>
      </c>
      <c r="T1406" s="24" t="s">
        <v>39</v>
      </c>
      <c r="U1406" s="24" t="s">
        <v>39</v>
      </c>
      <c r="V1406" s="24" t="s">
        <v>39</v>
      </c>
      <c r="W1406" s="24"/>
      <c r="X1406" s="24"/>
      <c r="Y1406" s="15"/>
      <c r="Z1406" s="15"/>
      <c r="AA1406" s="24"/>
      <c r="AB1406" s="24"/>
      <c r="AC1406" s="24"/>
      <c r="AD1406" s="24"/>
      <c r="AE1406" s="24"/>
      <c r="AF1406" s="24"/>
      <c r="AG1406" s="24"/>
      <c r="AH1406" s="24"/>
    </row>
    <row r="1407" spans="1:34" ht="30" x14ac:dyDescent="0.25">
      <c r="A1407" s="24" t="str">
        <f>HYPERLINK("https://www.cpso.on.ca/DoctorDetails/Margaret-Susan-Dean/0027407-32230","Dean, Margaret Susan")</f>
        <v>Dean, Margaret Susan</v>
      </c>
      <c r="B1407" s="25" t="s">
        <v>13583</v>
      </c>
      <c r="C1407" s="24" t="s">
        <v>13584</v>
      </c>
      <c r="D1407" s="24" t="s">
        <v>13585</v>
      </c>
      <c r="E1407" s="24" t="s">
        <v>29</v>
      </c>
      <c r="F1407" s="24" t="s">
        <v>47</v>
      </c>
      <c r="G1407" s="24" t="s">
        <v>31</v>
      </c>
      <c r="H1407" s="24" t="s">
        <v>13586</v>
      </c>
      <c r="I1407" s="24" t="s">
        <v>13587</v>
      </c>
      <c r="J1407" s="24" t="s">
        <v>13588</v>
      </c>
      <c r="K1407" s="24" t="s">
        <v>13589</v>
      </c>
      <c r="L1407" s="24" t="s">
        <v>52</v>
      </c>
      <c r="M1407" s="15"/>
      <c r="N1407" s="15"/>
      <c r="O1407" s="15"/>
      <c r="P1407" s="15" t="s">
        <v>2985</v>
      </c>
      <c r="Q1407" s="15"/>
      <c r="R1407" s="15" t="s">
        <v>13590</v>
      </c>
      <c r="S1407" s="24" t="s">
        <v>39</v>
      </c>
      <c r="T1407" s="24" t="s">
        <v>39</v>
      </c>
      <c r="U1407" s="24" t="s">
        <v>39</v>
      </c>
      <c r="V1407" s="24" t="s">
        <v>39</v>
      </c>
      <c r="W1407" s="24"/>
      <c r="X1407" s="24"/>
      <c r="Y1407" s="15"/>
      <c r="Z1407" s="15"/>
      <c r="AA1407" s="24"/>
      <c r="AB1407" s="24"/>
      <c r="AC1407" s="24"/>
      <c r="AD1407" s="24"/>
      <c r="AE1407" s="24"/>
      <c r="AF1407" s="24"/>
      <c r="AG1407" s="24"/>
      <c r="AH1407" s="24"/>
    </row>
    <row r="1408" spans="1:34" x14ac:dyDescent="0.25">
      <c r="A1408" s="24" t="str">
        <f>HYPERLINK("https://www.cpso.on.ca/DoctorDetails/Margarita-Gitev/0021399-26187","Gitev, Margarita")</f>
        <v>Gitev, Margarita</v>
      </c>
      <c r="B1408" s="25" t="s">
        <v>13591</v>
      </c>
      <c r="C1408" s="24" t="s">
        <v>13592</v>
      </c>
      <c r="D1408" s="24" t="s">
        <v>13593</v>
      </c>
      <c r="E1408" s="24" t="s">
        <v>29</v>
      </c>
      <c r="F1408" s="24" t="s">
        <v>47</v>
      </c>
      <c r="G1408" s="24" t="s">
        <v>13594</v>
      </c>
      <c r="H1408" s="24" t="s">
        <v>13595</v>
      </c>
      <c r="I1408" s="24" t="s">
        <v>13596</v>
      </c>
      <c r="J1408" s="24" t="s">
        <v>13597</v>
      </c>
      <c r="K1408" s="24" t="s">
        <v>13597</v>
      </c>
      <c r="L1408" s="24" t="s">
        <v>52</v>
      </c>
      <c r="M1408" s="15"/>
      <c r="N1408" s="15"/>
      <c r="O1408" s="15"/>
      <c r="P1408" s="15" t="s">
        <v>499</v>
      </c>
      <c r="Q1408" s="15"/>
      <c r="R1408" s="15" t="s">
        <v>13598</v>
      </c>
      <c r="S1408" s="24" t="s">
        <v>39</v>
      </c>
      <c r="T1408" s="24" t="s">
        <v>39</v>
      </c>
      <c r="U1408" s="24" t="s">
        <v>39</v>
      </c>
      <c r="V1408" s="24" t="s">
        <v>39</v>
      </c>
      <c r="W1408" s="24" t="s">
        <v>13599</v>
      </c>
      <c r="X1408" s="24" t="s">
        <v>3821</v>
      </c>
      <c r="Y1408" s="15" t="s">
        <v>13600</v>
      </c>
      <c r="Z1408" s="15" t="s">
        <v>13601</v>
      </c>
      <c r="AA1408" s="24"/>
      <c r="AB1408" s="24"/>
      <c r="AC1408" s="24"/>
      <c r="AD1408" s="24"/>
      <c r="AE1408" s="24"/>
      <c r="AF1408" s="24"/>
      <c r="AG1408" s="24"/>
      <c r="AH1408" s="24"/>
    </row>
    <row r="1409" spans="1:34" x14ac:dyDescent="0.25">
      <c r="A1409" s="24" t="str">
        <f>HYPERLINK("https://www.cpso.on.ca/DoctorDetails/Maria-Del-Rosario-Corral/0299309-105203","Corral, Maria Del Rosario")</f>
        <v>Corral, Maria Del Rosario</v>
      </c>
      <c r="B1409" s="25" t="s">
        <v>13602</v>
      </c>
      <c r="C1409" s="24" t="s">
        <v>13603</v>
      </c>
      <c r="D1409" s="24" t="s">
        <v>13604</v>
      </c>
      <c r="E1409" s="24" t="s">
        <v>29</v>
      </c>
      <c r="F1409" s="24" t="s">
        <v>47</v>
      </c>
      <c r="G1409" s="24" t="s">
        <v>2047</v>
      </c>
      <c r="H1409" s="24" t="s">
        <v>13605</v>
      </c>
      <c r="I1409" s="24" t="s">
        <v>13606</v>
      </c>
      <c r="J1409" s="24" t="s">
        <v>13607</v>
      </c>
      <c r="K1409" s="24" t="s">
        <v>13608</v>
      </c>
      <c r="L1409" s="24" t="s">
        <v>52</v>
      </c>
      <c r="M1409" s="15"/>
      <c r="N1409" s="15"/>
      <c r="O1409" s="15" t="s">
        <v>487</v>
      </c>
      <c r="P1409" s="15" t="s">
        <v>13609</v>
      </c>
      <c r="Q1409" s="15"/>
      <c r="R1409" s="15" t="s">
        <v>13610</v>
      </c>
      <c r="S1409" s="24" t="s">
        <v>39</v>
      </c>
      <c r="T1409" s="24" t="s">
        <v>39</v>
      </c>
      <c r="U1409" s="24" t="s">
        <v>39</v>
      </c>
      <c r="V1409" s="24" t="s">
        <v>39</v>
      </c>
      <c r="W1409" s="24"/>
      <c r="X1409" s="24"/>
      <c r="Y1409" s="15"/>
      <c r="Z1409" s="15"/>
      <c r="AA1409" s="24"/>
      <c r="AB1409" s="24"/>
      <c r="AC1409" s="24"/>
      <c r="AD1409" s="24"/>
      <c r="AE1409" s="24"/>
      <c r="AF1409" s="24"/>
      <c r="AG1409" s="24"/>
      <c r="AH1409" s="24"/>
    </row>
    <row r="1410" spans="1:34" ht="45" x14ac:dyDescent="0.25">
      <c r="A1410" s="24" t="str">
        <f>HYPERLINK("https://www.cpso.on.ca/DoctorDetails/Maria-Dolores-Bragado-Jimenez/0325996-116920","Bragado Jimenez, Maria Dolores")</f>
        <v>Bragado Jimenez, Maria Dolores</v>
      </c>
      <c r="B1410" s="25" t="s">
        <v>13611</v>
      </c>
      <c r="C1410" s="24" t="s">
        <v>3695</v>
      </c>
      <c r="D1410" s="24" t="s">
        <v>13612</v>
      </c>
      <c r="E1410" s="24" t="s">
        <v>29</v>
      </c>
      <c r="F1410" s="24" t="s">
        <v>47</v>
      </c>
      <c r="G1410" s="24" t="s">
        <v>31</v>
      </c>
      <c r="H1410" s="24" t="s">
        <v>13613</v>
      </c>
      <c r="I1410" s="24" t="s">
        <v>13614</v>
      </c>
      <c r="J1410" s="24" t="s">
        <v>13615</v>
      </c>
      <c r="K1410" s="24"/>
      <c r="L1410" s="24" t="s">
        <v>340</v>
      </c>
      <c r="M1410" s="15"/>
      <c r="N1410" s="15"/>
      <c r="O1410" s="15"/>
      <c r="P1410" s="15" t="s">
        <v>13616</v>
      </c>
      <c r="Q1410" s="15"/>
      <c r="R1410" s="15" t="s">
        <v>13617</v>
      </c>
      <c r="S1410" s="24" t="s">
        <v>71</v>
      </c>
      <c r="T1410" s="24" t="s">
        <v>39</v>
      </c>
      <c r="U1410" s="24" t="s">
        <v>39</v>
      </c>
      <c r="V1410" s="24" t="s">
        <v>39</v>
      </c>
      <c r="W1410" s="24"/>
      <c r="X1410" s="24"/>
      <c r="Y1410" s="15"/>
      <c r="Z1410" s="15"/>
      <c r="AA1410" s="24"/>
      <c r="AB1410" s="24"/>
      <c r="AC1410" s="24"/>
      <c r="AD1410" s="24"/>
      <c r="AE1410" s="24"/>
      <c r="AF1410" s="24"/>
      <c r="AG1410" s="24"/>
      <c r="AH1410" s="24"/>
    </row>
    <row r="1411" spans="1:34" ht="120" x14ac:dyDescent="0.25">
      <c r="A1411" s="24" t="str">
        <f>HYPERLINK("https://www.cpso.on.ca/DoctorDetails/Maria-Dulce-Buenafe-Bismonte/0049079-63057","Bismonte, Maria Dulce Buenafe")</f>
        <v>Bismonte, Maria Dulce Buenafe</v>
      </c>
      <c r="B1411" s="25" t="s">
        <v>13618</v>
      </c>
      <c r="C1411" s="24" t="s">
        <v>13619</v>
      </c>
      <c r="D1411" s="24" t="s">
        <v>3948</v>
      </c>
      <c r="E1411" s="24" t="s">
        <v>13620</v>
      </c>
      <c r="F1411" s="24" t="s">
        <v>47</v>
      </c>
      <c r="G1411" s="24" t="s">
        <v>13621</v>
      </c>
      <c r="H1411" s="24" t="s">
        <v>13622</v>
      </c>
      <c r="I1411" s="24" t="s">
        <v>13623</v>
      </c>
      <c r="J1411" s="24" t="s">
        <v>13624</v>
      </c>
      <c r="K1411" s="24" t="s">
        <v>13625</v>
      </c>
      <c r="L1411" s="24" t="s">
        <v>52</v>
      </c>
      <c r="M1411" s="15"/>
      <c r="N1411" s="15"/>
      <c r="O1411" s="15"/>
      <c r="P1411" s="15" t="s">
        <v>13069</v>
      </c>
      <c r="Q1411" s="15" t="s">
        <v>13626</v>
      </c>
      <c r="R1411" s="15" t="s">
        <v>13627</v>
      </c>
      <c r="S1411" s="24" t="s">
        <v>39</v>
      </c>
      <c r="T1411" s="24" t="s">
        <v>39</v>
      </c>
      <c r="U1411" s="24" t="s">
        <v>39</v>
      </c>
      <c r="V1411" s="24" t="s">
        <v>39</v>
      </c>
      <c r="W1411" s="24" t="s">
        <v>13628</v>
      </c>
      <c r="X1411" s="24" t="s">
        <v>13629</v>
      </c>
      <c r="Y1411" s="15" t="s">
        <v>13630</v>
      </c>
      <c r="Z1411" s="15" t="s">
        <v>13631</v>
      </c>
      <c r="AA1411" s="24"/>
      <c r="AB1411" s="24"/>
      <c r="AC1411" s="24"/>
      <c r="AD1411" s="24"/>
      <c r="AE1411" s="24"/>
      <c r="AF1411" s="24"/>
      <c r="AG1411" s="24"/>
      <c r="AH1411" s="24"/>
    </row>
    <row r="1412" spans="1:34" ht="105" x14ac:dyDescent="0.25">
      <c r="A1412" s="24" t="str">
        <f>HYPERLINK("https://www.cpso.on.ca/DoctorDetails/Maria-Esther-Elliott/0051701-65680","Elliott, Maria Esther")</f>
        <v>Elliott, Maria Esther</v>
      </c>
      <c r="B1412" s="25" t="s">
        <v>13632</v>
      </c>
      <c r="C1412" s="24" t="s">
        <v>1908</v>
      </c>
      <c r="D1412" s="24" t="s">
        <v>1670</v>
      </c>
      <c r="E1412" s="24" t="s">
        <v>29</v>
      </c>
      <c r="F1412" s="24" t="s">
        <v>47</v>
      </c>
      <c r="G1412" s="24" t="s">
        <v>13633</v>
      </c>
      <c r="H1412" s="24" t="s">
        <v>13634</v>
      </c>
      <c r="I1412" s="24" t="s">
        <v>13635</v>
      </c>
      <c r="J1412" s="24" t="s">
        <v>13636</v>
      </c>
      <c r="K1412" s="24" t="s">
        <v>486</v>
      </c>
      <c r="L1412" s="24" t="s">
        <v>52</v>
      </c>
      <c r="M1412" s="15" t="s">
        <v>13637</v>
      </c>
      <c r="N1412" s="15"/>
      <c r="O1412" s="15" t="s">
        <v>487</v>
      </c>
      <c r="P1412" s="15" t="s">
        <v>8909</v>
      </c>
      <c r="Q1412" s="15" t="s">
        <v>13638</v>
      </c>
      <c r="R1412" s="15" t="s">
        <v>13639</v>
      </c>
      <c r="S1412" s="24" t="s">
        <v>39</v>
      </c>
      <c r="T1412" s="24" t="s">
        <v>39</v>
      </c>
      <c r="U1412" s="24" t="s">
        <v>39</v>
      </c>
      <c r="V1412" s="24" t="s">
        <v>39</v>
      </c>
      <c r="W1412" s="24" t="s">
        <v>13640</v>
      </c>
      <c r="X1412" s="24" t="s">
        <v>13641</v>
      </c>
      <c r="Y1412" s="15" t="s">
        <v>13642</v>
      </c>
      <c r="Z1412" s="15" t="s">
        <v>13643</v>
      </c>
      <c r="AA1412" s="24"/>
      <c r="AB1412" s="24"/>
      <c r="AC1412" s="24"/>
      <c r="AD1412" s="24"/>
      <c r="AE1412" s="24"/>
      <c r="AF1412" s="24"/>
      <c r="AG1412" s="24"/>
      <c r="AH1412" s="24"/>
    </row>
    <row r="1413" spans="1:34" ht="165" x14ac:dyDescent="0.25">
      <c r="A1413" s="24" t="str">
        <f>HYPERLINK("https://www.cpso.on.ca/DoctorDetails/Maria-Hussain/0243268-86742","Hussain, Maria")</f>
        <v>Hussain, Maria</v>
      </c>
      <c r="B1413" s="25" t="s">
        <v>13644</v>
      </c>
      <c r="C1413" s="24" t="s">
        <v>1115</v>
      </c>
      <c r="D1413" s="24" t="s">
        <v>13645</v>
      </c>
      <c r="E1413" s="24" t="s">
        <v>29</v>
      </c>
      <c r="F1413" s="24" t="s">
        <v>47</v>
      </c>
      <c r="G1413" s="24" t="s">
        <v>1445</v>
      </c>
      <c r="H1413" s="24" t="s">
        <v>13646</v>
      </c>
      <c r="I1413" s="24" t="s">
        <v>13647</v>
      </c>
      <c r="J1413" s="24" t="s">
        <v>13648</v>
      </c>
      <c r="K1413" s="24"/>
      <c r="L1413" s="24" t="s">
        <v>340</v>
      </c>
      <c r="M1413" s="15" t="s">
        <v>13649</v>
      </c>
      <c r="N1413" s="15"/>
      <c r="O1413" s="15" t="s">
        <v>1122</v>
      </c>
      <c r="P1413" s="15" t="s">
        <v>13650</v>
      </c>
      <c r="Q1413" s="15" t="s">
        <v>13651</v>
      </c>
      <c r="R1413" s="15" t="s">
        <v>13652</v>
      </c>
      <c r="S1413" s="24" t="s">
        <v>39</v>
      </c>
      <c r="T1413" s="24" t="s">
        <v>39</v>
      </c>
      <c r="U1413" s="24" t="s">
        <v>39</v>
      </c>
      <c r="V1413" s="24" t="s">
        <v>39</v>
      </c>
      <c r="W1413" s="24" t="s">
        <v>13653</v>
      </c>
      <c r="X1413" s="24" t="s">
        <v>13654</v>
      </c>
      <c r="Y1413" s="15" t="s">
        <v>13655</v>
      </c>
      <c r="Z1413" s="15" t="s">
        <v>13656</v>
      </c>
      <c r="AA1413" s="24"/>
      <c r="AB1413" s="24"/>
      <c r="AC1413" s="24"/>
      <c r="AD1413" s="24"/>
      <c r="AE1413" s="24"/>
      <c r="AF1413" s="24"/>
      <c r="AG1413" s="24"/>
      <c r="AH1413" s="24"/>
    </row>
    <row r="1414" spans="1:34" ht="30" x14ac:dyDescent="0.25">
      <c r="A1414" s="24" t="str">
        <f>HYPERLINK("https://www.cpso.on.ca/DoctorDetails/Maria-Matilde-Torres-Gentile/0037956-51932","Gentile, Maria Matilde Torres")</f>
        <v>Gentile, Maria Matilde Torres</v>
      </c>
      <c r="B1414" s="25" t="s">
        <v>13657</v>
      </c>
      <c r="C1414" s="24" t="s">
        <v>3676</v>
      </c>
      <c r="D1414" s="24" t="s">
        <v>13658</v>
      </c>
      <c r="E1414" s="24" t="s">
        <v>29</v>
      </c>
      <c r="F1414" s="24" t="s">
        <v>47</v>
      </c>
      <c r="G1414" s="24" t="s">
        <v>2188</v>
      </c>
      <c r="H1414" s="24" t="s">
        <v>13659</v>
      </c>
      <c r="I1414" s="24" t="s">
        <v>107</v>
      </c>
      <c r="J1414" s="24"/>
      <c r="K1414" s="24"/>
      <c r="L1414" s="24"/>
      <c r="M1414" s="15"/>
      <c r="N1414" s="15"/>
      <c r="O1414" s="15"/>
      <c r="P1414" s="15" t="s">
        <v>868</v>
      </c>
      <c r="Q1414" s="15"/>
      <c r="R1414" s="15" t="s">
        <v>13660</v>
      </c>
      <c r="S1414" s="24" t="s">
        <v>39</v>
      </c>
      <c r="T1414" s="24" t="s">
        <v>39</v>
      </c>
      <c r="U1414" s="24" t="s">
        <v>39</v>
      </c>
      <c r="V1414" s="24" t="s">
        <v>39</v>
      </c>
      <c r="W1414" s="24"/>
      <c r="X1414" s="24"/>
      <c r="Y1414" s="15"/>
      <c r="Z1414" s="15"/>
      <c r="AA1414" s="24"/>
      <c r="AB1414" s="24"/>
      <c r="AC1414" s="24"/>
      <c r="AD1414" s="24"/>
      <c r="AE1414" s="24"/>
      <c r="AF1414" s="24"/>
      <c r="AG1414" s="24"/>
      <c r="AH1414" s="24"/>
    </row>
    <row r="1415" spans="1:34" ht="45" x14ac:dyDescent="0.25">
      <c r="A1415" s="24" t="str">
        <f>HYPERLINK("https://www.cpso.on.ca/DoctorDetails/Maria-Teresa-Koczorowska/0047834-61812","Koczorowska, Maria Teresa")</f>
        <v>Koczorowska, Maria Teresa</v>
      </c>
      <c r="B1415" s="25" t="s">
        <v>13661</v>
      </c>
      <c r="C1415" s="24" t="s">
        <v>1669</v>
      </c>
      <c r="D1415" s="24" t="s">
        <v>13662</v>
      </c>
      <c r="E1415" s="24" t="s">
        <v>29</v>
      </c>
      <c r="F1415" s="24" t="s">
        <v>47</v>
      </c>
      <c r="G1415" s="24" t="s">
        <v>1657</v>
      </c>
      <c r="H1415" s="24" t="s">
        <v>13663</v>
      </c>
      <c r="I1415" s="24" t="s">
        <v>9169</v>
      </c>
      <c r="J1415" s="24" t="s">
        <v>13664</v>
      </c>
      <c r="K1415" s="24" t="s">
        <v>13665</v>
      </c>
      <c r="L1415" s="24" t="s">
        <v>52</v>
      </c>
      <c r="M1415" s="15"/>
      <c r="N1415" s="15" t="s">
        <v>3320</v>
      </c>
      <c r="O1415" s="15"/>
      <c r="P1415" s="15" t="s">
        <v>1007</v>
      </c>
      <c r="Q1415" s="15"/>
      <c r="R1415" s="15" t="s">
        <v>13666</v>
      </c>
      <c r="S1415" s="24" t="s">
        <v>39</v>
      </c>
      <c r="T1415" s="24" t="s">
        <v>39</v>
      </c>
      <c r="U1415" s="24" t="s">
        <v>39</v>
      </c>
      <c r="V1415" s="24" t="s">
        <v>39</v>
      </c>
      <c r="W1415" s="24" t="s">
        <v>13667</v>
      </c>
      <c r="X1415" s="24" t="s">
        <v>13668</v>
      </c>
      <c r="Y1415" s="15" t="s">
        <v>13669</v>
      </c>
      <c r="Z1415" s="15" t="s">
        <v>13670</v>
      </c>
      <c r="AA1415" s="24"/>
      <c r="AB1415" s="24"/>
      <c r="AC1415" s="24"/>
      <c r="AD1415" s="24"/>
      <c r="AE1415" s="24"/>
      <c r="AF1415" s="24"/>
      <c r="AG1415" s="24"/>
      <c r="AH1415" s="24"/>
    </row>
    <row r="1416" spans="1:34" ht="105" x14ac:dyDescent="0.25">
      <c r="A1416" s="24" t="str">
        <f>HYPERLINK("https://www.cpso.on.ca/DoctorDetails/Mariam-Aziz/0221275-82509","Aziz, Mariam")</f>
        <v>Aziz, Mariam</v>
      </c>
      <c r="B1416" s="25" t="s">
        <v>13671</v>
      </c>
      <c r="C1416" s="24" t="s">
        <v>13672</v>
      </c>
      <c r="D1416" s="24" t="s">
        <v>13673</v>
      </c>
      <c r="E1416" s="24" t="s">
        <v>29</v>
      </c>
      <c r="F1416" s="24" t="s">
        <v>47</v>
      </c>
      <c r="G1416" s="24" t="s">
        <v>31</v>
      </c>
      <c r="H1416" s="24" t="s">
        <v>1756</v>
      </c>
      <c r="I1416" s="24" t="s">
        <v>13674</v>
      </c>
      <c r="J1416" s="24" t="s">
        <v>5238</v>
      </c>
      <c r="K1416" s="24" t="s">
        <v>5239</v>
      </c>
      <c r="L1416" s="24" t="s">
        <v>184</v>
      </c>
      <c r="M1416" s="15"/>
      <c r="N1416" s="15"/>
      <c r="O1416" s="15" t="s">
        <v>1135</v>
      </c>
      <c r="P1416" s="15" t="s">
        <v>13675</v>
      </c>
      <c r="Q1416" s="15" t="s">
        <v>13676</v>
      </c>
      <c r="R1416" s="15" t="s">
        <v>13677</v>
      </c>
      <c r="S1416" s="24" t="s">
        <v>39</v>
      </c>
      <c r="T1416" s="24" t="s">
        <v>39</v>
      </c>
      <c r="U1416" s="24" t="s">
        <v>39</v>
      </c>
      <c r="V1416" s="24" t="s">
        <v>39</v>
      </c>
      <c r="W1416" s="24" t="s">
        <v>13678</v>
      </c>
      <c r="X1416" s="24" t="s">
        <v>13679</v>
      </c>
      <c r="Y1416" s="15" t="s">
        <v>13680</v>
      </c>
      <c r="Z1416" s="15" t="s">
        <v>13681</v>
      </c>
      <c r="AA1416" s="24"/>
      <c r="AB1416" s="24"/>
      <c r="AC1416" s="24"/>
      <c r="AD1416" s="24"/>
      <c r="AE1416" s="24"/>
      <c r="AF1416" s="24"/>
      <c r="AG1416" s="24"/>
      <c r="AH1416" s="24"/>
    </row>
    <row r="1417" spans="1:34" ht="120" x14ac:dyDescent="0.25">
      <c r="A1417" s="24" t="str">
        <f>HYPERLINK("https://www.cpso.on.ca/DoctorDetails/Mariam-Bolade-Abdurrahman/0250109-88381","Abdurrahman, Mariam Bolade")</f>
        <v>Abdurrahman, Mariam Bolade</v>
      </c>
      <c r="B1417" s="25" t="s">
        <v>13682</v>
      </c>
      <c r="C1417" s="24" t="s">
        <v>846</v>
      </c>
      <c r="D1417" s="24" t="s">
        <v>12995</v>
      </c>
      <c r="E1417" s="24" t="s">
        <v>29</v>
      </c>
      <c r="F1417" s="24" t="s">
        <v>47</v>
      </c>
      <c r="G1417" s="24" t="s">
        <v>31</v>
      </c>
      <c r="H1417" s="24" t="s">
        <v>8722</v>
      </c>
      <c r="I1417" s="24" t="s">
        <v>8965</v>
      </c>
      <c r="J1417" s="24" t="s">
        <v>13683</v>
      </c>
      <c r="K1417" s="24"/>
      <c r="L1417" s="24" t="s">
        <v>52</v>
      </c>
      <c r="M1417" s="15"/>
      <c r="N1417" s="15"/>
      <c r="O1417" s="15" t="s">
        <v>13684</v>
      </c>
      <c r="P1417" s="15" t="s">
        <v>5194</v>
      </c>
      <c r="Q1417" s="15" t="s">
        <v>13685</v>
      </c>
      <c r="R1417" s="15" t="s">
        <v>13686</v>
      </c>
      <c r="S1417" s="24" t="s">
        <v>39</v>
      </c>
      <c r="T1417" s="24" t="s">
        <v>39</v>
      </c>
      <c r="U1417" s="24" t="s">
        <v>39</v>
      </c>
      <c r="V1417" s="24" t="s">
        <v>39</v>
      </c>
      <c r="W1417" s="24" t="s">
        <v>13687</v>
      </c>
      <c r="X1417" s="24" t="s">
        <v>13688</v>
      </c>
      <c r="Y1417" s="15" t="s">
        <v>13689</v>
      </c>
      <c r="Z1417" s="15" t="s">
        <v>13690</v>
      </c>
      <c r="AA1417" s="24"/>
      <c r="AB1417" s="24"/>
      <c r="AC1417" s="24"/>
      <c r="AD1417" s="24"/>
      <c r="AE1417" s="24"/>
      <c r="AF1417" s="24"/>
      <c r="AG1417" s="24"/>
      <c r="AH1417" s="24"/>
    </row>
    <row r="1418" spans="1:34" ht="120" x14ac:dyDescent="0.25">
      <c r="A1418" s="24" t="str">
        <f>HYPERLINK("https://www.cpso.on.ca/DoctorDetails/Mariam-Vania/0024748-29570","Vania, Mariam")</f>
        <v>Vania, Mariam</v>
      </c>
      <c r="B1418" s="25" t="s">
        <v>13691</v>
      </c>
      <c r="C1418" s="24" t="s">
        <v>13692</v>
      </c>
      <c r="D1418" s="24" t="s">
        <v>13693</v>
      </c>
      <c r="E1418" s="24" t="s">
        <v>29</v>
      </c>
      <c r="F1418" s="24" t="s">
        <v>47</v>
      </c>
      <c r="G1418" s="24" t="s">
        <v>13353</v>
      </c>
      <c r="H1418" s="24" t="s">
        <v>13694</v>
      </c>
      <c r="I1418" s="24" t="s">
        <v>13695</v>
      </c>
      <c r="J1418" s="24" t="s">
        <v>13696</v>
      </c>
      <c r="K1418" s="24"/>
      <c r="L1418" s="24" t="s">
        <v>36</v>
      </c>
      <c r="M1418" s="15"/>
      <c r="N1418" s="15"/>
      <c r="O1418" s="15"/>
      <c r="P1418" s="15" t="s">
        <v>6170</v>
      </c>
      <c r="Q1418" s="15"/>
      <c r="R1418" s="15" t="s">
        <v>13697</v>
      </c>
      <c r="S1418" s="24" t="s">
        <v>39</v>
      </c>
      <c r="T1418" s="24" t="s">
        <v>39</v>
      </c>
      <c r="U1418" s="24" t="s">
        <v>39</v>
      </c>
      <c r="V1418" s="24" t="s">
        <v>39</v>
      </c>
      <c r="W1418" s="24"/>
      <c r="X1418" s="24"/>
      <c r="Y1418" s="15"/>
      <c r="Z1418" s="15"/>
      <c r="AA1418" s="24"/>
      <c r="AB1418" s="24"/>
      <c r="AC1418" s="24"/>
      <c r="AD1418" s="24"/>
      <c r="AE1418" s="24"/>
      <c r="AF1418" s="24"/>
      <c r="AG1418" s="24"/>
      <c r="AH1418" s="24"/>
    </row>
    <row r="1419" spans="1:34" ht="30" x14ac:dyDescent="0.25">
      <c r="A1419" s="24" t="str">
        <f>HYPERLINK("https://www.cpso.on.ca/DoctorDetails/Mariana-Georgeta-Hill/0036161-50137","Hill, Mariana Georgeta")</f>
        <v>Hill, Mariana Georgeta</v>
      </c>
      <c r="B1419" s="25" t="s">
        <v>13698</v>
      </c>
      <c r="C1419" s="24" t="s">
        <v>3676</v>
      </c>
      <c r="D1419" s="24" t="s">
        <v>2012</v>
      </c>
      <c r="E1419" s="24" t="s">
        <v>13699</v>
      </c>
      <c r="F1419" s="24" t="s">
        <v>47</v>
      </c>
      <c r="G1419" s="24" t="s">
        <v>7300</v>
      </c>
      <c r="H1419" s="24" t="s">
        <v>13700</v>
      </c>
      <c r="I1419" s="24" t="s">
        <v>13701</v>
      </c>
      <c r="J1419" s="24" t="s">
        <v>13702</v>
      </c>
      <c r="K1419" s="24" t="s">
        <v>13703</v>
      </c>
      <c r="L1419" s="24" t="s">
        <v>52</v>
      </c>
      <c r="M1419" s="15" t="s">
        <v>13704</v>
      </c>
      <c r="N1419" s="15"/>
      <c r="O1419" s="15" t="s">
        <v>232</v>
      </c>
      <c r="P1419" s="15" t="s">
        <v>2137</v>
      </c>
      <c r="Q1419" s="15" t="s">
        <v>5261</v>
      </c>
      <c r="R1419" s="15" t="s">
        <v>13705</v>
      </c>
      <c r="S1419" s="24" t="s">
        <v>39</v>
      </c>
      <c r="T1419" s="24" t="s">
        <v>39</v>
      </c>
      <c r="U1419" s="24" t="s">
        <v>39</v>
      </c>
      <c r="V1419" s="24" t="s">
        <v>39</v>
      </c>
      <c r="W1419" s="24"/>
      <c r="X1419" s="24"/>
      <c r="Y1419" s="15"/>
      <c r="Z1419" s="15"/>
      <c r="AA1419" s="24"/>
      <c r="AB1419" s="24"/>
      <c r="AC1419" s="24"/>
      <c r="AD1419" s="24"/>
      <c r="AE1419" s="24"/>
      <c r="AF1419" s="24"/>
      <c r="AG1419" s="24"/>
      <c r="AH1419" s="24"/>
    </row>
    <row r="1420" spans="1:34" ht="75" x14ac:dyDescent="0.25">
      <c r="A1420" s="24" t="str">
        <f>HYPERLINK("https://www.cpso.on.ca/DoctorDetails/Marianna-Golts/0200874-79375","Golts, Marianna")</f>
        <v>Golts, Marianna</v>
      </c>
      <c r="B1420" s="25" t="s">
        <v>13706</v>
      </c>
      <c r="C1420" s="24" t="s">
        <v>871</v>
      </c>
      <c r="D1420" s="24" t="s">
        <v>872</v>
      </c>
      <c r="E1420" s="24" t="s">
        <v>29</v>
      </c>
      <c r="F1420" s="24" t="s">
        <v>47</v>
      </c>
      <c r="G1420" s="24" t="s">
        <v>31</v>
      </c>
      <c r="H1420" s="24" t="s">
        <v>1780</v>
      </c>
      <c r="I1420" s="24" t="s">
        <v>4593</v>
      </c>
      <c r="J1420" s="24" t="s">
        <v>13707</v>
      </c>
      <c r="K1420" s="24"/>
      <c r="L1420" s="24" t="s">
        <v>52</v>
      </c>
      <c r="M1420" s="15"/>
      <c r="N1420" s="15"/>
      <c r="O1420" s="15" t="s">
        <v>1201</v>
      </c>
      <c r="P1420" s="15" t="s">
        <v>880</v>
      </c>
      <c r="Q1420" s="15" t="s">
        <v>13708</v>
      </c>
      <c r="R1420" s="15" t="s">
        <v>882</v>
      </c>
      <c r="S1420" s="24" t="s">
        <v>39</v>
      </c>
      <c r="T1420" s="24" t="s">
        <v>39</v>
      </c>
      <c r="U1420" s="24" t="s">
        <v>39</v>
      </c>
      <c r="V1420" s="24" t="s">
        <v>39</v>
      </c>
      <c r="W1420" s="24" t="s">
        <v>13709</v>
      </c>
      <c r="X1420" s="24" t="s">
        <v>13710</v>
      </c>
      <c r="Y1420" s="15" t="s">
        <v>13711</v>
      </c>
      <c r="Z1420" s="15" t="s">
        <v>13712</v>
      </c>
      <c r="AA1420" s="24"/>
      <c r="AB1420" s="24"/>
      <c r="AC1420" s="24"/>
      <c r="AD1420" s="24"/>
      <c r="AE1420" s="24"/>
      <c r="AF1420" s="24"/>
      <c r="AG1420" s="24"/>
      <c r="AH1420" s="24"/>
    </row>
    <row r="1421" spans="1:34" x14ac:dyDescent="0.25">
      <c r="A1421" s="24" t="str">
        <f>HYPERLINK("https://www.cpso.on.ca/DoctorDetails/Marianne-Boisvert/0276626-97370","Boisvert, Marianne")</f>
        <v>Boisvert, Marianne</v>
      </c>
      <c r="B1421" s="25" t="s">
        <v>13713</v>
      </c>
      <c r="C1421" s="24" t="s">
        <v>13714</v>
      </c>
      <c r="D1421" s="24" t="s">
        <v>13715</v>
      </c>
      <c r="E1421" s="24" t="s">
        <v>29</v>
      </c>
      <c r="F1421" s="24" t="s">
        <v>47</v>
      </c>
      <c r="G1421" s="24" t="s">
        <v>813</v>
      </c>
      <c r="H1421" s="24" t="s">
        <v>10007</v>
      </c>
      <c r="I1421" s="24" t="s">
        <v>13716</v>
      </c>
      <c r="J1421" s="24" t="s">
        <v>13717</v>
      </c>
      <c r="K1421" s="24"/>
      <c r="L1421" s="24"/>
      <c r="M1421" s="15" t="s">
        <v>13718</v>
      </c>
      <c r="N1421" s="15" t="s">
        <v>710</v>
      </c>
      <c r="O1421" s="15"/>
      <c r="P1421" s="15" t="s">
        <v>13719</v>
      </c>
      <c r="Q1421" s="15"/>
      <c r="R1421" s="15" t="s">
        <v>13720</v>
      </c>
      <c r="S1421" s="24" t="s">
        <v>39</v>
      </c>
      <c r="T1421" s="24" t="s">
        <v>39</v>
      </c>
      <c r="U1421" s="24" t="s">
        <v>39</v>
      </c>
      <c r="V1421" s="24" t="s">
        <v>39</v>
      </c>
      <c r="W1421" s="24"/>
      <c r="X1421" s="24"/>
      <c r="Y1421" s="15"/>
      <c r="Z1421" s="15"/>
      <c r="AA1421" s="24"/>
      <c r="AB1421" s="24"/>
      <c r="AC1421" s="24"/>
      <c r="AD1421" s="24"/>
      <c r="AE1421" s="24"/>
      <c r="AF1421" s="24"/>
      <c r="AG1421" s="24"/>
      <c r="AH1421" s="24"/>
    </row>
    <row r="1422" spans="1:34" x14ac:dyDescent="0.25">
      <c r="A1422" s="24" t="str">
        <f>HYPERLINK("https://www.cpso.on.ca/DoctorDetails/Marie-Claire-Bourque/0326595-117009","Bourque, Marie Claire")</f>
        <v>Bourque, Marie Claire</v>
      </c>
      <c r="B1422" s="25" t="s">
        <v>13721</v>
      </c>
      <c r="C1422" s="24" t="s">
        <v>13722</v>
      </c>
      <c r="D1422" s="24" t="s">
        <v>13723</v>
      </c>
      <c r="E1422" s="24" t="s">
        <v>29</v>
      </c>
      <c r="F1422" s="24" t="s">
        <v>47</v>
      </c>
      <c r="G1422" s="24" t="s">
        <v>813</v>
      </c>
      <c r="H1422" s="24" t="s">
        <v>13724</v>
      </c>
      <c r="I1422" s="24" t="s">
        <v>107</v>
      </c>
      <c r="J1422" s="24"/>
      <c r="K1422" s="24"/>
      <c r="L1422" s="24"/>
      <c r="M1422" s="15"/>
      <c r="N1422" s="15" t="s">
        <v>258</v>
      </c>
      <c r="O1422" s="15"/>
      <c r="P1422" s="15" t="s">
        <v>973</v>
      </c>
      <c r="Q1422" s="15"/>
      <c r="R1422" s="15" t="s">
        <v>13725</v>
      </c>
      <c r="S1422" s="24" t="s">
        <v>39</v>
      </c>
      <c r="T1422" s="24" t="s">
        <v>39</v>
      </c>
      <c r="U1422" s="24" t="s">
        <v>39</v>
      </c>
      <c r="V1422" s="24" t="s">
        <v>39</v>
      </c>
      <c r="W1422" s="24"/>
      <c r="X1422" s="24"/>
      <c r="Y1422" s="15"/>
      <c r="Z1422" s="15"/>
      <c r="AA1422" s="24"/>
      <c r="AB1422" s="24"/>
      <c r="AC1422" s="24"/>
      <c r="AD1422" s="24"/>
      <c r="AE1422" s="24"/>
      <c r="AF1422" s="24"/>
      <c r="AG1422" s="24"/>
      <c r="AH1422" s="24"/>
    </row>
    <row r="1423" spans="1:34" x14ac:dyDescent="0.25">
      <c r="A1423" s="24" t="str">
        <f>HYPERLINK("https://www.cpso.on.ca/DoctorDetails/Marie-Eve-R-Riopel/0272165-95566","R Riopel, Marie Eve")</f>
        <v>R Riopel, Marie Eve</v>
      </c>
      <c r="B1423" s="25" t="s">
        <v>13726</v>
      </c>
      <c r="C1423" s="24" t="s">
        <v>1266</v>
      </c>
      <c r="D1423" s="24" t="s">
        <v>11553</v>
      </c>
      <c r="E1423" s="24" t="s">
        <v>29</v>
      </c>
      <c r="F1423" s="24" t="s">
        <v>47</v>
      </c>
      <c r="G1423" s="24" t="s">
        <v>813</v>
      </c>
      <c r="H1423" s="24" t="s">
        <v>13727</v>
      </c>
      <c r="I1423" s="24" t="s">
        <v>13728</v>
      </c>
      <c r="J1423" s="24" t="s">
        <v>13729</v>
      </c>
      <c r="K1423" s="24" t="s">
        <v>13730</v>
      </c>
      <c r="L1423" s="24"/>
      <c r="M1423" s="15"/>
      <c r="N1423" s="15" t="s">
        <v>710</v>
      </c>
      <c r="O1423" s="15"/>
      <c r="P1423" s="15" t="s">
        <v>412</v>
      </c>
      <c r="Q1423" s="15" t="s">
        <v>13731</v>
      </c>
      <c r="R1423" s="15" t="s">
        <v>13732</v>
      </c>
      <c r="S1423" s="24" t="s">
        <v>39</v>
      </c>
      <c r="T1423" s="24" t="s">
        <v>39</v>
      </c>
      <c r="U1423" s="24" t="s">
        <v>39</v>
      </c>
      <c r="V1423" s="24" t="s">
        <v>39</v>
      </c>
      <c r="W1423" s="24"/>
      <c r="X1423" s="24"/>
      <c r="Y1423" s="15"/>
      <c r="Z1423" s="15"/>
      <c r="AA1423" s="24"/>
      <c r="AB1423" s="24"/>
      <c r="AC1423" s="24"/>
      <c r="AD1423" s="24"/>
      <c r="AE1423" s="24"/>
      <c r="AF1423" s="24"/>
      <c r="AG1423" s="24"/>
      <c r="AH1423" s="24"/>
    </row>
    <row r="1424" spans="1:34" ht="120" x14ac:dyDescent="0.25">
      <c r="A1424" s="24" t="str">
        <f>HYPERLINK("https://www.cpso.on.ca/DoctorDetails/Marie-Laurette-PierreLouis/0037364-51340","Pierre-Louis, Marie Laurette")</f>
        <v>Pierre-Louis, Marie Laurette</v>
      </c>
      <c r="B1424" s="25" t="s">
        <v>13733</v>
      </c>
      <c r="C1424" s="24" t="s">
        <v>13734</v>
      </c>
      <c r="D1424" s="24" t="s">
        <v>13735</v>
      </c>
      <c r="E1424" s="24" t="s">
        <v>29</v>
      </c>
      <c r="F1424" s="24" t="s">
        <v>47</v>
      </c>
      <c r="G1424" s="24" t="s">
        <v>4601</v>
      </c>
      <c r="H1424" s="24" t="s">
        <v>13736</v>
      </c>
      <c r="I1424" s="24" t="s">
        <v>13737</v>
      </c>
      <c r="J1424" s="24" t="s">
        <v>13738</v>
      </c>
      <c r="K1424" s="24"/>
      <c r="L1424" s="24" t="s">
        <v>84</v>
      </c>
      <c r="M1424" s="15"/>
      <c r="N1424" s="15" t="s">
        <v>710</v>
      </c>
      <c r="O1424" s="15"/>
      <c r="P1424" s="15" t="s">
        <v>13739</v>
      </c>
      <c r="Q1424" s="15"/>
      <c r="R1424" s="15" t="s">
        <v>13740</v>
      </c>
      <c r="S1424" s="24" t="s">
        <v>39</v>
      </c>
      <c r="T1424" s="24" t="s">
        <v>39</v>
      </c>
      <c r="U1424" s="24" t="s">
        <v>39</v>
      </c>
      <c r="V1424" s="24" t="s">
        <v>39</v>
      </c>
      <c r="W1424" s="24"/>
      <c r="X1424" s="24"/>
      <c r="Y1424" s="15"/>
      <c r="Z1424" s="15"/>
      <c r="AA1424" s="24"/>
      <c r="AB1424" s="24"/>
      <c r="AC1424" s="24"/>
      <c r="AD1424" s="24"/>
      <c r="AE1424" s="24"/>
      <c r="AF1424" s="24"/>
      <c r="AG1424" s="24"/>
      <c r="AH1424" s="24"/>
    </row>
    <row r="1425" spans="1:34" ht="30" x14ac:dyDescent="0.25">
      <c r="A1425" s="24" t="str">
        <f>HYPERLINK("https://www.cpso.on.ca/DoctorDetails/Marie-Suzanne-Elizabeth-Legault/0036942-50918","Legault, Marie Suzanne Elizabeth")</f>
        <v>Legault, Marie Suzanne Elizabeth</v>
      </c>
      <c r="B1425" s="25" t="s">
        <v>13741</v>
      </c>
      <c r="C1425" s="24" t="s">
        <v>3676</v>
      </c>
      <c r="D1425" s="24" t="s">
        <v>8831</v>
      </c>
      <c r="E1425" s="24" t="s">
        <v>29</v>
      </c>
      <c r="F1425" s="24" t="s">
        <v>47</v>
      </c>
      <c r="G1425" s="24" t="s">
        <v>813</v>
      </c>
      <c r="H1425" s="24" t="s">
        <v>3419</v>
      </c>
      <c r="I1425" s="24" t="s">
        <v>13742</v>
      </c>
      <c r="J1425" s="24" t="s">
        <v>13743</v>
      </c>
      <c r="K1425" s="24" t="s">
        <v>13744</v>
      </c>
      <c r="L1425" s="24" t="s">
        <v>36</v>
      </c>
      <c r="M1425" s="15" t="s">
        <v>13745</v>
      </c>
      <c r="N1425" s="15"/>
      <c r="O1425" s="15" t="s">
        <v>6080</v>
      </c>
      <c r="P1425" s="15" t="s">
        <v>122</v>
      </c>
      <c r="Q1425" s="15"/>
      <c r="R1425" s="15" t="s">
        <v>13746</v>
      </c>
      <c r="S1425" s="24" t="s">
        <v>39</v>
      </c>
      <c r="T1425" s="24" t="s">
        <v>39</v>
      </c>
      <c r="U1425" s="24" t="s">
        <v>39</v>
      </c>
      <c r="V1425" s="24" t="s">
        <v>39</v>
      </c>
      <c r="W1425" s="24" t="s">
        <v>13747</v>
      </c>
      <c r="X1425" s="24" t="s">
        <v>13748</v>
      </c>
      <c r="Y1425" s="15" t="s">
        <v>13749</v>
      </c>
      <c r="Z1425" s="15" t="s">
        <v>13750</v>
      </c>
      <c r="AA1425" s="24"/>
      <c r="AB1425" s="24"/>
      <c r="AC1425" s="24"/>
      <c r="AD1425" s="24"/>
      <c r="AE1425" s="24"/>
      <c r="AF1425" s="24"/>
      <c r="AG1425" s="24"/>
      <c r="AH1425" s="24"/>
    </row>
    <row r="1426" spans="1:34" ht="75" x14ac:dyDescent="0.25">
      <c r="A1426" s="24" t="str">
        <f>HYPERLINK("https://www.cpso.on.ca/DoctorDetails/MarieClaude-Guimond/0132731-70303","Guimond, Marie-Claude")</f>
        <v>Guimond, Marie-Claude</v>
      </c>
      <c r="B1426" s="25" t="s">
        <v>13751</v>
      </c>
      <c r="C1426" s="24" t="s">
        <v>2673</v>
      </c>
      <c r="D1426" s="24" t="s">
        <v>2674</v>
      </c>
      <c r="E1426" s="24" t="s">
        <v>29</v>
      </c>
      <c r="F1426" s="24" t="s">
        <v>47</v>
      </c>
      <c r="G1426" s="24" t="s">
        <v>813</v>
      </c>
      <c r="H1426" s="24" t="s">
        <v>6722</v>
      </c>
      <c r="I1426" s="24" t="s">
        <v>13752</v>
      </c>
      <c r="J1426" s="24" t="s">
        <v>13753</v>
      </c>
      <c r="K1426" s="24" t="s">
        <v>12612</v>
      </c>
      <c r="L1426" s="24" t="s">
        <v>52</v>
      </c>
      <c r="M1426" s="15"/>
      <c r="N1426" s="15"/>
      <c r="O1426" s="15" t="s">
        <v>232</v>
      </c>
      <c r="P1426" s="15" t="s">
        <v>2678</v>
      </c>
      <c r="Q1426" s="15" t="s">
        <v>1112</v>
      </c>
      <c r="R1426" s="15" t="s">
        <v>2680</v>
      </c>
      <c r="S1426" s="24" t="s">
        <v>39</v>
      </c>
      <c r="T1426" s="24" t="s">
        <v>39</v>
      </c>
      <c r="U1426" s="24" t="s">
        <v>39</v>
      </c>
      <c r="V1426" s="24" t="s">
        <v>39</v>
      </c>
      <c r="W1426" s="24" t="s">
        <v>13754</v>
      </c>
      <c r="X1426" s="24" t="s">
        <v>13755</v>
      </c>
      <c r="Y1426" s="15" t="s">
        <v>13756</v>
      </c>
      <c r="Z1426" s="15" t="s">
        <v>13757</v>
      </c>
      <c r="AA1426" s="24"/>
      <c r="AB1426" s="24"/>
      <c r="AC1426" s="24"/>
      <c r="AD1426" s="24"/>
      <c r="AE1426" s="24"/>
      <c r="AF1426" s="24"/>
      <c r="AG1426" s="24"/>
      <c r="AH1426" s="24"/>
    </row>
    <row r="1427" spans="1:34" ht="90" x14ac:dyDescent="0.25">
      <c r="A1427" s="24" t="str">
        <f>HYPERLINK("https://www.cpso.on.ca/DoctorDetails/MarieHelene-Rivard/0289247-100430","Rivard, Marie-Helene")</f>
        <v>Rivard, Marie-Helene</v>
      </c>
      <c r="B1427" s="25" t="s">
        <v>13758</v>
      </c>
      <c r="C1427" s="24" t="s">
        <v>199</v>
      </c>
      <c r="D1427" s="24" t="s">
        <v>7100</v>
      </c>
      <c r="E1427" s="24" t="s">
        <v>29</v>
      </c>
      <c r="F1427" s="24" t="s">
        <v>47</v>
      </c>
      <c r="G1427" s="24" t="s">
        <v>31</v>
      </c>
      <c r="H1427" s="24" t="s">
        <v>1893</v>
      </c>
      <c r="I1427" s="24" t="s">
        <v>13759</v>
      </c>
      <c r="J1427" s="24" t="s">
        <v>13760</v>
      </c>
      <c r="K1427" s="24" t="s">
        <v>13761</v>
      </c>
      <c r="L1427" s="24" t="s">
        <v>84</v>
      </c>
      <c r="M1427" s="15"/>
      <c r="N1427" s="15"/>
      <c r="O1427" s="15"/>
      <c r="P1427" s="15" t="s">
        <v>205</v>
      </c>
      <c r="Q1427" s="15" t="s">
        <v>13762</v>
      </c>
      <c r="R1427" s="15" t="s">
        <v>7104</v>
      </c>
      <c r="S1427" s="24" t="s">
        <v>39</v>
      </c>
      <c r="T1427" s="24" t="s">
        <v>39</v>
      </c>
      <c r="U1427" s="24" t="s">
        <v>39</v>
      </c>
      <c r="V1427" s="24" t="s">
        <v>39</v>
      </c>
      <c r="W1427" s="24"/>
      <c r="X1427" s="24"/>
      <c r="Y1427" s="15"/>
      <c r="Z1427" s="15"/>
      <c r="AA1427" s="24"/>
      <c r="AB1427" s="24"/>
      <c r="AC1427" s="24"/>
      <c r="AD1427" s="24"/>
      <c r="AE1427" s="24"/>
      <c r="AF1427" s="24"/>
      <c r="AG1427" s="24"/>
      <c r="AH1427" s="24"/>
    </row>
    <row r="1428" spans="1:34" ht="90" x14ac:dyDescent="0.25">
      <c r="A1428" s="24" t="str">
        <f>HYPERLINK("https://www.cpso.on.ca/DoctorDetails/MarieJosee-Albert-Lynch/0258416-91042","Lynch, Marie-Josee Albert")</f>
        <v>Lynch, Marie-Josee Albert</v>
      </c>
      <c r="B1428" s="25" t="s">
        <v>13763</v>
      </c>
      <c r="C1428" s="24" t="s">
        <v>4294</v>
      </c>
      <c r="D1428" s="24" t="s">
        <v>967</v>
      </c>
      <c r="E1428" s="24" t="s">
        <v>29</v>
      </c>
      <c r="F1428" s="24" t="s">
        <v>47</v>
      </c>
      <c r="G1428" s="24" t="s">
        <v>813</v>
      </c>
      <c r="H1428" s="24" t="s">
        <v>6625</v>
      </c>
      <c r="I1428" s="24" t="s">
        <v>13764</v>
      </c>
      <c r="J1428" s="24" t="s">
        <v>13765</v>
      </c>
      <c r="K1428" s="24" t="s">
        <v>13766</v>
      </c>
      <c r="L1428" s="24" t="s">
        <v>52</v>
      </c>
      <c r="M1428" s="15"/>
      <c r="N1428" s="15"/>
      <c r="O1428" s="15" t="s">
        <v>1867</v>
      </c>
      <c r="P1428" s="15" t="s">
        <v>629</v>
      </c>
      <c r="Q1428" s="15" t="s">
        <v>13767</v>
      </c>
      <c r="R1428" s="15" t="s">
        <v>13768</v>
      </c>
      <c r="S1428" s="24" t="s">
        <v>39</v>
      </c>
      <c r="T1428" s="24" t="s">
        <v>39</v>
      </c>
      <c r="U1428" s="24" t="s">
        <v>39</v>
      </c>
      <c r="V1428" s="24" t="s">
        <v>39</v>
      </c>
      <c r="W1428" s="24" t="s">
        <v>13769</v>
      </c>
      <c r="X1428" s="24" t="s">
        <v>13770</v>
      </c>
      <c r="Y1428" s="15" t="s">
        <v>13771</v>
      </c>
      <c r="Z1428" s="15" t="s">
        <v>13772</v>
      </c>
      <c r="AA1428" s="24"/>
      <c r="AB1428" s="24"/>
      <c r="AC1428" s="24"/>
      <c r="AD1428" s="24"/>
      <c r="AE1428" s="24"/>
      <c r="AF1428" s="24"/>
      <c r="AG1428" s="24"/>
      <c r="AH1428" s="24"/>
    </row>
    <row r="1429" spans="1:34" ht="75" x14ac:dyDescent="0.25">
      <c r="A1429" s="24" t="str">
        <f>HYPERLINK("https://www.cpso.on.ca/DoctorDetails/MariePierre-ChenardPoirier/0307748-108589","Chenard-Poirier, Marie-Pierre")</f>
        <v>Chenard-Poirier, Marie-Pierre</v>
      </c>
      <c r="B1429" s="25" t="s">
        <v>13773</v>
      </c>
      <c r="C1429" s="24" t="s">
        <v>4268</v>
      </c>
      <c r="D1429" s="24" t="s">
        <v>13774</v>
      </c>
      <c r="E1429" s="24" t="s">
        <v>29</v>
      </c>
      <c r="F1429" s="24" t="s">
        <v>47</v>
      </c>
      <c r="G1429" s="24" t="s">
        <v>813</v>
      </c>
      <c r="H1429" s="24" t="s">
        <v>13775</v>
      </c>
      <c r="I1429" s="24" t="s">
        <v>13776</v>
      </c>
      <c r="J1429" s="24" t="s">
        <v>13777</v>
      </c>
      <c r="K1429" s="24"/>
      <c r="L1429" s="24" t="s">
        <v>36</v>
      </c>
      <c r="M1429" s="15"/>
      <c r="N1429" s="15" t="s">
        <v>710</v>
      </c>
      <c r="O1429" s="15"/>
      <c r="P1429" s="15" t="s">
        <v>973</v>
      </c>
      <c r="Q1429" s="15" t="s">
        <v>13778</v>
      </c>
      <c r="R1429" s="15" t="s">
        <v>13779</v>
      </c>
      <c r="S1429" s="24" t="s">
        <v>39</v>
      </c>
      <c r="T1429" s="24" t="s">
        <v>39</v>
      </c>
      <c r="U1429" s="24" t="s">
        <v>39</v>
      </c>
      <c r="V1429" s="24" t="s">
        <v>39</v>
      </c>
      <c r="W1429" s="24"/>
      <c r="X1429" s="24"/>
      <c r="Y1429" s="15"/>
      <c r="Z1429" s="15"/>
      <c r="AA1429" s="24"/>
      <c r="AB1429" s="24"/>
      <c r="AC1429" s="24"/>
      <c r="AD1429" s="24"/>
      <c r="AE1429" s="24"/>
      <c r="AF1429" s="24"/>
      <c r="AG1429" s="24"/>
      <c r="AH1429" s="24"/>
    </row>
    <row r="1430" spans="1:34" ht="90" x14ac:dyDescent="0.25">
      <c r="A1430" s="24" t="str">
        <f>HYPERLINK("https://www.cpso.on.ca/DoctorDetails/MarieRose-Paule-Phaneuf/0243326-86417","Phaneuf, Marie-Rose Paule")</f>
        <v>Phaneuf, Marie-Rose Paule</v>
      </c>
      <c r="B1430" s="25" t="s">
        <v>13780</v>
      </c>
      <c r="C1430" s="24" t="s">
        <v>13781</v>
      </c>
      <c r="D1430" s="24" t="s">
        <v>13782</v>
      </c>
      <c r="E1430" s="24" t="s">
        <v>29</v>
      </c>
      <c r="F1430" s="24" t="s">
        <v>47</v>
      </c>
      <c r="G1430" s="24" t="s">
        <v>813</v>
      </c>
      <c r="H1430" s="24" t="s">
        <v>4717</v>
      </c>
      <c r="I1430" s="24" t="s">
        <v>3071</v>
      </c>
      <c r="J1430" s="24" t="s">
        <v>13783</v>
      </c>
      <c r="K1430" s="24" t="s">
        <v>13784</v>
      </c>
      <c r="L1430" s="24" t="s">
        <v>84</v>
      </c>
      <c r="M1430" s="15"/>
      <c r="N1430" s="15"/>
      <c r="O1430" s="15" t="s">
        <v>817</v>
      </c>
      <c r="P1430" s="15" t="s">
        <v>682</v>
      </c>
      <c r="Q1430" s="15" t="s">
        <v>13785</v>
      </c>
      <c r="R1430" s="15" t="s">
        <v>13786</v>
      </c>
      <c r="S1430" s="24" t="s">
        <v>39</v>
      </c>
      <c r="T1430" s="24" t="s">
        <v>39</v>
      </c>
      <c r="U1430" s="24" t="s">
        <v>39</v>
      </c>
      <c r="V1430" s="24" t="s">
        <v>39</v>
      </c>
      <c r="W1430" s="24"/>
      <c r="X1430" s="24"/>
      <c r="Y1430" s="15"/>
      <c r="Z1430" s="15"/>
      <c r="AA1430" s="24"/>
      <c r="AB1430" s="24"/>
      <c r="AC1430" s="24"/>
      <c r="AD1430" s="24"/>
      <c r="AE1430" s="24"/>
      <c r="AF1430" s="24"/>
      <c r="AG1430" s="24"/>
      <c r="AH1430" s="24"/>
    </row>
    <row r="1431" spans="1:34" ht="75" x14ac:dyDescent="0.25">
      <c r="A1431" s="24" t="str">
        <f>HYPERLINK("https://www.cpso.on.ca/DoctorDetails/Marijana-Drandic/0201675-79006","Drandic, Marijana")</f>
        <v>Drandic, Marijana</v>
      </c>
      <c r="B1431" s="25" t="s">
        <v>13787</v>
      </c>
      <c r="C1431" s="24" t="s">
        <v>871</v>
      </c>
      <c r="D1431" s="24" t="s">
        <v>872</v>
      </c>
      <c r="E1431" s="24" t="s">
        <v>29</v>
      </c>
      <c r="F1431" s="24" t="s">
        <v>47</v>
      </c>
      <c r="G1431" s="24" t="s">
        <v>8664</v>
      </c>
      <c r="H1431" s="24" t="s">
        <v>874</v>
      </c>
      <c r="I1431" s="24" t="s">
        <v>13788</v>
      </c>
      <c r="J1431" s="24" t="s">
        <v>12987</v>
      </c>
      <c r="K1431" s="24"/>
      <c r="L1431" s="24" t="s">
        <v>52</v>
      </c>
      <c r="M1431" s="15"/>
      <c r="N1431" s="15"/>
      <c r="O1431" s="15" t="s">
        <v>271</v>
      </c>
      <c r="P1431" s="15" t="s">
        <v>880</v>
      </c>
      <c r="Q1431" s="15" t="s">
        <v>13789</v>
      </c>
      <c r="R1431" s="15" t="s">
        <v>882</v>
      </c>
      <c r="S1431" s="24" t="s">
        <v>39</v>
      </c>
      <c r="T1431" s="24" t="s">
        <v>39</v>
      </c>
      <c r="U1431" s="24" t="s">
        <v>39</v>
      </c>
      <c r="V1431" s="24" t="s">
        <v>39</v>
      </c>
      <c r="W1431" s="24" t="s">
        <v>13790</v>
      </c>
      <c r="X1431" s="24" t="s">
        <v>13791</v>
      </c>
      <c r="Y1431" s="15" t="s">
        <v>13792</v>
      </c>
      <c r="Z1431" s="15" t="s">
        <v>13793</v>
      </c>
      <c r="AA1431" s="24"/>
      <c r="AB1431" s="24"/>
      <c r="AC1431" s="24"/>
      <c r="AD1431" s="24"/>
      <c r="AE1431" s="24"/>
      <c r="AF1431" s="24"/>
      <c r="AG1431" s="24"/>
      <c r="AH1431" s="24"/>
    </row>
    <row r="1432" spans="1:34" ht="90" x14ac:dyDescent="0.25">
      <c r="A1432" s="24" t="str">
        <f>HYPERLINK("https://www.cpso.on.ca/DoctorDetails/Marijana-Jovanovic/0265835-92775","Jovanovic, Marijana")</f>
        <v>Jovanovic, Marijana</v>
      </c>
      <c r="B1432" s="25" t="s">
        <v>13794</v>
      </c>
      <c r="C1432" s="24" t="s">
        <v>570</v>
      </c>
      <c r="D1432" s="24" t="s">
        <v>571</v>
      </c>
      <c r="E1432" s="24" t="s">
        <v>29</v>
      </c>
      <c r="F1432" s="24" t="s">
        <v>47</v>
      </c>
      <c r="G1432" s="24" t="s">
        <v>31</v>
      </c>
      <c r="H1432" s="24" t="s">
        <v>10312</v>
      </c>
      <c r="I1432" s="24" t="s">
        <v>13795</v>
      </c>
      <c r="J1432" s="24" t="s">
        <v>7068</v>
      </c>
      <c r="K1432" s="24" t="s">
        <v>5804</v>
      </c>
      <c r="L1432" s="24" t="s">
        <v>84</v>
      </c>
      <c r="M1432" s="15"/>
      <c r="N1432" s="15"/>
      <c r="O1432" s="15" t="s">
        <v>2806</v>
      </c>
      <c r="P1432" s="15" t="s">
        <v>7167</v>
      </c>
      <c r="Q1432" s="15" t="s">
        <v>13796</v>
      </c>
      <c r="R1432" s="15" t="s">
        <v>1706</v>
      </c>
      <c r="S1432" s="24" t="s">
        <v>39</v>
      </c>
      <c r="T1432" s="24" t="s">
        <v>39</v>
      </c>
      <c r="U1432" s="24" t="s">
        <v>39</v>
      </c>
      <c r="V1432" s="24" t="s">
        <v>39</v>
      </c>
      <c r="W1432" s="24"/>
      <c r="X1432" s="24"/>
      <c r="Y1432" s="15"/>
      <c r="Z1432" s="15"/>
      <c r="AA1432" s="24"/>
      <c r="AB1432" s="24"/>
      <c r="AC1432" s="24"/>
      <c r="AD1432" s="24"/>
      <c r="AE1432" s="24"/>
      <c r="AF1432" s="24"/>
      <c r="AG1432" s="24"/>
      <c r="AH1432" s="24"/>
    </row>
    <row r="1433" spans="1:34" ht="105" x14ac:dyDescent="0.25">
      <c r="A1433" s="24" t="str">
        <f>HYPERLINK("https://www.cpso.on.ca/DoctorDetails/Marika-Anne-Louwe-Younker/0250015-88642","Younker, Marika Anne Louwe")</f>
        <v>Younker, Marika Anne Louwe</v>
      </c>
      <c r="B1433" s="25" t="s">
        <v>13797</v>
      </c>
      <c r="C1433" s="24" t="s">
        <v>13798</v>
      </c>
      <c r="D1433" s="24" t="s">
        <v>13799</v>
      </c>
      <c r="E1433" s="24" t="s">
        <v>29</v>
      </c>
      <c r="F1433" s="24" t="s">
        <v>47</v>
      </c>
      <c r="G1433" s="24" t="s">
        <v>813</v>
      </c>
      <c r="H1433" s="24" t="s">
        <v>2356</v>
      </c>
      <c r="I1433" s="24" t="s">
        <v>13800</v>
      </c>
      <c r="J1433" s="24" t="s">
        <v>4719</v>
      </c>
      <c r="K1433" s="24" t="s">
        <v>7085</v>
      </c>
      <c r="L1433" s="24" t="s">
        <v>52</v>
      </c>
      <c r="M1433" s="15"/>
      <c r="N1433" s="15"/>
      <c r="O1433" s="15" t="s">
        <v>271</v>
      </c>
      <c r="P1433" s="15" t="s">
        <v>449</v>
      </c>
      <c r="Q1433" s="15" t="s">
        <v>13801</v>
      </c>
      <c r="R1433" s="15" t="s">
        <v>13802</v>
      </c>
      <c r="S1433" s="24" t="s">
        <v>39</v>
      </c>
      <c r="T1433" s="24" t="s">
        <v>39</v>
      </c>
      <c r="U1433" s="24" t="s">
        <v>39</v>
      </c>
      <c r="V1433" s="24" t="s">
        <v>39</v>
      </c>
      <c r="W1433" s="24" t="s">
        <v>13803</v>
      </c>
      <c r="X1433" s="24" t="s">
        <v>13804</v>
      </c>
      <c r="Y1433" s="15" t="s">
        <v>13805</v>
      </c>
      <c r="Z1433" s="15" t="s">
        <v>13806</v>
      </c>
      <c r="AA1433" s="24"/>
      <c r="AB1433" s="24"/>
      <c r="AC1433" s="24"/>
      <c r="AD1433" s="24"/>
      <c r="AE1433" s="24"/>
      <c r="AF1433" s="24"/>
      <c r="AG1433" s="24"/>
      <c r="AH1433" s="24"/>
    </row>
    <row r="1434" spans="1:34" ht="75" x14ac:dyDescent="0.25">
      <c r="A1434" s="24" t="str">
        <f>HYPERLINK("https://www.cpso.on.ca/DoctorDetails/Marilyn-Beatrice-Thorpe/0043021-56999","Thorpe, Marilyn Beatrice")</f>
        <v>Thorpe, Marilyn Beatrice</v>
      </c>
      <c r="B1434" s="25" t="s">
        <v>13807</v>
      </c>
      <c r="C1434" s="24" t="s">
        <v>9469</v>
      </c>
      <c r="D1434" s="24" t="s">
        <v>13808</v>
      </c>
      <c r="E1434" s="24" t="s">
        <v>29</v>
      </c>
      <c r="F1434" s="24" t="s">
        <v>47</v>
      </c>
      <c r="G1434" s="24" t="s">
        <v>31</v>
      </c>
      <c r="H1434" s="24" t="s">
        <v>4039</v>
      </c>
      <c r="I1434" s="24" t="s">
        <v>13809</v>
      </c>
      <c r="J1434" s="24" t="s">
        <v>13810</v>
      </c>
      <c r="K1434" s="24" t="s">
        <v>13811</v>
      </c>
      <c r="L1434" s="24"/>
      <c r="M1434" s="15"/>
      <c r="N1434" s="15" t="s">
        <v>1370</v>
      </c>
      <c r="O1434" s="15"/>
      <c r="P1434" s="15" t="s">
        <v>1033</v>
      </c>
      <c r="Q1434" s="15" t="s">
        <v>13812</v>
      </c>
      <c r="R1434" s="15" t="s">
        <v>13813</v>
      </c>
      <c r="S1434" s="24" t="s">
        <v>39</v>
      </c>
      <c r="T1434" s="24" t="s">
        <v>39</v>
      </c>
      <c r="U1434" s="24" t="s">
        <v>39</v>
      </c>
      <c r="V1434" s="24" t="s">
        <v>39</v>
      </c>
      <c r="W1434" s="24" t="s">
        <v>13814</v>
      </c>
      <c r="X1434" s="24" t="s">
        <v>13815</v>
      </c>
      <c r="Y1434" s="15"/>
      <c r="Z1434" s="15"/>
      <c r="AA1434" s="24"/>
      <c r="AB1434" s="24"/>
      <c r="AC1434" s="24"/>
      <c r="AD1434" s="24"/>
      <c r="AE1434" s="24"/>
      <c r="AF1434" s="24"/>
      <c r="AG1434" s="24"/>
      <c r="AH1434" s="24"/>
    </row>
    <row r="1435" spans="1:34" ht="30" x14ac:dyDescent="0.25">
      <c r="A1435" s="24" t="str">
        <f>HYPERLINK("https://www.cpso.on.ca/DoctorDetails/Marilyn-Coleraine-Marshall/0028739-33562","Marshall, Marilyn Coleraine")</f>
        <v>Marshall, Marilyn Coleraine</v>
      </c>
      <c r="B1435" s="25" t="s">
        <v>13816</v>
      </c>
      <c r="C1435" s="24" t="s">
        <v>13817</v>
      </c>
      <c r="D1435" s="24" t="s">
        <v>13818</v>
      </c>
      <c r="E1435" s="24" t="s">
        <v>29</v>
      </c>
      <c r="F1435" s="24" t="s">
        <v>47</v>
      </c>
      <c r="G1435" s="24" t="s">
        <v>813</v>
      </c>
      <c r="H1435" s="24" t="s">
        <v>13819</v>
      </c>
      <c r="I1435" s="24" t="s">
        <v>13820</v>
      </c>
      <c r="J1435" s="24" t="s">
        <v>13821</v>
      </c>
      <c r="K1435" s="24" t="s">
        <v>13822</v>
      </c>
      <c r="L1435" s="24" t="s">
        <v>135</v>
      </c>
      <c r="M1435" s="15"/>
      <c r="N1435" s="15"/>
      <c r="O1435" s="15"/>
      <c r="P1435" s="15" t="s">
        <v>13823</v>
      </c>
      <c r="Q1435" s="15"/>
      <c r="R1435" s="15" t="s">
        <v>13824</v>
      </c>
      <c r="S1435" s="24" t="s">
        <v>39</v>
      </c>
      <c r="T1435" s="24" t="s">
        <v>39</v>
      </c>
      <c r="U1435" s="24" t="s">
        <v>39</v>
      </c>
      <c r="V1435" s="24" t="s">
        <v>39</v>
      </c>
      <c r="W1435" s="24" t="s">
        <v>13825</v>
      </c>
      <c r="X1435" s="24" t="s">
        <v>2183</v>
      </c>
      <c r="Y1435" s="15" t="s">
        <v>13826</v>
      </c>
      <c r="Z1435" s="15" t="s">
        <v>13827</v>
      </c>
      <c r="AA1435" s="24"/>
      <c r="AB1435" s="24"/>
      <c r="AC1435" s="24"/>
      <c r="AD1435" s="24"/>
      <c r="AE1435" s="24"/>
      <c r="AF1435" s="24"/>
      <c r="AG1435" s="24"/>
      <c r="AH1435" s="24"/>
    </row>
    <row r="1436" spans="1:34" ht="30" x14ac:dyDescent="0.25">
      <c r="A1436" s="24" t="str">
        <f>HYPERLINK("https://www.cpso.on.ca/DoctorDetails/Marilyn-Isabel-Korzekwa/0037020-50996","Korzekwa, Marilyn Isabel")</f>
        <v>Korzekwa, Marilyn Isabel</v>
      </c>
      <c r="B1436" s="25" t="s">
        <v>13828</v>
      </c>
      <c r="C1436" s="24" t="s">
        <v>3676</v>
      </c>
      <c r="D1436" s="24" t="s">
        <v>2410</v>
      </c>
      <c r="E1436" s="24" t="s">
        <v>29</v>
      </c>
      <c r="F1436" s="24" t="s">
        <v>47</v>
      </c>
      <c r="G1436" s="24" t="s">
        <v>13829</v>
      </c>
      <c r="H1436" s="24" t="s">
        <v>3737</v>
      </c>
      <c r="I1436" s="24" t="s">
        <v>13830</v>
      </c>
      <c r="J1436" s="24" t="s">
        <v>13831</v>
      </c>
      <c r="K1436" s="24" t="s">
        <v>13831</v>
      </c>
      <c r="L1436" s="24" t="s">
        <v>184</v>
      </c>
      <c r="M1436" s="15"/>
      <c r="N1436" s="15"/>
      <c r="O1436" s="15"/>
      <c r="P1436" s="15" t="s">
        <v>122</v>
      </c>
      <c r="Q1436" s="15"/>
      <c r="R1436" s="15" t="s">
        <v>13832</v>
      </c>
      <c r="S1436" s="24" t="s">
        <v>39</v>
      </c>
      <c r="T1436" s="24" t="s">
        <v>39</v>
      </c>
      <c r="U1436" s="24" t="s">
        <v>39</v>
      </c>
      <c r="V1436" s="24" t="s">
        <v>39</v>
      </c>
      <c r="W1436" s="24"/>
      <c r="X1436" s="24"/>
      <c r="Y1436" s="15"/>
      <c r="Z1436" s="15"/>
      <c r="AA1436" s="24"/>
      <c r="AB1436" s="24"/>
      <c r="AC1436" s="24"/>
      <c r="AD1436" s="24"/>
      <c r="AE1436" s="24"/>
      <c r="AF1436" s="24"/>
      <c r="AG1436" s="24"/>
      <c r="AH1436" s="24"/>
    </row>
    <row r="1437" spans="1:34" ht="75" x14ac:dyDescent="0.25">
      <c r="A1437" s="24" t="str">
        <f>HYPERLINK("https://www.cpso.on.ca/DoctorDetails/Marina-Frantseva/0221310-83334","Frantseva, Marina")</f>
        <v>Frantseva, Marina</v>
      </c>
      <c r="B1437" s="25" t="s">
        <v>13833</v>
      </c>
      <c r="C1437" s="24" t="s">
        <v>2342</v>
      </c>
      <c r="D1437" s="24" t="s">
        <v>2343</v>
      </c>
      <c r="E1437" s="24" t="s">
        <v>29</v>
      </c>
      <c r="F1437" s="24" t="s">
        <v>47</v>
      </c>
      <c r="G1437" s="24" t="s">
        <v>873</v>
      </c>
      <c r="H1437" s="24" t="s">
        <v>1756</v>
      </c>
      <c r="I1437" s="24" t="s">
        <v>13834</v>
      </c>
      <c r="J1437" s="24" t="s">
        <v>13835</v>
      </c>
      <c r="K1437" s="24" t="s">
        <v>13836</v>
      </c>
      <c r="L1437" s="24" t="s">
        <v>36</v>
      </c>
      <c r="M1437" s="15" t="s">
        <v>13837</v>
      </c>
      <c r="N1437" s="15"/>
      <c r="O1437" s="15"/>
      <c r="P1437" s="15" t="s">
        <v>2348</v>
      </c>
      <c r="Q1437" s="15" t="s">
        <v>2349</v>
      </c>
      <c r="R1437" s="15" t="s">
        <v>2350</v>
      </c>
      <c r="S1437" s="24" t="s">
        <v>39</v>
      </c>
      <c r="T1437" s="24" t="s">
        <v>39</v>
      </c>
      <c r="U1437" s="24" t="s">
        <v>39</v>
      </c>
      <c r="V1437" s="24" t="s">
        <v>39</v>
      </c>
      <c r="W1437" s="24" t="s">
        <v>13838</v>
      </c>
      <c r="X1437" s="24" t="s">
        <v>13839</v>
      </c>
      <c r="Y1437" s="15" t="s">
        <v>13840</v>
      </c>
      <c r="Z1437" s="15" t="s">
        <v>13841</v>
      </c>
      <c r="AA1437" s="24"/>
      <c r="AB1437" s="24"/>
      <c r="AC1437" s="24"/>
      <c r="AD1437" s="24"/>
      <c r="AE1437" s="24"/>
      <c r="AF1437" s="24"/>
      <c r="AG1437" s="24"/>
      <c r="AH1437" s="24"/>
    </row>
    <row r="1438" spans="1:34" ht="45" x14ac:dyDescent="0.25">
      <c r="A1438" s="24" t="str">
        <f>HYPERLINK("https://www.cpso.on.ca/DoctorDetails/Marina-Josefa-Lizon/0046522-60500","Lizon, Marina Josefa")</f>
        <v>Lizon, Marina Josefa</v>
      </c>
      <c r="B1438" s="25" t="s">
        <v>13842</v>
      </c>
      <c r="C1438" s="24" t="s">
        <v>13843</v>
      </c>
      <c r="D1438" s="24" t="s">
        <v>13844</v>
      </c>
      <c r="E1438" s="24" t="s">
        <v>29</v>
      </c>
      <c r="F1438" s="24" t="s">
        <v>47</v>
      </c>
      <c r="G1438" s="24" t="s">
        <v>115</v>
      </c>
      <c r="H1438" s="24" t="s">
        <v>13845</v>
      </c>
      <c r="I1438" s="24" t="s">
        <v>13846</v>
      </c>
      <c r="J1438" s="24" t="s">
        <v>13847</v>
      </c>
      <c r="K1438" s="24" t="s">
        <v>13848</v>
      </c>
      <c r="L1438" s="24"/>
      <c r="M1438" s="15"/>
      <c r="N1438" s="15" t="s">
        <v>3698</v>
      </c>
      <c r="O1438" s="15"/>
      <c r="P1438" s="15" t="s">
        <v>5402</v>
      </c>
      <c r="Q1438" s="15"/>
      <c r="R1438" s="15" t="s">
        <v>13849</v>
      </c>
      <c r="S1438" s="24" t="s">
        <v>39</v>
      </c>
      <c r="T1438" s="24" t="s">
        <v>39</v>
      </c>
      <c r="U1438" s="24" t="s">
        <v>39</v>
      </c>
      <c r="V1438" s="24" t="s">
        <v>39</v>
      </c>
      <c r="W1438" s="24"/>
      <c r="X1438" s="24"/>
      <c r="Y1438" s="15"/>
      <c r="Z1438" s="15"/>
      <c r="AA1438" s="24"/>
      <c r="AB1438" s="24"/>
      <c r="AC1438" s="24"/>
      <c r="AD1438" s="24"/>
      <c r="AE1438" s="24"/>
      <c r="AF1438" s="24"/>
      <c r="AG1438" s="24"/>
      <c r="AH1438" s="24"/>
    </row>
    <row r="1439" spans="1:34" x14ac:dyDescent="0.25">
      <c r="A1439" s="24" t="str">
        <f>HYPERLINK("https://www.cpso.on.ca/DoctorDetails/Marina-Sokolenko/0297765-104733","Sokolenko, Marina")</f>
        <v>Sokolenko, Marina</v>
      </c>
      <c r="B1439" s="25" t="s">
        <v>13850</v>
      </c>
      <c r="C1439" s="24" t="s">
        <v>13851</v>
      </c>
      <c r="D1439" s="24" t="s">
        <v>13852</v>
      </c>
      <c r="E1439" s="24" t="s">
        <v>29</v>
      </c>
      <c r="F1439" s="24" t="s">
        <v>47</v>
      </c>
      <c r="G1439" s="24" t="s">
        <v>873</v>
      </c>
      <c r="H1439" s="24" t="s">
        <v>13853</v>
      </c>
      <c r="I1439" s="24" t="s">
        <v>13854</v>
      </c>
      <c r="J1439" s="24" t="s">
        <v>13855</v>
      </c>
      <c r="K1439" s="24" t="s">
        <v>13856</v>
      </c>
      <c r="L1439" s="24"/>
      <c r="M1439" s="15"/>
      <c r="N1439" s="15" t="s">
        <v>194</v>
      </c>
      <c r="O1439" s="15"/>
      <c r="P1439" s="15" t="s">
        <v>288</v>
      </c>
      <c r="Q1439" s="15"/>
      <c r="R1439" s="15" t="s">
        <v>13857</v>
      </c>
      <c r="S1439" s="24" t="s">
        <v>39</v>
      </c>
      <c r="T1439" s="24" t="s">
        <v>39</v>
      </c>
      <c r="U1439" s="24" t="s">
        <v>39</v>
      </c>
      <c r="V1439" s="24" t="s">
        <v>39</v>
      </c>
      <c r="W1439" s="24"/>
      <c r="X1439" s="24"/>
      <c r="Y1439" s="15"/>
      <c r="Z1439" s="15"/>
      <c r="AA1439" s="24"/>
      <c r="AB1439" s="24"/>
      <c r="AC1439" s="24"/>
      <c r="AD1439" s="24"/>
      <c r="AE1439" s="24"/>
      <c r="AF1439" s="24"/>
      <c r="AG1439" s="24"/>
      <c r="AH1439" s="24"/>
    </row>
    <row r="1440" spans="1:34" x14ac:dyDescent="0.25">
      <c r="A1440" s="24" t="str">
        <f>HYPERLINK("https://www.cpso.on.ca/DoctorDetails/Marino-Battigelli/0026725-31548","Battigelli, Marino")</f>
        <v>Battigelli, Marino</v>
      </c>
      <c r="B1440" s="25" t="s">
        <v>13858</v>
      </c>
      <c r="C1440" s="24" t="s">
        <v>13859</v>
      </c>
      <c r="D1440" s="24" t="s">
        <v>13860</v>
      </c>
      <c r="E1440" s="24" t="s">
        <v>29</v>
      </c>
      <c r="F1440" s="24" t="s">
        <v>30</v>
      </c>
      <c r="G1440" s="24" t="s">
        <v>31</v>
      </c>
      <c r="H1440" s="24" t="s">
        <v>4935</v>
      </c>
      <c r="I1440" s="24" t="s">
        <v>13861</v>
      </c>
      <c r="J1440" s="24" t="s">
        <v>13862</v>
      </c>
      <c r="K1440" s="24" t="s">
        <v>13863</v>
      </c>
      <c r="L1440" s="24" t="s">
        <v>184</v>
      </c>
      <c r="M1440" s="15" t="s">
        <v>13864</v>
      </c>
      <c r="N1440" s="15"/>
      <c r="O1440" s="15" t="s">
        <v>1572</v>
      </c>
      <c r="P1440" s="15" t="s">
        <v>3299</v>
      </c>
      <c r="Q1440" s="15"/>
      <c r="R1440" s="15" t="s">
        <v>13865</v>
      </c>
      <c r="S1440" s="24" t="s">
        <v>39</v>
      </c>
      <c r="T1440" s="24" t="s">
        <v>39</v>
      </c>
      <c r="U1440" s="24" t="s">
        <v>39</v>
      </c>
      <c r="V1440" s="24" t="s">
        <v>39</v>
      </c>
      <c r="W1440" s="24" t="s">
        <v>13866</v>
      </c>
      <c r="X1440" s="24" t="s">
        <v>13867</v>
      </c>
      <c r="Y1440" s="15" t="s">
        <v>13868</v>
      </c>
      <c r="Z1440" s="15" t="s">
        <v>13869</v>
      </c>
      <c r="AA1440" s="24"/>
      <c r="AB1440" s="24"/>
      <c r="AC1440" s="24"/>
      <c r="AD1440" s="24"/>
      <c r="AE1440" s="24"/>
      <c r="AF1440" s="24"/>
      <c r="AG1440" s="24"/>
      <c r="AH1440" s="24"/>
    </row>
    <row r="1441" spans="1:34" ht="75" x14ac:dyDescent="0.25">
      <c r="A1441" s="24" t="str">
        <f>HYPERLINK("https://www.cpso.on.ca/DoctorDetails/Marion-Keenan-Malone/0288346-100699","Malone, Marion Keenan")</f>
        <v>Malone, Marion Keenan</v>
      </c>
      <c r="B1441" s="25" t="s">
        <v>13870</v>
      </c>
      <c r="C1441" s="24" t="s">
        <v>199</v>
      </c>
      <c r="D1441" s="24" t="s">
        <v>200</v>
      </c>
      <c r="E1441" s="24" t="s">
        <v>29</v>
      </c>
      <c r="F1441" s="24" t="s">
        <v>47</v>
      </c>
      <c r="G1441" s="24" t="s">
        <v>31</v>
      </c>
      <c r="H1441" s="24" t="s">
        <v>201</v>
      </c>
      <c r="I1441" s="24" t="s">
        <v>13871</v>
      </c>
      <c r="J1441" s="24"/>
      <c r="K1441" s="24"/>
      <c r="L1441" s="24" t="s">
        <v>84</v>
      </c>
      <c r="M1441" s="15"/>
      <c r="N1441" s="15"/>
      <c r="O1441" s="15"/>
      <c r="P1441" s="15" t="s">
        <v>205</v>
      </c>
      <c r="Q1441" s="15" t="s">
        <v>13872</v>
      </c>
      <c r="R1441" s="15" t="s">
        <v>207</v>
      </c>
      <c r="S1441" s="24" t="s">
        <v>39</v>
      </c>
      <c r="T1441" s="24" t="s">
        <v>39</v>
      </c>
      <c r="U1441" s="24" t="s">
        <v>39</v>
      </c>
      <c r="V1441" s="24" t="s">
        <v>39</v>
      </c>
      <c r="W1441" s="24"/>
      <c r="X1441" s="24"/>
      <c r="Y1441" s="15"/>
      <c r="Z1441" s="15"/>
      <c r="AA1441" s="24"/>
      <c r="AB1441" s="24"/>
      <c r="AC1441" s="24"/>
      <c r="AD1441" s="24"/>
      <c r="AE1441" s="24"/>
      <c r="AF1441" s="24"/>
      <c r="AG1441" s="24"/>
      <c r="AH1441" s="24"/>
    </row>
    <row r="1442" spans="1:34" ht="30" x14ac:dyDescent="0.25">
      <c r="A1442" s="24" t="str">
        <f>HYPERLINK("https://www.cpso.on.ca/DoctorDetails/Marisa-Derman/0317188-113552","Derman, Marisa")</f>
        <v>Derman, Marisa</v>
      </c>
      <c r="B1442" s="25" t="s">
        <v>13873</v>
      </c>
      <c r="C1442" s="24" t="s">
        <v>13874</v>
      </c>
      <c r="D1442" s="24" t="s">
        <v>13875</v>
      </c>
      <c r="E1442" s="24" t="s">
        <v>29</v>
      </c>
      <c r="F1442" s="24" t="s">
        <v>47</v>
      </c>
      <c r="G1442" s="24" t="s">
        <v>31</v>
      </c>
      <c r="H1442" s="24" t="s">
        <v>13876</v>
      </c>
      <c r="I1442" s="24" t="s">
        <v>13877</v>
      </c>
      <c r="J1442" s="24" t="s">
        <v>13878</v>
      </c>
      <c r="K1442" s="24"/>
      <c r="L1442" s="24" t="s">
        <v>135</v>
      </c>
      <c r="M1442" s="15"/>
      <c r="N1442" s="15"/>
      <c r="O1442" s="15" t="s">
        <v>4950</v>
      </c>
      <c r="P1442" s="15" t="s">
        <v>1074</v>
      </c>
      <c r="Q1442" s="15"/>
      <c r="R1442" s="15" t="s">
        <v>13879</v>
      </c>
      <c r="S1442" s="24" t="s">
        <v>39</v>
      </c>
      <c r="T1442" s="24" t="s">
        <v>39</v>
      </c>
      <c r="U1442" s="24" t="s">
        <v>39</v>
      </c>
      <c r="V1442" s="24" t="s">
        <v>39</v>
      </c>
      <c r="W1442" s="24"/>
      <c r="X1442" s="24"/>
      <c r="Y1442" s="15"/>
      <c r="Z1442" s="15"/>
      <c r="AA1442" s="24"/>
      <c r="AB1442" s="24"/>
      <c r="AC1442" s="24"/>
      <c r="AD1442" s="24"/>
      <c r="AE1442" s="24"/>
      <c r="AF1442" s="24"/>
      <c r="AG1442" s="24"/>
      <c r="AH1442" s="24"/>
    </row>
    <row r="1443" spans="1:34" ht="75" x14ac:dyDescent="0.25">
      <c r="A1443" s="24" t="str">
        <f>HYPERLINK("https://www.cpso.on.ca/DoctorDetails/Marissa-Mei-Ling-Leong/0250158-89084","Leong, Marissa Mei Ling")</f>
        <v>Leong, Marissa Mei Ling</v>
      </c>
      <c r="B1443" s="25" t="s">
        <v>13880</v>
      </c>
      <c r="C1443" s="24" t="s">
        <v>4622</v>
      </c>
      <c r="D1443" s="24" t="s">
        <v>4623</v>
      </c>
      <c r="E1443" s="24" t="s">
        <v>29</v>
      </c>
      <c r="F1443" s="24" t="s">
        <v>47</v>
      </c>
      <c r="G1443" s="24" t="s">
        <v>31</v>
      </c>
      <c r="H1443" s="24" t="s">
        <v>268</v>
      </c>
      <c r="I1443" s="24" t="s">
        <v>13881</v>
      </c>
      <c r="J1443" s="24" t="s">
        <v>1262</v>
      </c>
      <c r="K1443" s="24" t="s">
        <v>13882</v>
      </c>
      <c r="L1443" s="24" t="s">
        <v>52</v>
      </c>
      <c r="M1443" s="15"/>
      <c r="N1443" s="15"/>
      <c r="O1443" s="15" t="s">
        <v>981</v>
      </c>
      <c r="P1443" s="15" t="s">
        <v>3623</v>
      </c>
      <c r="Q1443" s="15" t="s">
        <v>273</v>
      </c>
      <c r="R1443" s="15" t="s">
        <v>13883</v>
      </c>
      <c r="S1443" s="24" t="s">
        <v>39</v>
      </c>
      <c r="T1443" s="24" t="s">
        <v>39</v>
      </c>
      <c r="U1443" s="24" t="s">
        <v>39</v>
      </c>
      <c r="V1443" s="24" t="s">
        <v>39</v>
      </c>
      <c r="W1443" s="24" t="s">
        <v>13884</v>
      </c>
      <c r="X1443" s="24" t="s">
        <v>13885</v>
      </c>
      <c r="Y1443" s="15" t="s">
        <v>13886</v>
      </c>
      <c r="Z1443" s="15" t="s">
        <v>13887</v>
      </c>
      <c r="AA1443" s="24" t="s">
        <v>13888</v>
      </c>
      <c r="AB1443" s="24" t="s">
        <v>13889</v>
      </c>
      <c r="AC1443" s="24" t="s">
        <v>13890</v>
      </c>
      <c r="AD1443" s="24" t="s">
        <v>13891</v>
      </c>
      <c r="AE1443" s="24"/>
      <c r="AF1443" s="24"/>
      <c r="AG1443" s="24"/>
      <c r="AH1443" s="24"/>
    </row>
    <row r="1444" spans="1:34" ht="90" x14ac:dyDescent="0.25">
      <c r="A1444" s="24" t="str">
        <f>HYPERLINK("https://www.cpso.on.ca/DoctorDetails/Mariwan-Hassan-Husni/0053354-67320","Husni, Mariwan Hassan")</f>
        <v>Husni, Mariwan Hassan</v>
      </c>
      <c r="B1444" s="25" t="s">
        <v>13892</v>
      </c>
      <c r="C1444" s="24" t="s">
        <v>13893</v>
      </c>
      <c r="D1444" s="24" t="s">
        <v>13894</v>
      </c>
      <c r="E1444" s="24" t="s">
        <v>29</v>
      </c>
      <c r="F1444" s="24" t="s">
        <v>30</v>
      </c>
      <c r="G1444" s="24" t="s">
        <v>13895</v>
      </c>
      <c r="H1444" s="24" t="s">
        <v>13896</v>
      </c>
      <c r="I1444" s="24" t="s">
        <v>13897</v>
      </c>
      <c r="J1444" s="24" t="s">
        <v>13898</v>
      </c>
      <c r="K1444" s="24" t="s">
        <v>13899</v>
      </c>
      <c r="L1444" s="24" t="s">
        <v>3849</v>
      </c>
      <c r="M1444" s="15"/>
      <c r="N1444" s="15" t="s">
        <v>398</v>
      </c>
      <c r="O1444" s="15" t="s">
        <v>2315</v>
      </c>
      <c r="P1444" s="15" t="s">
        <v>3220</v>
      </c>
      <c r="Q1444" s="15" t="s">
        <v>13900</v>
      </c>
      <c r="R1444" s="15" t="s">
        <v>13901</v>
      </c>
      <c r="S1444" s="24" t="s">
        <v>39</v>
      </c>
      <c r="T1444" s="24" t="s">
        <v>39</v>
      </c>
      <c r="U1444" s="24" t="s">
        <v>39</v>
      </c>
      <c r="V1444" s="24" t="s">
        <v>39</v>
      </c>
      <c r="W1444" s="24"/>
      <c r="X1444" s="24"/>
      <c r="Y1444" s="15"/>
      <c r="Z1444" s="15"/>
      <c r="AA1444" s="24"/>
      <c r="AB1444" s="24"/>
      <c r="AC1444" s="24"/>
      <c r="AD1444" s="24"/>
      <c r="AE1444" s="24"/>
      <c r="AF1444" s="24"/>
      <c r="AG1444" s="24"/>
      <c r="AH1444" s="24"/>
    </row>
    <row r="1445" spans="1:34" ht="45" x14ac:dyDescent="0.25">
      <c r="A1445" s="24" t="str">
        <f>HYPERLINK("https://www.cpso.on.ca/DoctorDetails/Marjorie-Carol-Carew/0036517-50493","Carew, Marjorie Carol")</f>
        <v>Carew, Marjorie Carol</v>
      </c>
      <c r="B1445" s="25" t="s">
        <v>13902</v>
      </c>
      <c r="C1445" s="24" t="s">
        <v>432</v>
      </c>
      <c r="D1445" s="24" t="s">
        <v>433</v>
      </c>
      <c r="E1445" s="24" t="s">
        <v>29</v>
      </c>
      <c r="F1445" s="24" t="s">
        <v>47</v>
      </c>
      <c r="G1445" s="24" t="s">
        <v>31</v>
      </c>
      <c r="H1445" s="24" t="s">
        <v>13903</v>
      </c>
      <c r="I1445" s="24" t="s">
        <v>13904</v>
      </c>
      <c r="J1445" s="24" t="s">
        <v>13905</v>
      </c>
      <c r="K1445" s="24" t="s">
        <v>13906</v>
      </c>
      <c r="L1445" s="24" t="s">
        <v>135</v>
      </c>
      <c r="M1445" s="15"/>
      <c r="N1445" s="15"/>
      <c r="O1445" s="15"/>
      <c r="P1445" s="15" t="s">
        <v>1947</v>
      </c>
      <c r="Q1445" s="15"/>
      <c r="R1445" s="15" t="s">
        <v>13907</v>
      </c>
      <c r="S1445" s="24" t="s">
        <v>39</v>
      </c>
      <c r="T1445" s="24" t="s">
        <v>39</v>
      </c>
      <c r="U1445" s="24" t="s">
        <v>39</v>
      </c>
      <c r="V1445" s="24" t="s">
        <v>39</v>
      </c>
      <c r="W1445" s="24"/>
      <c r="X1445" s="24"/>
      <c r="Y1445" s="15"/>
      <c r="Z1445" s="15"/>
      <c r="AA1445" s="24"/>
      <c r="AB1445" s="24"/>
      <c r="AC1445" s="24"/>
      <c r="AD1445" s="24"/>
      <c r="AE1445" s="24"/>
      <c r="AF1445" s="24"/>
      <c r="AG1445" s="24"/>
      <c r="AH1445" s="24"/>
    </row>
    <row r="1446" spans="1:34" ht="75" x14ac:dyDescent="0.25">
      <c r="A1446" s="24" t="str">
        <f>HYPERLINK("https://www.cpso.on.ca/DoctorDetails/Marjorie-Elizabeth-Robb/0044364-58342","Robb, Marjorie Elizabeth")</f>
        <v>Robb, Marjorie Elizabeth</v>
      </c>
      <c r="B1446" s="25" t="s">
        <v>13908</v>
      </c>
      <c r="C1446" s="24" t="s">
        <v>1609</v>
      </c>
      <c r="D1446" s="24" t="s">
        <v>13909</v>
      </c>
      <c r="E1446" s="15" t="s">
        <v>13910</v>
      </c>
      <c r="F1446" s="24" t="s">
        <v>47</v>
      </c>
      <c r="G1446" s="24" t="s">
        <v>31</v>
      </c>
      <c r="H1446" s="24" t="s">
        <v>13911</v>
      </c>
      <c r="I1446" s="24" t="s">
        <v>13912</v>
      </c>
      <c r="J1446" s="24" t="s">
        <v>5537</v>
      </c>
      <c r="K1446" s="24" t="s">
        <v>5895</v>
      </c>
      <c r="L1446" s="24" t="s">
        <v>84</v>
      </c>
      <c r="M1446" s="15"/>
      <c r="N1446" s="15"/>
      <c r="O1446" s="15" t="s">
        <v>13913</v>
      </c>
      <c r="P1446" s="15" t="s">
        <v>1984</v>
      </c>
      <c r="Q1446" s="15" t="s">
        <v>13914</v>
      </c>
      <c r="R1446" s="15" t="s">
        <v>13915</v>
      </c>
      <c r="S1446" s="24" t="s">
        <v>39</v>
      </c>
      <c r="T1446" s="24" t="s">
        <v>39</v>
      </c>
      <c r="U1446" s="24" t="s">
        <v>39</v>
      </c>
      <c r="V1446" s="24" t="s">
        <v>39</v>
      </c>
      <c r="W1446" s="24" t="s">
        <v>13916</v>
      </c>
      <c r="X1446" s="24" t="s">
        <v>13917</v>
      </c>
      <c r="Y1446" s="15" t="s">
        <v>13918</v>
      </c>
      <c r="Z1446" s="15" t="s">
        <v>13919</v>
      </c>
      <c r="AA1446" s="24"/>
      <c r="AB1446" s="24"/>
      <c r="AC1446" s="24"/>
      <c r="AD1446" s="24"/>
      <c r="AE1446" s="24"/>
      <c r="AF1446" s="24"/>
      <c r="AG1446" s="24"/>
      <c r="AH1446" s="24"/>
    </row>
    <row r="1447" spans="1:34" ht="75" x14ac:dyDescent="0.25">
      <c r="A1447" s="24" t="str">
        <f>HYPERLINK("https://www.cpso.on.ca/DoctorDetails/Mark-Allan-Pearce/0194263-77834","Pearce, Mark Allan")</f>
        <v>Pearce, Mark Allan</v>
      </c>
      <c r="B1447" s="25" t="s">
        <v>13920</v>
      </c>
      <c r="C1447" s="24" t="s">
        <v>921</v>
      </c>
      <c r="D1447" s="24" t="s">
        <v>922</v>
      </c>
      <c r="E1447" s="24" t="s">
        <v>29</v>
      </c>
      <c r="F1447" s="24" t="s">
        <v>30</v>
      </c>
      <c r="G1447" s="24" t="s">
        <v>31</v>
      </c>
      <c r="H1447" s="24" t="s">
        <v>483</v>
      </c>
      <c r="I1447" s="24" t="s">
        <v>13921</v>
      </c>
      <c r="J1447" s="24" t="s">
        <v>13922</v>
      </c>
      <c r="K1447" s="24" t="s">
        <v>13923</v>
      </c>
      <c r="L1447" s="24" t="s">
        <v>52</v>
      </c>
      <c r="M1447" s="15" t="s">
        <v>13924</v>
      </c>
      <c r="N1447" s="15"/>
      <c r="O1447" s="15" t="s">
        <v>12059</v>
      </c>
      <c r="P1447" s="15" t="s">
        <v>13925</v>
      </c>
      <c r="Q1447" s="15" t="s">
        <v>489</v>
      </c>
      <c r="R1447" s="15" t="s">
        <v>929</v>
      </c>
      <c r="S1447" s="24" t="s">
        <v>39</v>
      </c>
      <c r="T1447" s="24" t="s">
        <v>39</v>
      </c>
      <c r="U1447" s="24" t="s">
        <v>39</v>
      </c>
      <c r="V1447" s="24" t="s">
        <v>39</v>
      </c>
      <c r="W1447" s="24" t="s">
        <v>13926</v>
      </c>
      <c r="X1447" s="24" t="s">
        <v>13927</v>
      </c>
      <c r="Y1447" s="15" t="s">
        <v>13928</v>
      </c>
      <c r="Z1447" s="15" t="s">
        <v>13929</v>
      </c>
      <c r="AA1447" s="24"/>
      <c r="AB1447" s="24"/>
      <c r="AC1447" s="24"/>
      <c r="AD1447" s="24"/>
      <c r="AE1447" s="24"/>
      <c r="AF1447" s="24"/>
      <c r="AG1447" s="24"/>
      <c r="AH1447" s="24"/>
    </row>
    <row r="1448" spans="1:34" ht="60" x14ac:dyDescent="0.25">
      <c r="A1448" s="24" t="str">
        <f>HYPERLINK("https://www.cpso.on.ca/DoctorDetails/Mark-Allen-Voysey/0038123-52099","Voysey, Mark Allen")</f>
        <v>Voysey, Mark Allen</v>
      </c>
      <c r="B1448" s="25" t="s">
        <v>13930</v>
      </c>
      <c r="C1448" s="24" t="s">
        <v>3676</v>
      </c>
      <c r="D1448" s="24" t="s">
        <v>7686</v>
      </c>
      <c r="E1448" s="24" t="s">
        <v>29</v>
      </c>
      <c r="F1448" s="24" t="s">
        <v>30</v>
      </c>
      <c r="G1448" s="24" t="s">
        <v>31</v>
      </c>
      <c r="H1448" s="24" t="s">
        <v>13931</v>
      </c>
      <c r="I1448" s="24" t="s">
        <v>13932</v>
      </c>
      <c r="J1448" s="24" t="s">
        <v>13933</v>
      </c>
      <c r="K1448" s="24"/>
      <c r="L1448" s="24" t="s">
        <v>52</v>
      </c>
      <c r="M1448" s="15" t="s">
        <v>13934</v>
      </c>
      <c r="N1448" s="15"/>
      <c r="O1448" s="15"/>
      <c r="P1448" s="15" t="s">
        <v>3443</v>
      </c>
      <c r="Q1448" s="15"/>
      <c r="R1448" s="15" t="s">
        <v>13935</v>
      </c>
      <c r="S1448" s="24" t="s">
        <v>39</v>
      </c>
      <c r="T1448" s="24" t="s">
        <v>39</v>
      </c>
      <c r="U1448" s="24" t="s">
        <v>39</v>
      </c>
      <c r="V1448" s="24" t="s">
        <v>39</v>
      </c>
      <c r="W1448" s="24" t="s">
        <v>13936</v>
      </c>
      <c r="X1448" s="24" t="s">
        <v>13937</v>
      </c>
      <c r="Y1448" s="15" t="s">
        <v>13938</v>
      </c>
      <c r="Z1448" s="15" t="s">
        <v>13939</v>
      </c>
      <c r="AA1448" s="24"/>
      <c r="AB1448" s="24"/>
      <c r="AC1448" s="24"/>
      <c r="AD1448" s="24"/>
      <c r="AE1448" s="24"/>
      <c r="AF1448" s="24"/>
      <c r="AG1448" s="24"/>
      <c r="AH1448" s="24"/>
    </row>
    <row r="1449" spans="1:34" ht="45" x14ac:dyDescent="0.25">
      <c r="A1449" s="24" t="str">
        <f>HYPERLINK("https://www.cpso.on.ca/DoctorDetails/Mark-Andrew-Watling/0173291-74616","Watling, Mark Andrew")</f>
        <v>Watling, Mark Andrew</v>
      </c>
      <c r="B1449" s="25" t="s">
        <v>13940</v>
      </c>
      <c r="C1449" s="24" t="s">
        <v>13941</v>
      </c>
      <c r="D1449" s="24" t="s">
        <v>13942</v>
      </c>
      <c r="E1449" s="24" t="s">
        <v>29</v>
      </c>
      <c r="F1449" s="24" t="s">
        <v>30</v>
      </c>
      <c r="G1449" s="24" t="s">
        <v>31</v>
      </c>
      <c r="H1449" s="24" t="s">
        <v>12180</v>
      </c>
      <c r="I1449" s="24" t="s">
        <v>13943</v>
      </c>
      <c r="J1449" s="24" t="s">
        <v>13944</v>
      </c>
      <c r="K1449" s="24"/>
      <c r="L1449" s="24" t="s">
        <v>135</v>
      </c>
      <c r="M1449" s="15"/>
      <c r="N1449" s="15"/>
      <c r="O1449" s="15" t="s">
        <v>696</v>
      </c>
      <c r="P1449" s="15" t="s">
        <v>5517</v>
      </c>
      <c r="Q1449" s="15"/>
      <c r="R1449" s="15" t="s">
        <v>13945</v>
      </c>
      <c r="S1449" s="24" t="s">
        <v>39</v>
      </c>
      <c r="T1449" s="24" t="s">
        <v>39</v>
      </c>
      <c r="U1449" s="24" t="s">
        <v>39</v>
      </c>
      <c r="V1449" s="24" t="s">
        <v>39</v>
      </c>
      <c r="W1449" s="24" t="s">
        <v>13946</v>
      </c>
      <c r="X1449" s="24" t="s">
        <v>13947</v>
      </c>
      <c r="Y1449" s="15" t="s">
        <v>13948</v>
      </c>
      <c r="Z1449" s="15" t="s">
        <v>13949</v>
      </c>
      <c r="AA1449" s="24"/>
      <c r="AB1449" s="24"/>
      <c r="AC1449" s="24"/>
      <c r="AD1449" s="24"/>
      <c r="AE1449" s="24"/>
      <c r="AF1449" s="24"/>
      <c r="AG1449" s="24"/>
      <c r="AH1449" s="24"/>
    </row>
    <row r="1450" spans="1:34" ht="75" x14ac:dyDescent="0.25">
      <c r="A1450" s="24" t="str">
        <f>HYPERLINK("https://www.cpso.on.ca/DoctorDetails/Mark-David-Fefergrad/0181934-76129","Fefergrad, Mark David")</f>
        <v>Fefergrad, Mark David</v>
      </c>
      <c r="B1450" s="25" t="s">
        <v>13950</v>
      </c>
      <c r="C1450" s="24" t="s">
        <v>13951</v>
      </c>
      <c r="D1450" s="24" t="s">
        <v>13952</v>
      </c>
      <c r="E1450" s="24" t="s">
        <v>29</v>
      </c>
      <c r="F1450" s="24" t="s">
        <v>30</v>
      </c>
      <c r="G1450" s="24" t="s">
        <v>31</v>
      </c>
      <c r="H1450" s="24" t="s">
        <v>7638</v>
      </c>
      <c r="I1450" s="24" t="s">
        <v>13953</v>
      </c>
      <c r="J1450" s="24" t="s">
        <v>6536</v>
      </c>
      <c r="K1450" s="24"/>
      <c r="L1450" s="24" t="s">
        <v>52</v>
      </c>
      <c r="M1450" s="15" t="s">
        <v>13954</v>
      </c>
      <c r="N1450" s="15"/>
      <c r="O1450" s="15" t="s">
        <v>13955</v>
      </c>
      <c r="P1450" s="15" t="s">
        <v>1149</v>
      </c>
      <c r="Q1450" s="15" t="s">
        <v>13956</v>
      </c>
      <c r="R1450" s="15" t="s">
        <v>13957</v>
      </c>
      <c r="S1450" s="24" t="s">
        <v>39</v>
      </c>
      <c r="T1450" s="24" t="s">
        <v>39</v>
      </c>
      <c r="U1450" s="24" t="s">
        <v>39</v>
      </c>
      <c r="V1450" s="24" t="s">
        <v>39</v>
      </c>
      <c r="W1450" s="24" t="s">
        <v>13958</v>
      </c>
      <c r="X1450" s="24" t="s">
        <v>13959</v>
      </c>
      <c r="Y1450" s="15" t="s">
        <v>13960</v>
      </c>
      <c r="Z1450" s="15" t="s">
        <v>13961</v>
      </c>
      <c r="AA1450" s="24"/>
      <c r="AB1450" s="24"/>
      <c r="AC1450" s="24"/>
      <c r="AD1450" s="24"/>
      <c r="AE1450" s="24"/>
      <c r="AF1450" s="24"/>
      <c r="AG1450" s="24"/>
      <c r="AH1450" s="24"/>
    </row>
    <row r="1451" spans="1:34" ht="45" x14ac:dyDescent="0.25">
      <c r="A1451" s="24" t="str">
        <f>HYPERLINK("https://www.cpso.on.ca/DoctorDetails/Mark-David-Gilbert/0023045-27836","Gilbert, Mark David")</f>
        <v>Gilbert, Mark David</v>
      </c>
      <c r="B1451" s="25" t="s">
        <v>13962</v>
      </c>
      <c r="C1451" s="24" t="s">
        <v>13963</v>
      </c>
      <c r="D1451" s="24" t="s">
        <v>13964</v>
      </c>
      <c r="E1451" s="24" t="s">
        <v>29</v>
      </c>
      <c r="F1451" s="24" t="s">
        <v>30</v>
      </c>
      <c r="G1451" s="24" t="s">
        <v>31</v>
      </c>
      <c r="H1451" s="24" t="s">
        <v>11168</v>
      </c>
      <c r="I1451" s="24" t="s">
        <v>13965</v>
      </c>
      <c r="J1451" s="24" t="s">
        <v>13966</v>
      </c>
      <c r="K1451" s="24" t="s">
        <v>13967</v>
      </c>
      <c r="L1451" s="24"/>
      <c r="M1451" s="15"/>
      <c r="N1451" s="15" t="s">
        <v>13968</v>
      </c>
      <c r="O1451" s="15"/>
      <c r="P1451" s="15" t="s">
        <v>12751</v>
      </c>
      <c r="Q1451" s="15"/>
      <c r="R1451" s="15" t="s">
        <v>13969</v>
      </c>
      <c r="S1451" s="24" t="s">
        <v>39</v>
      </c>
      <c r="T1451" s="24" t="s">
        <v>39</v>
      </c>
      <c r="U1451" s="24" t="s">
        <v>39</v>
      </c>
      <c r="V1451" s="24" t="s">
        <v>39</v>
      </c>
      <c r="W1451" s="24"/>
      <c r="X1451" s="24"/>
      <c r="Y1451" s="15"/>
      <c r="Z1451" s="15"/>
      <c r="AA1451" s="24"/>
      <c r="AB1451" s="24"/>
      <c r="AC1451" s="24"/>
      <c r="AD1451" s="24"/>
      <c r="AE1451" s="24"/>
      <c r="AF1451" s="24"/>
      <c r="AG1451" s="24"/>
      <c r="AH1451" s="24"/>
    </row>
    <row r="1452" spans="1:34" ht="30" x14ac:dyDescent="0.25">
      <c r="A1452" s="24" t="str">
        <f>HYPERLINK("https://www.cpso.on.ca/DoctorDetails/Mark-David-Hanson/0028540-33363","Hanson, Mark David")</f>
        <v>Hanson, Mark David</v>
      </c>
      <c r="B1452" s="25" t="s">
        <v>13970</v>
      </c>
      <c r="C1452" s="24" t="s">
        <v>520</v>
      </c>
      <c r="D1452" s="24" t="s">
        <v>13971</v>
      </c>
      <c r="E1452" s="24" t="s">
        <v>29</v>
      </c>
      <c r="F1452" s="24" t="s">
        <v>30</v>
      </c>
      <c r="G1452" s="24" t="s">
        <v>31</v>
      </c>
      <c r="H1452" s="24" t="s">
        <v>2861</v>
      </c>
      <c r="I1452" s="24" t="s">
        <v>13972</v>
      </c>
      <c r="J1452" s="24" t="s">
        <v>13973</v>
      </c>
      <c r="K1452" s="24"/>
      <c r="L1452" s="24" t="s">
        <v>52</v>
      </c>
      <c r="M1452" s="15" t="s">
        <v>13974</v>
      </c>
      <c r="N1452" s="15"/>
      <c r="O1452" s="15" t="s">
        <v>121</v>
      </c>
      <c r="P1452" s="15" t="s">
        <v>2864</v>
      </c>
      <c r="Q1452" s="15"/>
      <c r="R1452" s="15" t="s">
        <v>13975</v>
      </c>
      <c r="S1452" s="24" t="s">
        <v>39</v>
      </c>
      <c r="T1452" s="24" t="s">
        <v>39</v>
      </c>
      <c r="U1452" s="24" t="s">
        <v>39</v>
      </c>
      <c r="V1452" s="24" t="s">
        <v>39</v>
      </c>
      <c r="W1452" s="24"/>
      <c r="X1452" s="24"/>
      <c r="Y1452" s="15"/>
      <c r="Z1452" s="15"/>
      <c r="AA1452" s="24"/>
      <c r="AB1452" s="24"/>
      <c r="AC1452" s="24"/>
      <c r="AD1452" s="24"/>
      <c r="AE1452" s="24"/>
      <c r="AF1452" s="24"/>
      <c r="AG1452" s="24"/>
      <c r="AH1452" s="24"/>
    </row>
    <row r="1453" spans="1:34" ht="60" x14ac:dyDescent="0.25">
      <c r="A1453" s="24" t="str">
        <f>HYPERLINK("https://www.cpso.on.ca/DoctorDetails/Mark-David-Saffer/0023379-28170","Saffer, Mark David")</f>
        <v>Saffer, Mark David</v>
      </c>
      <c r="B1453" s="25" t="s">
        <v>13976</v>
      </c>
      <c r="C1453" s="24" t="s">
        <v>13977</v>
      </c>
      <c r="D1453" s="24" t="s">
        <v>13978</v>
      </c>
      <c r="E1453" s="24" t="s">
        <v>29</v>
      </c>
      <c r="F1453" s="24" t="s">
        <v>30</v>
      </c>
      <c r="G1453" s="24" t="s">
        <v>252</v>
      </c>
      <c r="H1453" s="24" t="s">
        <v>13979</v>
      </c>
      <c r="I1453" s="24" t="s">
        <v>12873</v>
      </c>
      <c r="J1453" s="24" t="s">
        <v>13980</v>
      </c>
      <c r="K1453" s="24" t="s">
        <v>12875</v>
      </c>
      <c r="L1453" s="24" t="s">
        <v>36</v>
      </c>
      <c r="M1453" s="15"/>
      <c r="N1453" s="15"/>
      <c r="O1453" s="15"/>
      <c r="P1453" s="15" t="s">
        <v>6170</v>
      </c>
      <c r="Q1453" s="15" t="s">
        <v>13981</v>
      </c>
      <c r="R1453" s="15" t="s">
        <v>13982</v>
      </c>
      <c r="S1453" s="24" t="s">
        <v>39</v>
      </c>
      <c r="T1453" s="24" t="s">
        <v>39</v>
      </c>
      <c r="U1453" s="24" t="s">
        <v>39</v>
      </c>
      <c r="V1453" s="24" t="s">
        <v>39</v>
      </c>
      <c r="W1453" s="24" t="s">
        <v>12878</v>
      </c>
      <c r="X1453" s="24" t="s">
        <v>12879</v>
      </c>
      <c r="Y1453" s="15" t="s">
        <v>12880</v>
      </c>
      <c r="Z1453" s="15" t="s">
        <v>12881</v>
      </c>
      <c r="AA1453" s="24"/>
      <c r="AB1453" s="24"/>
      <c r="AC1453" s="24"/>
      <c r="AD1453" s="24"/>
      <c r="AE1453" s="24"/>
      <c r="AF1453" s="24"/>
      <c r="AG1453" s="24"/>
      <c r="AH1453" s="24"/>
    </row>
    <row r="1454" spans="1:34" x14ac:dyDescent="0.25">
      <c r="A1454" s="24" t="str">
        <f>HYPERLINK("https://www.cpso.on.ca/DoctorDetails/Mark-Geoffrey-Leith/0027603-32426","Leith, Mark Geoffrey")</f>
        <v>Leith, Mark Geoffrey</v>
      </c>
      <c r="B1454" s="25" t="s">
        <v>13983</v>
      </c>
      <c r="C1454" s="24" t="s">
        <v>7341</v>
      </c>
      <c r="D1454" s="24" t="s">
        <v>7342</v>
      </c>
      <c r="E1454" s="24" t="s">
        <v>29</v>
      </c>
      <c r="F1454" s="24" t="s">
        <v>30</v>
      </c>
      <c r="G1454" s="24" t="s">
        <v>31</v>
      </c>
      <c r="H1454" s="24" t="s">
        <v>13984</v>
      </c>
      <c r="I1454" s="24" t="s">
        <v>13985</v>
      </c>
      <c r="J1454" s="24" t="s">
        <v>13986</v>
      </c>
      <c r="K1454" s="24" t="s">
        <v>13987</v>
      </c>
      <c r="L1454" s="24" t="s">
        <v>52</v>
      </c>
      <c r="M1454" s="15"/>
      <c r="N1454" s="15"/>
      <c r="O1454" s="15"/>
      <c r="P1454" s="15" t="s">
        <v>8792</v>
      </c>
      <c r="Q1454" s="15"/>
      <c r="R1454" s="15" t="s">
        <v>7347</v>
      </c>
      <c r="S1454" s="24" t="s">
        <v>39</v>
      </c>
      <c r="T1454" s="24" t="s">
        <v>39</v>
      </c>
      <c r="U1454" s="24" t="s">
        <v>39</v>
      </c>
      <c r="V1454" s="24" t="s">
        <v>39</v>
      </c>
      <c r="W1454" s="24" t="s">
        <v>13988</v>
      </c>
      <c r="X1454" s="24" t="s">
        <v>13989</v>
      </c>
      <c r="Y1454" s="15" t="s">
        <v>13990</v>
      </c>
      <c r="Z1454" s="15" t="s">
        <v>13991</v>
      </c>
      <c r="AA1454" s="24"/>
      <c r="AB1454" s="24"/>
      <c r="AC1454" s="24"/>
      <c r="AD1454" s="24"/>
      <c r="AE1454" s="24"/>
      <c r="AF1454" s="24"/>
      <c r="AG1454" s="24"/>
      <c r="AH1454" s="24"/>
    </row>
    <row r="1455" spans="1:34" x14ac:dyDescent="0.25">
      <c r="A1455" s="24" t="str">
        <f>HYPERLINK("https://www.cpso.on.ca/DoctorDetails/Mark-Harvey-BenAron/0021083-25871","Ben-Aron, Mark Harvey")</f>
        <v>Ben-Aron, Mark Harvey</v>
      </c>
      <c r="B1455" s="25" t="s">
        <v>13992</v>
      </c>
      <c r="C1455" s="24" t="s">
        <v>13993</v>
      </c>
      <c r="D1455" s="24" t="s">
        <v>13994</v>
      </c>
      <c r="E1455" s="24" t="s">
        <v>29</v>
      </c>
      <c r="F1455" s="24" t="s">
        <v>30</v>
      </c>
      <c r="G1455" s="24" t="s">
        <v>31</v>
      </c>
      <c r="H1455" s="24" t="s">
        <v>7438</v>
      </c>
      <c r="I1455" s="24" t="s">
        <v>13995</v>
      </c>
      <c r="J1455" s="24" t="s">
        <v>13996</v>
      </c>
      <c r="K1455" s="24"/>
      <c r="L1455" s="24" t="s">
        <v>52</v>
      </c>
      <c r="M1455" s="15"/>
      <c r="N1455" s="15"/>
      <c r="O1455" s="15"/>
      <c r="P1455" s="15" t="s">
        <v>727</v>
      </c>
      <c r="Q1455" s="15"/>
      <c r="R1455" s="15" t="s">
        <v>13997</v>
      </c>
      <c r="S1455" s="24" t="s">
        <v>39</v>
      </c>
      <c r="T1455" s="24" t="s">
        <v>39</v>
      </c>
      <c r="U1455" s="24" t="s">
        <v>39</v>
      </c>
      <c r="V1455" s="24" t="s">
        <v>39</v>
      </c>
      <c r="W1455" s="24"/>
      <c r="X1455" s="24"/>
      <c r="Y1455" s="15"/>
      <c r="Z1455" s="15"/>
      <c r="AA1455" s="24"/>
      <c r="AB1455" s="24"/>
      <c r="AC1455" s="24"/>
      <c r="AD1455" s="24"/>
      <c r="AE1455" s="24"/>
      <c r="AF1455" s="24"/>
      <c r="AG1455" s="24"/>
      <c r="AH1455" s="24"/>
    </row>
    <row r="1456" spans="1:34" ht="90" x14ac:dyDescent="0.25">
      <c r="A1456" s="24" t="str">
        <f>HYPERLINK("https://www.cpso.on.ca/DoctorDetails/Mark-Henry-Kaluzienski/0201031-79556","Kaluzienski, Mark Henry")</f>
        <v>Kaluzienski, Mark Henry</v>
      </c>
      <c r="B1456" s="25" t="s">
        <v>13998</v>
      </c>
      <c r="C1456" s="24" t="s">
        <v>13999</v>
      </c>
      <c r="D1456" s="24" t="s">
        <v>14000</v>
      </c>
      <c r="E1456" s="24" t="s">
        <v>29</v>
      </c>
      <c r="F1456" s="24" t="s">
        <v>30</v>
      </c>
      <c r="G1456" s="24" t="s">
        <v>31</v>
      </c>
      <c r="H1456" s="24" t="s">
        <v>5617</v>
      </c>
      <c r="I1456" s="24" t="s">
        <v>7719</v>
      </c>
      <c r="J1456" s="24" t="s">
        <v>3977</v>
      </c>
      <c r="K1456" s="24" t="s">
        <v>3978</v>
      </c>
      <c r="L1456" s="24" t="s">
        <v>84</v>
      </c>
      <c r="M1456" s="15" t="s">
        <v>14001</v>
      </c>
      <c r="N1456" s="15"/>
      <c r="O1456" s="15" t="s">
        <v>711</v>
      </c>
      <c r="P1456" s="15" t="s">
        <v>880</v>
      </c>
      <c r="Q1456" s="15" t="s">
        <v>14002</v>
      </c>
      <c r="R1456" s="15" t="s">
        <v>14003</v>
      </c>
      <c r="S1456" s="24" t="s">
        <v>39</v>
      </c>
      <c r="T1456" s="24" t="s">
        <v>39</v>
      </c>
      <c r="U1456" s="24" t="s">
        <v>39</v>
      </c>
      <c r="V1456" s="24" t="s">
        <v>39</v>
      </c>
      <c r="W1456" s="24"/>
      <c r="X1456" s="24"/>
      <c r="Y1456" s="15"/>
      <c r="Z1456" s="15"/>
      <c r="AA1456" s="24"/>
      <c r="AB1456" s="24"/>
      <c r="AC1456" s="24"/>
      <c r="AD1456" s="24"/>
      <c r="AE1456" s="24"/>
      <c r="AF1456" s="24"/>
      <c r="AG1456" s="24"/>
      <c r="AH1456" s="24"/>
    </row>
    <row r="1457" spans="1:34" ht="90" x14ac:dyDescent="0.25">
      <c r="A1457" s="24" t="str">
        <f>HYPERLINK("https://www.cpso.on.ca/DoctorDetails/Mark-Herbert-Lachmann/0151821-72842","Lachmann, Mark Herbert")</f>
        <v>Lachmann, Mark Herbert</v>
      </c>
      <c r="B1457" s="25" t="s">
        <v>14004</v>
      </c>
      <c r="C1457" s="24" t="s">
        <v>14005</v>
      </c>
      <c r="D1457" s="24" t="s">
        <v>837</v>
      </c>
      <c r="E1457" s="24" t="s">
        <v>29</v>
      </c>
      <c r="F1457" s="24" t="s">
        <v>30</v>
      </c>
      <c r="G1457" s="24" t="s">
        <v>31</v>
      </c>
      <c r="H1457" s="24" t="s">
        <v>14006</v>
      </c>
      <c r="I1457" s="24" t="s">
        <v>14007</v>
      </c>
      <c r="J1457" s="24" t="s">
        <v>14008</v>
      </c>
      <c r="K1457" s="24" t="s">
        <v>14009</v>
      </c>
      <c r="L1457" s="24" t="s">
        <v>52</v>
      </c>
      <c r="M1457" s="15"/>
      <c r="N1457" s="15"/>
      <c r="O1457" s="15" t="s">
        <v>8019</v>
      </c>
      <c r="P1457" s="15" t="s">
        <v>14010</v>
      </c>
      <c r="Q1457" s="15" t="s">
        <v>14011</v>
      </c>
      <c r="R1457" s="15" t="s">
        <v>14012</v>
      </c>
      <c r="S1457" s="24" t="s">
        <v>39</v>
      </c>
      <c r="T1457" s="24" t="s">
        <v>39</v>
      </c>
      <c r="U1457" s="24" t="s">
        <v>39</v>
      </c>
      <c r="V1457" s="24" t="s">
        <v>39</v>
      </c>
      <c r="W1457" s="24" t="s">
        <v>14013</v>
      </c>
      <c r="X1457" s="24" t="s">
        <v>14014</v>
      </c>
      <c r="Y1457" s="15" t="s">
        <v>14015</v>
      </c>
      <c r="Z1457" s="15" t="s">
        <v>14016</v>
      </c>
      <c r="AA1457" s="24"/>
      <c r="AB1457" s="24"/>
      <c r="AC1457" s="24"/>
      <c r="AD1457" s="24"/>
      <c r="AE1457" s="24"/>
      <c r="AF1457" s="24"/>
      <c r="AG1457" s="24"/>
      <c r="AH1457" s="24"/>
    </row>
    <row r="1458" spans="1:34" ht="60" x14ac:dyDescent="0.25">
      <c r="A1458" s="24" t="str">
        <f>HYPERLINK("https://www.cpso.on.ca/DoctorDetails/Mark-Howard-Halman/0044115-58093","Halman, Mark Howard")</f>
        <v>Halman, Mark Howard</v>
      </c>
      <c r="B1458" s="25" t="s">
        <v>14017</v>
      </c>
      <c r="C1458" s="24" t="s">
        <v>1609</v>
      </c>
      <c r="D1458" s="24" t="s">
        <v>14018</v>
      </c>
      <c r="E1458" s="24" t="s">
        <v>29</v>
      </c>
      <c r="F1458" s="24" t="s">
        <v>30</v>
      </c>
      <c r="G1458" s="24" t="s">
        <v>31</v>
      </c>
      <c r="H1458" s="24" t="s">
        <v>2189</v>
      </c>
      <c r="I1458" s="24" t="s">
        <v>14019</v>
      </c>
      <c r="J1458" s="24" t="s">
        <v>1527</v>
      </c>
      <c r="K1458" s="24" t="s">
        <v>1528</v>
      </c>
      <c r="L1458" s="24" t="s">
        <v>52</v>
      </c>
      <c r="M1458" s="15"/>
      <c r="N1458" s="15"/>
      <c r="O1458" s="15" t="s">
        <v>438</v>
      </c>
      <c r="P1458" s="15" t="s">
        <v>1033</v>
      </c>
      <c r="Q1458" s="15" t="s">
        <v>14020</v>
      </c>
      <c r="R1458" s="15" t="s">
        <v>14021</v>
      </c>
      <c r="S1458" s="24" t="s">
        <v>39</v>
      </c>
      <c r="T1458" s="24" t="s">
        <v>39</v>
      </c>
      <c r="U1458" s="24" t="s">
        <v>39</v>
      </c>
      <c r="V1458" s="24" t="s">
        <v>39</v>
      </c>
      <c r="W1458" s="24" t="s">
        <v>14022</v>
      </c>
      <c r="X1458" s="24" t="s">
        <v>14023</v>
      </c>
      <c r="Y1458" s="15" t="s">
        <v>14024</v>
      </c>
      <c r="Z1458" s="15" t="s">
        <v>14025</v>
      </c>
      <c r="AA1458" s="24"/>
      <c r="AB1458" s="24"/>
      <c r="AC1458" s="24"/>
      <c r="AD1458" s="24"/>
      <c r="AE1458" s="24"/>
      <c r="AF1458" s="24"/>
      <c r="AG1458" s="24"/>
      <c r="AH1458" s="24"/>
    </row>
    <row r="1459" spans="1:34" ht="90" x14ac:dyDescent="0.25">
      <c r="A1459" s="24" t="str">
        <f>HYPERLINK("https://www.cpso.on.ca/DoctorDetails/Mark-Jeffrey-Rapoport/0057356-68944","Rapoport, Mark Jeffrey")</f>
        <v>Rapoport, Mark Jeffrey</v>
      </c>
      <c r="B1459" s="25" t="s">
        <v>14026</v>
      </c>
      <c r="C1459" s="24" t="s">
        <v>3831</v>
      </c>
      <c r="D1459" s="24" t="s">
        <v>214</v>
      </c>
      <c r="E1459" s="24" t="s">
        <v>29</v>
      </c>
      <c r="F1459" s="24" t="s">
        <v>30</v>
      </c>
      <c r="G1459" s="24" t="s">
        <v>31</v>
      </c>
      <c r="H1459" s="24" t="s">
        <v>3932</v>
      </c>
      <c r="I1459" s="24" t="s">
        <v>14027</v>
      </c>
      <c r="J1459" s="24" t="s">
        <v>1551</v>
      </c>
      <c r="K1459" s="24"/>
      <c r="L1459" s="24" t="s">
        <v>52</v>
      </c>
      <c r="M1459" s="15"/>
      <c r="N1459" s="15"/>
      <c r="O1459" s="15" t="s">
        <v>1397</v>
      </c>
      <c r="P1459" s="15" t="s">
        <v>1343</v>
      </c>
      <c r="Q1459" s="15" t="s">
        <v>14028</v>
      </c>
      <c r="R1459" s="15" t="s">
        <v>3839</v>
      </c>
      <c r="S1459" s="24" t="s">
        <v>39</v>
      </c>
      <c r="T1459" s="24" t="s">
        <v>39</v>
      </c>
      <c r="U1459" s="24" t="s">
        <v>39</v>
      </c>
      <c r="V1459" s="24" t="s">
        <v>39</v>
      </c>
      <c r="W1459" s="24"/>
      <c r="X1459" s="24"/>
      <c r="Y1459" s="15"/>
      <c r="Z1459" s="15"/>
      <c r="AA1459" s="24"/>
      <c r="AB1459" s="24"/>
      <c r="AC1459" s="24"/>
      <c r="AD1459" s="24"/>
      <c r="AE1459" s="24"/>
      <c r="AF1459" s="24"/>
      <c r="AG1459" s="24"/>
      <c r="AH1459" s="24"/>
    </row>
    <row r="1460" spans="1:34" ht="105" x14ac:dyDescent="0.25">
      <c r="A1460" s="24" t="str">
        <f>HYPERLINK("https://www.cpso.on.ca/DoctorDetails/Mark-Jeremy-Sinyor/0242666-86682","Sinyor, Mark Jeremy")</f>
        <v>Sinyor, Mark Jeremy</v>
      </c>
      <c r="B1460" s="25" t="s">
        <v>14029</v>
      </c>
      <c r="C1460" s="24" t="s">
        <v>1115</v>
      </c>
      <c r="D1460" s="24" t="s">
        <v>1594</v>
      </c>
      <c r="E1460" s="24" t="s">
        <v>29</v>
      </c>
      <c r="F1460" s="24" t="s">
        <v>30</v>
      </c>
      <c r="G1460" s="24" t="s">
        <v>31</v>
      </c>
      <c r="H1460" s="24" t="s">
        <v>4973</v>
      </c>
      <c r="I1460" s="24" t="s">
        <v>14030</v>
      </c>
      <c r="J1460" s="24" t="s">
        <v>12901</v>
      </c>
      <c r="K1460" s="24" t="s">
        <v>2124</v>
      </c>
      <c r="L1460" s="24" t="s">
        <v>52</v>
      </c>
      <c r="M1460" s="15"/>
      <c r="N1460" s="15"/>
      <c r="O1460" s="15" t="s">
        <v>1397</v>
      </c>
      <c r="P1460" s="15" t="s">
        <v>1074</v>
      </c>
      <c r="Q1460" s="15" t="s">
        <v>14031</v>
      </c>
      <c r="R1460" s="15" t="s">
        <v>1602</v>
      </c>
      <c r="S1460" s="24" t="s">
        <v>39</v>
      </c>
      <c r="T1460" s="24" t="s">
        <v>39</v>
      </c>
      <c r="U1460" s="24" t="s">
        <v>39</v>
      </c>
      <c r="V1460" s="24" t="s">
        <v>39</v>
      </c>
      <c r="W1460" s="24"/>
      <c r="X1460" s="24"/>
      <c r="Y1460" s="15"/>
      <c r="Z1460" s="15"/>
      <c r="AA1460" s="24"/>
      <c r="AB1460" s="24"/>
      <c r="AC1460" s="24"/>
      <c r="AD1460" s="24"/>
      <c r="AE1460" s="24"/>
      <c r="AF1460" s="24"/>
      <c r="AG1460" s="24"/>
      <c r="AH1460" s="24"/>
    </row>
    <row r="1461" spans="1:34" ht="30" x14ac:dyDescent="0.25">
      <c r="A1461" s="24" t="str">
        <f>HYPERLINK("https://www.cpso.on.ca/DoctorDetails/Mark-John-Filipczuk/0036572-50548","Filipczuk, Mark John")</f>
        <v>Filipczuk, Mark John</v>
      </c>
      <c r="B1461" s="25" t="s">
        <v>14032</v>
      </c>
      <c r="C1461" s="24" t="s">
        <v>14033</v>
      </c>
      <c r="D1461" s="24" t="s">
        <v>14034</v>
      </c>
      <c r="E1461" s="24" t="s">
        <v>29</v>
      </c>
      <c r="F1461" s="24" t="s">
        <v>30</v>
      </c>
      <c r="G1461" s="24" t="s">
        <v>1657</v>
      </c>
      <c r="H1461" s="24" t="s">
        <v>14035</v>
      </c>
      <c r="I1461" s="24" t="s">
        <v>14036</v>
      </c>
      <c r="J1461" s="24" t="s">
        <v>12987</v>
      </c>
      <c r="K1461" s="24" t="s">
        <v>4720</v>
      </c>
      <c r="L1461" s="24" t="s">
        <v>52</v>
      </c>
      <c r="M1461" s="15"/>
      <c r="N1461" s="15"/>
      <c r="O1461" s="15" t="s">
        <v>271</v>
      </c>
      <c r="P1461" s="15" t="s">
        <v>785</v>
      </c>
      <c r="Q1461" s="15"/>
      <c r="R1461" s="15" t="s">
        <v>14037</v>
      </c>
      <c r="S1461" s="24" t="s">
        <v>39</v>
      </c>
      <c r="T1461" s="24" t="s">
        <v>39</v>
      </c>
      <c r="U1461" s="24" t="s">
        <v>39</v>
      </c>
      <c r="V1461" s="24" t="s">
        <v>39</v>
      </c>
      <c r="W1461" s="24" t="s">
        <v>14038</v>
      </c>
      <c r="X1461" s="24" t="s">
        <v>14039</v>
      </c>
      <c r="Y1461" s="15" t="s">
        <v>14040</v>
      </c>
      <c r="Z1461" s="15" t="s">
        <v>14041</v>
      </c>
      <c r="AA1461" s="24"/>
      <c r="AB1461" s="24"/>
      <c r="AC1461" s="24"/>
      <c r="AD1461" s="24"/>
      <c r="AE1461" s="24"/>
      <c r="AF1461" s="24"/>
      <c r="AG1461" s="24"/>
      <c r="AH1461" s="24"/>
    </row>
    <row r="1462" spans="1:34" ht="30" x14ac:dyDescent="0.25">
      <c r="A1462" s="24" t="str">
        <f>HYPERLINK("https://www.cpso.on.ca/DoctorDetails/Mark-Joseph-Berber/0042595-56573","Berber, Mark Joseph")</f>
        <v>Berber, Mark Joseph</v>
      </c>
      <c r="B1462" s="25" t="s">
        <v>14042</v>
      </c>
      <c r="C1462" s="24" t="s">
        <v>14043</v>
      </c>
      <c r="D1462" s="24" t="s">
        <v>14044</v>
      </c>
      <c r="E1462" s="24" t="s">
        <v>29</v>
      </c>
      <c r="F1462" s="24" t="s">
        <v>30</v>
      </c>
      <c r="G1462" s="24" t="s">
        <v>31</v>
      </c>
      <c r="H1462" s="24" t="s">
        <v>1920</v>
      </c>
      <c r="I1462" s="24" t="s">
        <v>14045</v>
      </c>
      <c r="J1462" s="24" t="s">
        <v>3495</v>
      </c>
      <c r="K1462" s="24" t="s">
        <v>3496</v>
      </c>
      <c r="L1462" s="24" t="s">
        <v>36</v>
      </c>
      <c r="M1462" s="15"/>
      <c r="N1462" s="15"/>
      <c r="O1462" s="15" t="s">
        <v>3497</v>
      </c>
      <c r="P1462" s="15" t="s">
        <v>1094</v>
      </c>
      <c r="Q1462" s="15" t="s">
        <v>14046</v>
      </c>
      <c r="R1462" s="15" t="s">
        <v>14047</v>
      </c>
      <c r="S1462" s="24" t="s">
        <v>39</v>
      </c>
      <c r="T1462" s="24" t="s">
        <v>39</v>
      </c>
      <c r="U1462" s="24" t="s">
        <v>39</v>
      </c>
      <c r="V1462" s="24" t="s">
        <v>39</v>
      </c>
      <c r="W1462" s="24"/>
      <c r="X1462" s="24"/>
      <c r="Y1462" s="15"/>
      <c r="Z1462" s="15"/>
      <c r="AA1462" s="24"/>
      <c r="AB1462" s="24"/>
      <c r="AC1462" s="24"/>
      <c r="AD1462" s="24"/>
      <c r="AE1462" s="24"/>
      <c r="AF1462" s="24"/>
      <c r="AG1462" s="24"/>
      <c r="AH1462" s="24"/>
    </row>
    <row r="1463" spans="1:34" x14ac:dyDescent="0.25">
      <c r="A1463" s="24" t="str">
        <f>HYPERLINK("https://www.cpso.on.ca/DoctorDetails/Mark-Joseph-Irving-Cornfield/0025777-30600","Cornfield, Mark Joseph Irving")</f>
        <v>Cornfield, Mark Joseph Irving</v>
      </c>
      <c r="B1463" s="25" t="s">
        <v>14048</v>
      </c>
      <c r="C1463" s="24" t="s">
        <v>14049</v>
      </c>
      <c r="D1463" s="24" t="s">
        <v>14050</v>
      </c>
      <c r="E1463" s="24" t="s">
        <v>29</v>
      </c>
      <c r="F1463" s="24" t="s">
        <v>30</v>
      </c>
      <c r="G1463" s="24" t="s">
        <v>31</v>
      </c>
      <c r="H1463" s="24" t="s">
        <v>4935</v>
      </c>
      <c r="I1463" s="24" t="s">
        <v>14051</v>
      </c>
      <c r="J1463" s="24" t="s">
        <v>14052</v>
      </c>
      <c r="K1463" s="24" t="s">
        <v>14053</v>
      </c>
      <c r="L1463" s="24" t="s">
        <v>184</v>
      </c>
      <c r="M1463" s="15"/>
      <c r="N1463" s="15"/>
      <c r="O1463" s="15"/>
      <c r="P1463" s="15" t="s">
        <v>14054</v>
      </c>
      <c r="Q1463" s="15" t="s">
        <v>14055</v>
      </c>
      <c r="R1463" s="15" t="s">
        <v>14056</v>
      </c>
      <c r="S1463" s="24" t="s">
        <v>39</v>
      </c>
      <c r="T1463" s="24" t="s">
        <v>39</v>
      </c>
      <c r="U1463" s="24" t="s">
        <v>39</v>
      </c>
      <c r="V1463" s="24" t="s">
        <v>39</v>
      </c>
      <c r="W1463" s="24" t="s">
        <v>14057</v>
      </c>
      <c r="X1463" s="24" t="s">
        <v>7006</v>
      </c>
      <c r="Y1463" s="15" t="s">
        <v>14058</v>
      </c>
      <c r="Z1463" s="15" t="s">
        <v>14059</v>
      </c>
      <c r="AA1463" s="24"/>
      <c r="AB1463" s="24"/>
      <c r="AC1463" s="24"/>
      <c r="AD1463" s="24"/>
      <c r="AE1463" s="24"/>
      <c r="AF1463" s="24"/>
      <c r="AG1463" s="24"/>
      <c r="AH1463" s="24"/>
    </row>
    <row r="1464" spans="1:34" ht="90" x14ac:dyDescent="0.25">
      <c r="A1464" s="24" t="str">
        <f>HYPERLINK("https://www.cpso.on.ca/DoctorDetails/Mark-Reddington/0258168-90533","Reddington, Mark")</f>
        <v>Reddington, Mark</v>
      </c>
      <c r="B1464" s="25" t="s">
        <v>14060</v>
      </c>
      <c r="C1464" s="24" t="s">
        <v>14061</v>
      </c>
      <c r="D1464" s="24" t="s">
        <v>14062</v>
      </c>
      <c r="E1464" s="24" t="s">
        <v>29</v>
      </c>
      <c r="F1464" s="24" t="s">
        <v>30</v>
      </c>
      <c r="G1464" s="24" t="s">
        <v>31</v>
      </c>
      <c r="H1464" s="24" t="s">
        <v>8705</v>
      </c>
      <c r="I1464" s="24" t="s">
        <v>14063</v>
      </c>
      <c r="J1464" s="24" t="s">
        <v>14064</v>
      </c>
      <c r="K1464" s="24" t="s">
        <v>14065</v>
      </c>
      <c r="L1464" s="24" t="s">
        <v>135</v>
      </c>
      <c r="M1464" s="15"/>
      <c r="N1464" s="15"/>
      <c r="O1464" s="15" t="s">
        <v>14066</v>
      </c>
      <c r="P1464" s="15" t="s">
        <v>14067</v>
      </c>
      <c r="Q1464" s="15" t="s">
        <v>14068</v>
      </c>
      <c r="R1464" s="15" t="s">
        <v>14069</v>
      </c>
      <c r="S1464" s="24" t="s">
        <v>39</v>
      </c>
      <c r="T1464" s="24" t="s">
        <v>39</v>
      </c>
      <c r="U1464" s="24" t="s">
        <v>39</v>
      </c>
      <c r="V1464" s="24" t="s">
        <v>39</v>
      </c>
      <c r="W1464" s="24" t="s">
        <v>14070</v>
      </c>
      <c r="X1464" s="24" t="s">
        <v>11358</v>
      </c>
      <c r="Y1464" s="15" t="s">
        <v>14071</v>
      </c>
      <c r="Z1464" s="15" t="s">
        <v>14072</v>
      </c>
      <c r="AA1464" s="24"/>
      <c r="AB1464" s="24"/>
      <c r="AC1464" s="24"/>
      <c r="AD1464" s="24"/>
      <c r="AE1464" s="24"/>
      <c r="AF1464" s="24"/>
      <c r="AG1464" s="24"/>
      <c r="AH1464" s="24"/>
    </row>
    <row r="1465" spans="1:34" ht="90" x14ac:dyDescent="0.25">
      <c r="A1465" s="24" t="str">
        <f>HYPERLINK("https://www.cpso.on.ca/DoctorDetails/Mark-Reuben-Katz/0044264-58242","Katz, Mark Reuben")</f>
        <v>Katz, Mark Reuben</v>
      </c>
      <c r="B1465" s="25" t="s">
        <v>14073</v>
      </c>
      <c r="C1465" s="24" t="s">
        <v>1609</v>
      </c>
      <c r="D1465" s="24" t="s">
        <v>14074</v>
      </c>
      <c r="E1465" s="24" t="s">
        <v>29</v>
      </c>
      <c r="F1465" s="24" t="s">
        <v>30</v>
      </c>
      <c r="G1465" s="24" t="s">
        <v>31</v>
      </c>
      <c r="H1465" s="24" t="s">
        <v>2189</v>
      </c>
      <c r="I1465" s="24" t="s">
        <v>14075</v>
      </c>
      <c r="J1465" s="24" t="s">
        <v>14076</v>
      </c>
      <c r="K1465" s="24" t="s">
        <v>14077</v>
      </c>
      <c r="L1465" s="24" t="s">
        <v>36</v>
      </c>
      <c r="M1465" s="15"/>
      <c r="N1465" s="15"/>
      <c r="O1465" s="15" t="s">
        <v>4094</v>
      </c>
      <c r="P1465" s="15" t="s">
        <v>1842</v>
      </c>
      <c r="Q1465" s="15" t="s">
        <v>14078</v>
      </c>
      <c r="R1465" s="15" t="s">
        <v>14079</v>
      </c>
      <c r="S1465" s="24" t="s">
        <v>39</v>
      </c>
      <c r="T1465" s="24" t="s">
        <v>39</v>
      </c>
      <c r="U1465" s="24" t="s">
        <v>39</v>
      </c>
      <c r="V1465" s="24" t="s">
        <v>39</v>
      </c>
      <c r="W1465" s="24" t="s">
        <v>14080</v>
      </c>
      <c r="X1465" s="24" t="s">
        <v>13679</v>
      </c>
      <c r="Y1465" s="15" t="s">
        <v>14081</v>
      </c>
      <c r="Z1465" s="15" t="s">
        <v>14082</v>
      </c>
      <c r="AA1465" s="24"/>
      <c r="AB1465" s="24"/>
      <c r="AC1465" s="24"/>
      <c r="AD1465" s="24"/>
      <c r="AE1465" s="24"/>
      <c r="AF1465" s="24"/>
      <c r="AG1465" s="24"/>
      <c r="AH1465" s="24"/>
    </row>
    <row r="1466" spans="1:34" ht="120" x14ac:dyDescent="0.25">
      <c r="A1466" s="24" t="str">
        <f>HYPERLINK("https://www.cpso.on.ca/DoctorDetails/Mark-Robert-Gerald-Bennett/0257531-91065","Bennett, Mark Robert Gerald")</f>
        <v>Bennett, Mark Robert Gerald</v>
      </c>
      <c r="B1466" s="25" t="s">
        <v>14083</v>
      </c>
      <c r="C1466" s="24" t="s">
        <v>14084</v>
      </c>
      <c r="D1466" s="24" t="s">
        <v>14085</v>
      </c>
      <c r="E1466" s="24" t="s">
        <v>29</v>
      </c>
      <c r="F1466" s="24" t="s">
        <v>30</v>
      </c>
      <c r="G1466" s="24" t="s">
        <v>31</v>
      </c>
      <c r="H1466" s="24" t="s">
        <v>3790</v>
      </c>
      <c r="I1466" s="24" t="s">
        <v>14086</v>
      </c>
      <c r="J1466" s="24" t="s">
        <v>14087</v>
      </c>
      <c r="K1466" s="24"/>
      <c r="L1466" s="24" t="s">
        <v>184</v>
      </c>
      <c r="M1466" s="15" t="s">
        <v>14088</v>
      </c>
      <c r="N1466" s="15"/>
      <c r="O1466" s="15" t="s">
        <v>10324</v>
      </c>
      <c r="P1466" s="15" t="s">
        <v>14089</v>
      </c>
      <c r="Q1466" s="15" t="s">
        <v>14090</v>
      </c>
      <c r="R1466" s="15" t="s">
        <v>14091</v>
      </c>
      <c r="S1466" s="24" t="s">
        <v>39</v>
      </c>
      <c r="T1466" s="24" t="s">
        <v>39</v>
      </c>
      <c r="U1466" s="24" t="s">
        <v>39</v>
      </c>
      <c r="V1466" s="24" t="s">
        <v>39</v>
      </c>
      <c r="W1466" s="24" t="s">
        <v>14092</v>
      </c>
      <c r="X1466" s="24" t="s">
        <v>11720</v>
      </c>
      <c r="Y1466" s="15" t="s">
        <v>14093</v>
      </c>
      <c r="Z1466" s="15" t="s">
        <v>14086</v>
      </c>
      <c r="AA1466" s="24"/>
      <c r="AB1466" s="24"/>
      <c r="AC1466" s="24"/>
      <c r="AD1466" s="24"/>
      <c r="AE1466" s="24"/>
      <c r="AF1466" s="24"/>
      <c r="AG1466" s="24"/>
      <c r="AH1466" s="24"/>
    </row>
    <row r="1467" spans="1:34" ht="75" x14ac:dyDescent="0.25">
      <c r="A1467" s="24" t="str">
        <f>HYPERLINK("https://www.cpso.on.ca/DoctorDetails/Mark-Stuart-Rhyno/0257411-90634","Rhyno, Mark Stuart")</f>
        <v>Rhyno, Mark Stuart</v>
      </c>
      <c r="B1467" s="25" t="s">
        <v>14094</v>
      </c>
      <c r="C1467" s="24" t="s">
        <v>14095</v>
      </c>
      <c r="D1467" s="24" t="s">
        <v>14096</v>
      </c>
      <c r="E1467" s="24" t="s">
        <v>29</v>
      </c>
      <c r="F1467" s="24" t="s">
        <v>30</v>
      </c>
      <c r="G1467" s="24" t="s">
        <v>31</v>
      </c>
      <c r="H1467" s="24" t="s">
        <v>4225</v>
      </c>
      <c r="I1467" s="24" t="s">
        <v>14097</v>
      </c>
      <c r="J1467" s="24" t="s">
        <v>14098</v>
      </c>
      <c r="K1467" s="24" t="s">
        <v>14099</v>
      </c>
      <c r="L1467" s="24" t="s">
        <v>152</v>
      </c>
      <c r="M1467" s="15"/>
      <c r="N1467" s="15"/>
      <c r="O1467" s="15" t="s">
        <v>7014</v>
      </c>
      <c r="P1467" s="15" t="s">
        <v>449</v>
      </c>
      <c r="Q1467" s="15" t="s">
        <v>6651</v>
      </c>
      <c r="R1467" s="15" t="s">
        <v>14100</v>
      </c>
      <c r="S1467" s="24" t="s">
        <v>39</v>
      </c>
      <c r="T1467" s="24" t="s">
        <v>39</v>
      </c>
      <c r="U1467" s="24" t="s">
        <v>39</v>
      </c>
      <c r="V1467" s="24" t="s">
        <v>39</v>
      </c>
      <c r="W1467" s="24"/>
      <c r="X1467" s="24"/>
      <c r="Y1467" s="15"/>
      <c r="Z1467" s="15"/>
      <c r="AA1467" s="24"/>
      <c r="AB1467" s="24"/>
      <c r="AC1467" s="24"/>
      <c r="AD1467" s="24"/>
      <c r="AE1467" s="24"/>
      <c r="AF1467" s="24"/>
      <c r="AG1467" s="24"/>
      <c r="AH1467" s="24"/>
    </row>
    <row r="1468" spans="1:34" ht="30" x14ac:dyDescent="0.25">
      <c r="A1468" s="24" t="str">
        <f>HYPERLINK("https://www.cpso.on.ca/DoctorDetails/Mark-Teplitsky/0021769-26558","Teplitsky, Mark")</f>
        <v>Teplitsky, Mark</v>
      </c>
      <c r="B1468" s="25" t="s">
        <v>14101</v>
      </c>
      <c r="C1468" s="24" t="s">
        <v>14102</v>
      </c>
      <c r="D1468" s="24" t="s">
        <v>14103</v>
      </c>
      <c r="E1468" s="24" t="s">
        <v>29</v>
      </c>
      <c r="F1468" s="24" t="s">
        <v>30</v>
      </c>
      <c r="G1468" s="24" t="s">
        <v>31</v>
      </c>
      <c r="H1468" s="24" t="s">
        <v>2926</v>
      </c>
      <c r="I1468" s="24" t="s">
        <v>14104</v>
      </c>
      <c r="J1468" s="24" t="s">
        <v>14105</v>
      </c>
      <c r="K1468" s="24" t="s">
        <v>14106</v>
      </c>
      <c r="L1468" s="24" t="s">
        <v>52</v>
      </c>
      <c r="M1468" s="15"/>
      <c r="N1468" s="15"/>
      <c r="O1468" s="15" t="s">
        <v>1191</v>
      </c>
      <c r="P1468" s="15" t="s">
        <v>8878</v>
      </c>
      <c r="Q1468" s="15"/>
      <c r="R1468" s="15" t="s">
        <v>14107</v>
      </c>
      <c r="S1468" s="24" t="s">
        <v>39</v>
      </c>
      <c r="T1468" s="24" t="s">
        <v>39</v>
      </c>
      <c r="U1468" s="24" t="s">
        <v>39</v>
      </c>
      <c r="V1468" s="24" t="s">
        <v>39</v>
      </c>
      <c r="W1468" s="24"/>
      <c r="X1468" s="24"/>
      <c r="Y1468" s="15"/>
      <c r="Z1468" s="15"/>
      <c r="AA1468" s="24"/>
      <c r="AB1468" s="24"/>
      <c r="AC1468" s="24"/>
      <c r="AD1468" s="24"/>
      <c r="AE1468" s="24"/>
      <c r="AF1468" s="24"/>
      <c r="AG1468" s="24"/>
      <c r="AH1468" s="24"/>
    </row>
    <row r="1469" spans="1:34" ht="60" x14ac:dyDescent="0.25">
      <c r="A1469" s="24" t="str">
        <f>HYPERLINK("https://www.cpso.on.ca/DoctorDetails/Mark-Tourneur-RodwayNorman/0046167-60145","Rodway-Norman, Mark Tourneur")</f>
        <v>Rodway-Norman, Mark Tourneur</v>
      </c>
      <c r="B1469" s="25" t="s">
        <v>14108</v>
      </c>
      <c r="C1469" s="24" t="s">
        <v>12297</v>
      </c>
      <c r="D1469" s="24" t="s">
        <v>14109</v>
      </c>
      <c r="E1469" s="24" t="s">
        <v>29</v>
      </c>
      <c r="F1469" s="24" t="s">
        <v>30</v>
      </c>
      <c r="G1469" s="24" t="s">
        <v>31</v>
      </c>
      <c r="H1469" s="24" t="s">
        <v>1197</v>
      </c>
      <c r="I1469" s="24" t="s">
        <v>14110</v>
      </c>
      <c r="J1469" s="24" t="s">
        <v>14111</v>
      </c>
      <c r="K1469" s="24"/>
      <c r="L1469" s="24" t="s">
        <v>36</v>
      </c>
      <c r="M1469" s="15"/>
      <c r="N1469" s="15"/>
      <c r="O1469" s="15" t="s">
        <v>6086</v>
      </c>
      <c r="P1469" s="15" t="s">
        <v>617</v>
      </c>
      <c r="Q1469" s="15" t="s">
        <v>7589</v>
      </c>
      <c r="R1469" s="15" t="s">
        <v>14112</v>
      </c>
      <c r="S1469" s="24" t="s">
        <v>39</v>
      </c>
      <c r="T1469" s="24" t="s">
        <v>39</v>
      </c>
      <c r="U1469" s="24" t="s">
        <v>39</v>
      </c>
      <c r="V1469" s="24" t="s">
        <v>71</v>
      </c>
      <c r="W1469" s="24" t="s">
        <v>14113</v>
      </c>
      <c r="X1469" s="24" t="s">
        <v>14114</v>
      </c>
      <c r="Y1469" s="15" t="s">
        <v>14115</v>
      </c>
      <c r="Z1469" s="15" t="s">
        <v>14116</v>
      </c>
      <c r="AA1469" s="24"/>
      <c r="AB1469" s="24"/>
      <c r="AC1469" s="24"/>
      <c r="AD1469" s="24"/>
      <c r="AE1469" s="24"/>
      <c r="AF1469" s="24"/>
      <c r="AG1469" s="24"/>
      <c r="AH1469" s="24"/>
    </row>
    <row r="1470" spans="1:34" ht="30" x14ac:dyDescent="0.25">
      <c r="A1470" s="24" t="str">
        <f>HYPERLINK("https://www.cpso.on.ca/DoctorDetails/Marla-Lee-Freedman/0036616-50592","Freedman, Marla Lee")</f>
        <v>Freedman, Marla Lee</v>
      </c>
      <c r="B1470" s="25" t="s">
        <v>14117</v>
      </c>
      <c r="C1470" s="24" t="s">
        <v>3746</v>
      </c>
      <c r="D1470" s="24" t="s">
        <v>13100</v>
      </c>
      <c r="E1470" s="24" t="s">
        <v>29</v>
      </c>
      <c r="F1470" s="24" t="s">
        <v>47</v>
      </c>
      <c r="G1470" s="24" t="s">
        <v>31</v>
      </c>
      <c r="H1470" s="24" t="s">
        <v>1417</v>
      </c>
      <c r="I1470" s="24" t="s">
        <v>14118</v>
      </c>
      <c r="J1470" s="24" t="s">
        <v>14119</v>
      </c>
      <c r="K1470" s="24" t="s">
        <v>14120</v>
      </c>
      <c r="L1470" s="24" t="s">
        <v>52</v>
      </c>
      <c r="M1470" s="15"/>
      <c r="N1470" s="15"/>
      <c r="O1470" s="15"/>
      <c r="P1470" s="15" t="s">
        <v>5827</v>
      </c>
      <c r="Q1470" s="15"/>
      <c r="R1470" s="15" t="s">
        <v>14121</v>
      </c>
      <c r="S1470" s="24" t="s">
        <v>39</v>
      </c>
      <c r="T1470" s="24" t="s">
        <v>39</v>
      </c>
      <c r="U1470" s="24" t="s">
        <v>39</v>
      </c>
      <c r="V1470" s="24" t="s">
        <v>39</v>
      </c>
      <c r="W1470" s="24" t="s">
        <v>14122</v>
      </c>
      <c r="X1470" s="24" t="s">
        <v>14123</v>
      </c>
      <c r="Y1470" s="15" t="s">
        <v>14124</v>
      </c>
      <c r="Z1470" s="15" t="s">
        <v>14125</v>
      </c>
      <c r="AA1470" s="24"/>
      <c r="AB1470" s="24"/>
      <c r="AC1470" s="24"/>
      <c r="AD1470" s="24"/>
      <c r="AE1470" s="24"/>
      <c r="AF1470" s="24"/>
      <c r="AG1470" s="24"/>
      <c r="AH1470" s="24"/>
    </row>
    <row r="1471" spans="1:34" ht="30" x14ac:dyDescent="0.25">
      <c r="A1471" s="24" t="str">
        <f>HYPERLINK("https://www.cpso.on.ca/DoctorDetails/Marlinda-Brigida-Freire/0026958-31781","Freire, Marlinda Brigida")</f>
        <v>Freire, Marlinda Brigida</v>
      </c>
      <c r="B1471" s="25" t="s">
        <v>14126</v>
      </c>
      <c r="C1471" s="24" t="s">
        <v>6956</v>
      </c>
      <c r="D1471" s="24" t="s">
        <v>14127</v>
      </c>
      <c r="E1471" s="24" t="s">
        <v>29</v>
      </c>
      <c r="F1471" s="24" t="s">
        <v>47</v>
      </c>
      <c r="G1471" s="24" t="s">
        <v>115</v>
      </c>
      <c r="H1471" s="24" t="s">
        <v>14128</v>
      </c>
      <c r="I1471" s="24" t="s">
        <v>14129</v>
      </c>
      <c r="J1471" s="24" t="s">
        <v>14130</v>
      </c>
      <c r="K1471" s="24" t="s">
        <v>14130</v>
      </c>
      <c r="L1471" s="24" t="s">
        <v>52</v>
      </c>
      <c r="M1471" s="15" t="s">
        <v>14131</v>
      </c>
      <c r="N1471" s="15"/>
      <c r="O1471" s="15"/>
      <c r="P1471" s="15" t="s">
        <v>3299</v>
      </c>
      <c r="Q1471" s="15"/>
      <c r="R1471" s="15" t="s">
        <v>14132</v>
      </c>
      <c r="S1471" s="24" t="s">
        <v>39</v>
      </c>
      <c r="T1471" s="24" t="s">
        <v>39</v>
      </c>
      <c r="U1471" s="24" t="s">
        <v>39</v>
      </c>
      <c r="V1471" s="24" t="s">
        <v>39</v>
      </c>
      <c r="W1471" s="24"/>
      <c r="X1471" s="24"/>
      <c r="Y1471" s="15"/>
      <c r="Z1471" s="15"/>
      <c r="AA1471" s="24"/>
      <c r="AB1471" s="24"/>
      <c r="AC1471" s="24"/>
      <c r="AD1471" s="24"/>
      <c r="AE1471" s="24"/>
      <c r="AF1471" s="24"/>
      <c r="AG1471" s="24"/>
      <c r="AH1471" s="24"/>
    </row>
    <row r="1472" spans="1:34" ht="30" x14ac:dyDescent="0.25">
      <c r="A1472" s="24" t="str">
        <f>HYPERLINK("https://www.cpso.on.ca/DoctorDetails/Marsha-Heather-Rosenberg/0044673-58651","Rosenberg, Marsha Heather")</f>
        <v>Rosenberg, Marsha Heather</v>
      </c>
      <c r="B1472" s="25" t="s">
        <v>14133</v>
      </c>
      <c r="C1472" s="24" t="s">
        <v>3161</v>
      </c>
      <c r="D1472" s="24" t="s">
        <v>14134</v>
      </c>
      <c r="E1472" s="24" t="s">
        <v>14135</v>
      </c>
      <c r="F1472" s="24" t="s">
        <v>47</v>
      </c>
      <c r="G1472" s="24" t="s">
        <v>31</v>
      </c>
      <c r="H1472" s="24" t="s">
        <v>8394</v>
      </c>
      <c r="I1472" s="24" t="s">
        <v>14136</v>
      </c>
      <c r="J1472" s="24" t="s">
        <v>11962</v>
      </c>
      <c r="K1472" s="24" t="s">
        <v>3920</v>
      </c>
      <c r="L1472" s="24" t="s">
        <v>52</v>
      </c>
      <c r="M1472" s="15"/>
      <c r="N1472" s="15"/>
      <c r="O1472" s="15" t="s">
        <v>3921</v>
      </c>
      <c r="P1472" s="15" t="s">
        <v>14137</v>
      </c>
      <c r="Q1472" s="15" t="s">
        <v>14138</v>
      </c>
      <c r="R1472" s="15" t="s">
        <v>14139</v>
      </c>
      <c r="S1472" s="24" t="s">
        <v>39</v>
      </c>
      <c r="T1472" s="24" t="s">
        <v>39</v>
      </c>
      <c r="U1472" s="24" t="s">
        <v>39</v>
      </c>
      <c r="V1472" s="24" t="s">
        <v>39</v>
      </c>
      <c r="W1472" s="24"/>
      <c r="X1472" s="24"/>
      <c r="Y1472" s="15"/>
      <c r="Z1472" s="15"/>
      <c r="AA1472" s="24"/>
      <c r="AB1472" s="24"/>
      <c r="AC1472" s="24"/>
      <c r="AD1472" s="24"/>
      <c r="AE1472" s="24"/>
      <c r="AF1472" s="24"/>
      <c r="AG1472" s="24"/>
      <c r="AH1472" s="24"/>
    </row>
    <row r="1473" spans="1:34" x14ac:dyDescent="0.25">
      <c r="A1473" s="24" t="str">
        <f>HYPERLINK("https://www.cpso.on.ca/DoctorDetails/Marshall-Steven-Korenblum/0023552-28344","Korenblum, Marshall Steven")</f>
        <v>Korenblum, Marshall Steven</v>
      </c>
      <c r="B1473" s="25" t="s">
        <v>14140</v>
      </c>
      <c r="C1473" s="24" t="s">
        <v>14141</v>
      </c>
      <c r="D1473" s="24" t="s">
        <v>14142</v>
      </c>
      <c r="E1473" s="24" t="s">
        <v>29</v>
      </c>
      <c r="F1473" s="24" t="s">
        <v>30</v>
      </c>
      <c r="G1473" s="24" t="s">
        <v>31</v>
      </c>
      <c r="H1473" s="24" t="s">
        <v>8769</v>
      </c>
      <c r="I1473" s="24" t="s">
        <v>12491</v>
      </c>
      <c r="J1473" s="24" t="s">
        <v>14143</v>
      </c>
      <c r="K1473" s="24" t="s">
        <v>14144</v>
      </c>
      <c r="L1473" s="24" t="s">
        <v>52</v>
      </c>
      <c r="M1473" s="15" t="s">
        <v>14145</v>
      </c>
      <c r="N1473" s="15"/>
      <c r="O1473" s="15" t="s">
        <v>1397</v>
      </c>
      <c r="P1473" s="15" t="s">
        <v>541</v>
      </c>
      <c r="Q1473" s="15"/>
      <c r="R1473" s="15" t="s">
        <v>14146</v>
      </c>
      <c r="S1473" s="24" t="s">
        <v>39</v>
      </c>
      <c r="T1473" s="24" t="s">
        <v>39</v>
      </c>
      <c r="U1473" s="24" t="s">
        <v>39</v>
      </c>
      <c r="V1473" s="24" t="s">
        <v>39</v>
      </c>
      <c r="W1473" s="24"/>
      <c r="X1473" s="24"/>
      <c r="Y1473" s="15"/>
      <c r="Z1473" s="15"/>
      <c r="AA1473" s="24"/>
      <c r="AB1473" s="24"/>
      <c r="AC1473" s="24"/>
      <c r="AD1473" s="24"/>
      <c r="AE1473" s="24"/>
      <c r="AF1473" s="24"/>
      <c r="AG1473" s="24"/>
      <c r="AH1473" s="24"/>
    </row>
    <row r="1474" spans="1:34" ht="105" x14ac:dyDescent="0.25">
      <c r="A1474" s="24" t="str">
        <f>HYPERLINK("https://www.cpso.on.ca/DoctorDetails/Marta-Novak/0202720-78982","Novak, Marta")</f>
        <v>Novak, Marta</v>
      </c>
      <c r="B1474" s="25" t="s">
        <v>14147</v>
      </c>
      <c r="C1474" s="24" t="s">
        <v>14148</v>
      </c>
      <c r="D1474" s="24" t="s">
        <v>14149</v>
      </c>
      <c r="E1474" s="24" t="s">
        <v>29</v>
      </c>
      <c r="F1474" s="24" t="s">
        <v>47</v>
      </c>
      <c r="G1474" s="24" t="s">
        <v>12746</v>
      </c>
      <c r="H1474" s="24" t="s">
        <v>14150</v>
      </c>
      <c r="I1474" s="24" t="s">
        <v>14151</v>
      </c>
      <c r="J1474" s="24" t="s">
        <v>14152</v>
      </c>
      <c r="K1474" s="24" t="s">
        <v>486</v>
      </c>
      <c r="L1474" s="24" t="s">
        <v>52</v>
      </c>
      <c r="M1474" s="15"/>
      <c r="N1474" s="15"/>
      <c r="O1474" s="15" t="s">
        <v>1867</v>
      </c>
      <c r="P1474" s="15" t="s">
        <v>14153</v>
      </c>
      <c r="Q1474" s="15" t="s">
        <v>14154</v>
      </c>
      <c r="R1474" s="15" t="s">
        <v>14155</v>
      </c>
      <c r="S1474" s="24" t="s">
        <v>71</v>
      </c>
      <c r="T1474" s="24" t="s">
        <v>39</v>
      </c>
      <c r="U1474" s="24" t="s">
        <v>39</v>
      </c>
      <c r="V1474" s="24" t="s">
        <v>39</v>
      </c>
      <c r="W1474" s="24"/>
      <c r="X1474" s="24"/>
      <c r="Y1474" s="15"/>
      <c r="Z1474" s="15"/>
      <c r="AA1474" s="24"/>
      <c r="AB1474" s="24"/>
      <c r="AC1474" s="24"/>
      <c r="AD1474" s="24"/>
      <c r="AE1474" s="24"/>
      <c r="AF1474" s="24"/>
      <c r="AG1474" s="24"/>
      <c r="AH1474" s="24"/>
    </row>
    <row r="1475" spans="1:34" ht="30" x14ac:dyDescent="0.25">
      <c r="A1475" s="24" t="str">
        <f>HYPERLINK("https://www.cpso.on.ca/DoctorDetails/Martha-Elaine-Adams/0036074-50050","Adams, Martha Elaine")</f>
        <v>Adams, Martha Elaine</v>
      </c>
      <c r="B1475" s="25" t="s">
        <v>14156</v>
      </c>
      <c r="C1475" s="24" t="s">
        <v>3746</v>
      </c>
      <c r="D1475" s="24" t="s">
        <v>14157</v>
      </c>
      <c r="E1475" s="24" t="s">
        <v>29</v>
      </c>
      <c r="F1475" s="24" t="s">
        <v>47</v>
      </c>
      <c r="G1475" s="24" t="s">
        <v>31</v>
      </c>
      <c r="H1475" s="24" t="s">
        <v>3737</v>
      </c>
      <c r="I1475" s="24" t="s">
        <v>14158</v>
      </c>
      <c r="J1475" s="24" t="s">
        <v>14159</v>
      </c>
      <c r="K1475" s="24"/>
      <c r="L1475" s="24" t="s">
        <v>52</v>
      </c>
      <c r="M1475" s="15"/>
      <c r="N1475" s="15"/>
      <c r="O1475" s="15"/>
      <c r="P1475" s="15" t="s">
        <v>2042</v>
      </c>
      <c r="Q1475" s="15" t="s">
        <v>8938</v>
      </c>
      <c r="R1475" s="15" t="s">
        <v>14160</v>
      </c>
      <c r="S1475" s="24" t="s">
        <v>39</v>
      </c>
      <c r="T1475" s="24" t="s">
        <v>39</v>
      </c>
      <c r="U1475" s="24" t="s">
        <v>39</v>
      </c>
      <c r="V1475" s="24" t="s">
        <v>39</v>
      </c>
      <c r="W1475" s="24" t="s">
        <v>14161</v>
      </c>
      <c r="X1475" s="24" t="s">
        <v>14162</v>
      </c>
      <c r="Y1475" s="15" t="s">
        <v>14163</v>
      </c>
      <c r="Z1475" s="15" t="s">
        <v>14164</v>
      </c>
      <c r="AA1475" s="24"/>
      <c r="AB1475" s="24"/>
      <c r="AC1475" s="24"/>
      <c r="AD1475" s="24"/>
      <c r="AE1475" s="24"/>
      <c r="AF1475" s="24"/>
      <c r="AG1475" s="24"/>
      <c r="AH1475" s="24"/>
    </row>
    <row r="1476" spans="1:34" ht="30" x14ac:dyDescent="0.25">
      <c r="A1476" s="24" t="str">
        <f>HYPERLINK("https://www.cpso.on.ca/DoctorDetails/Martha-Elizabeth-Wright/0025565-30388","Wright, Martha Elizabeth")</f>
        <v>Wright, Martha Elizabeth</v>
      </c>
      <c r="B1476" s="25" t="s">
        <v>14165</v>
      </c>
      <c r="C1476" s="24" t="s">
        <v>14166</v>
      </c>
      <c r="D1476" s="24" t="s">
        <v>14167</v>
      </c>
      <c r="E1476" s="24" t="s">
        <v>29</v>
      </c>
      <c r="F1476" s="24" t="s">
        <v>47</v>
      </c>
      <c r="G1476" s="24" t="s">
        <v>31</v>
      </c>
      <c r="H1476" s="24" t="s">
        <v>2982</v>
      </c>
      <c r="I1476" s="24" t="s">
        <v>14168</v>
      </c>
      <c r="J1476" s="24" t="s">
        <v>14169</v>
      </c>
      <c r="K1476" s="24"/>
      <c r="L1476" s="24" t="s">
        <v>52</v>
      </c>
      <c r="M1476" s="15"/>
      <c r="N1476" s="15"/>
      <c r="O1476" s="15" t="s">
        <v>981</v>
      </c>
      <c r="P1476" s="15" t="s">
        <v>2985</v>
      </c>
      <c r="Q1476" s="15"/>
      <c r="R1476" s="15" t="s">
        <v>14170</v>
      </c>
      <c r="S1476" s="24" t="s">
        <v>39</v>
      </c>
      <c r="T1476" s="24" t="s">
        <v>39</v>
      </c>
      <c r="U1476" s="24" t="s">
        <v>39</v>
      </c>
      <c r="V1476" s="24" t="s">
        <v>39</v>
      </c>
      <c r="W1476" s="24" t="s">
        <v>14171</v>
      </c>
      <c r="X1476" s="24" t="s">
        <v>3408</v>
      </c>
      <c r="Y1476" s="15"/>
      <c r="Z1476" s="15"/>
      <c r="AA1476" s="24"/>
      <c r="AB1476" s="24"/>
      <c r="AC1476" s="24"/>
      <c r="AD1476" s="24"/>
      <c r="AE1476" s="24"/>
      <c r="AF1476" s="24"/>
      <c r="AG1476" s="24"/>
      <c r="AH1476" s="24"/>
    </row>
    <row r="1477" spans="1:34" ht="135" x14ac:dyDescent="0.25">
      <c r="A1477" s="24" t="str">
        <f>HYPERLINK("https://www.cpso.on.ca/DoctorDetails/Martha-Harriet-Billingsley-Savage/0056120-67708","Savage, Martha Harriet Billingsley")</f>
        <v>Savage, Martha Harriet Billingsley</v>
      </c>
      <c r="B1477" s="25" t="s">
        <v>14172</v>
      </c>
      <c r="C1477" s="24" t="s">
        <v>14173</v>
      </c>
      <c r="D1477" s="24" t="s">
        <v>14174</v>
      </c>
      <c r="E1477" s="24" t="s">
        <v>14175</v>
      </c>
      <c r="F1477" s="24" t="s">
        <v>47</v>
      </c>
      <c r="G1477" s="24" t="s">
        <v>31</v>
      </c>
      <c r="H1477" s="24" t="s">
        <v>14176</v>
      </c>
      <c r="I1477" s="24" t="s">
        <v>14177</v>
      </c>
      <c r="J1477" s="24" t="s">
        <v>14178</v>
      </c>
      <c r="K1477" s="24" t="s">
        <v>14179</v>
      </c>
      <c r="L1477" s="24" t="s">
        <v>152</v>
      </c>
      <c r="M1477" s="15"/>
      <c r="N1477" s="15"/>
      <c r="O1477" s="15"/>
      <c r="P1477" s="15" t="s">
        <v>14180</v>
      </c>
      <c r="Q1477" s="15" t="s">
        <v>14181</v>
      </c>
      <c r="R1477" s="15" t="s">
        <v>14182</v>
      </c>
      <c r="S1477" s="24" t="s">
        <v>71</v>
      </c>
      <c r="T1477" s="24" t="s">
        <v>39</v>
      </c>
      <c r="U1477" s="24" t="s">
        <v>39</v>
      </c>
      <c r="V1477" s="24" t="s">
        <v>39</v>
      </c>
      <c r="W1477" s="24"/>
      <c r="X1477" s="24"/>
      <c r="Y1477" s="15"/>
      <c r="Z1477" s="15"/>
      <c r="AA1477" s="24"/>
      <c r="AB1477" s="24"/>
      <c r="AC1477" s="24"/>
      <c r="AD1477" s="24"/>
      <c r="AE1477" s="24"/>
      <c r="AF1477" s="24"/>
      <c r="AG1477" s="24"/>
      <c r="AH1477" s="24"/>
    </row>
    <row r="1478" spans="1:34" ht="75" x14ac:dyDescent="0.25">
      <c r="A1478" s="24" t="str">
        <f>HYPERLINK("https://www.cpso.on.ca/DoctorDetails/Martin-Allan-Katzman/0049940-63918","Katzman, Martin Allan")</f>
        <v>Katzman, Martin Allan</v>
      </c>
      <c r="B1478" s="25" t="s">
        <v>14183</v>
      </c>
      <c r="C1478" s="24" t="s">
        <v>10222</v>
      </c>
      <c r="D1478" s="24" t="s">
        <v>14184</v>
      </c>
      <c r="E1478" s="24" t="s">
        <v>29</v>
      </c>
      <c r="F1478" s="24" t="s">
        <v>30</v>
      </c>
      <c r="G1478" s="24" t="s">
        <v>31</v>
      </c>
      <c r="H1478" s="24" t="s">
        <v>2038</v>
      </c>
      <c r="I1478" s="24" t="s">
        <v>9160</v>
      </c>
      <c r="J1478" s="24" t="s">
        <v>9161</v>
      </c>
      <c r="K1478" s="24" t="s">
        <v>9162</v>
      </c>
      <c r="L1478" s="24" t="s">
        <v>52</v>
      </c>
      <c r="M1478" s="15"/>
      <c r="N1478" s="15"/>
      <c r="O1478" s="15"/>
      <c r="P1478" s="15" t="s">
        <v>2125</v>
      </c>
      <c r="Q1478" s="15" t="s">
        <v>14185</v>
      </c>
      <c r="R1478" s="15" t="s">
        <v>14186</v>
      </c>
      <c r="S1478" s="24" t="s">
        <v>39</v>
      </c>
      <c r="T1478" s="24" t="s">
        <v>39</v>
      </c>
      <c r="U1478" s="24" t="s">
        <v>39</v>
      </c>
      <c r="V1478" s="24" t="s">
        <v>39</v>
      </c>
      <c r="W1478" s="24"/>
      <c r="X1478" s="24"/>
      <c r="Y1478" s="15"/>
      <c r="Z1478" s="15"/>
      <c r="AA1478" s="24"/>
      <c r="AB1478" s="24"/>
      <c r="AC1478" s="24"/>
      <c r="AD1478" s="24"/>
      <c r="AE1478" s="24"/>
      <c r="AF1478" s="24"/>
      <c r="AG1478" s="24"/>
      <c r="AH1478" s="24"/>
    </row>
    <row r="1479" spans="1:34" x14ac:dyDescent="0.25">
      <c r="A1479" s="24" t="str">
        <f>HYPERLINK("https://www.cpso.on.ca/DoctorDetails/Martin-Campbell/0275154-96402","Campbell, Martin")</f>
        <v>Campbell, Martin</v>
      </c>
      <c r="B1479" s="25" t="s">
        <v>14187</v>
      </c>
      <c r="C1479" s="24" t="s">
        <v>14188</v>
      </c>
      <c r="D1479" s="24" t="s">
        <v>648</v>
      </c>
      <c r="E1479" s="24" t="s">
        <v>29</v>
      </c>
      <c r="F1479" s="24" t="s">
        <v>30</v>
      </c>
      <c r="G1479" s="24" t="s">
        <v>813</v>
      </c>
      <c r="H1479" s="24" t="s">
        <v>14189</v>
      </c>
      <c r="I1479" s="24" t="s">
        <v>14190</v>
      </c>
      <c r="J1479" s="24" t="s">
        <v>14191</v>
      </c>
      <c r="K1479" s="24" t="s">
        <v>14192</v>
      </c>
      <c r="L1479" s="24" t="s">
        <v>84</v>
      </c>
      <c r="M1479" s="15"/>
      <c r="N1479" s="15" t="s">
        <v>710</v>
      </c>
      <c r="O1479" s="15" t="s">
        <v>817</v>
      </c>
      <c r="P1479" s="15" t="s">
        <v>654</v>
      </c>
      <c r="Q1479" s="15"/>
      <c r="R1479" s="15" t="s">
        <v>14193</v>
      </c>
      <c r="S1479" s="24" t="s">
        <v>39</v>
      </c>
      <c r="T1479" s="24" t="s">
        <v>39</v>
      </c>
      <c r="U1479" s="24" t="s">
        <v>39</v>
      </c>
      <c r="V1479" s="24" t="s">
        <v>39</v>
      </c>
      <c r="W1479" s="24" t="s">
        <v>14194</v>
      </c>
      <c r="X1479" s="24" t="s">
        <v>14195</v>
      </c>
      <c r="Y1479" s="15" t="s">
        <v>14196</v>
      </c>
      <c r="Z1479" s="15" t="s">
        <v>14197</v>
      </c>
      <c r="AA1479" s="24"/>
      <c r="AB1479" s="24"/>
      <c r="AC1479" s="24"/>
      <c r="AD1479" s="24"/>
      <c r="AE1479" s="24"/>
      <c r="AF1479" s="24"/>
      <c r="AG1479" s="24"/>
      <c r="AH1479" s="24"/>
    </row>
    <row r="1480" spans="1:34" ht="30" x14ac:dyDescent="0.25">
      <c r="A1480" s="24" t="str">
        <f>HYPERLINK("https://www.cpso.on.ca/DoctorDetails/Martin-Joel-Chisvin/0041851-55827","Chisvin, Martin Joel")</f>
        <v>Chisvin, Martin Joel</v>
      </c>
      <c r="B1480" s="25" t="s">
        <v>14198</v>
      </c>
      <c r="C1480" s="24" t="s">
        <v>2902</v>
      </c>
      <c r="D1480" s="24" t="s">
        <v>7106</v>
      </c>
      <c r="E1480" s="24" t="s">
        <v>29</v>
      </c>
      <c r="F1480" s="24" t="s">
        <v>30</v>
      </c>
      <c r="G1480" s="24" t="s">
        <v>31</v>
      </c>
      <c r="H1480" s="24" t="s">
        <v>1197</v>
      </c>
      <c r="I1480" s="24" t="s">
        <v>12532</v>
      </c>
      <c r="J1480" s="24" t="s">
        <v>14199</v>
      </c>
      <c r="K1480" s="24" t="s">
        <v>1190</v>
      </c>
      <c r="L1480" s="24" t="s">
        <v>52</v>
      </c>
      <c r="M1480" s="15"/>
      <c r="N1480" s="15"/>
      <c r="O1480" s="15" t="s">
        <v>1191</v>
      </c>
      <c r="P1480" s="15" t="s">
        <v>1984</v>
      </c>
      <c r="Q1480" s="15" t="s">
        <v>6291</v>
      </c>
      <c r="R1480" s="15" t="s">
        <v>14200</v>
      </c>
      <c r="S1480" s="24" t="s">
        <v>39</v>
      </c>
      <c r="T1480" s="24" t="s">
        <v>39</v>
      </c>
      <c r="U1480" s="24" t="s">
        <v>39</v>
      </c>
      <c r="V1480" s="24" t="s">
        <v>39</v>
      </c>
      <c r="W1480" s="24" t="s">
        <v>14201</v>
      </c>
      <c r="X1480" s="24" t="s">
        <v>14202</v>
      </c>
      <c r="Y1480" s="15" t="s">
        <v>14203</v>
      </c>
      <c r="Z1480" s="15" t="s">
        <v>14204</v>
      </c>
      <c r="AA1480" s="24"/>
      <c r="AB1480" s="24"/>
      <c r="AC1480" s="24"/>
      <c r="AD1480" s="24"/>
      <c r="AE1480" s="24"/>
      <c r="AF1480" s="24"/>
      <c r="AG1480" s="24"/>
      <c r="AH1480" s="24"/>
    </row>
    <row r="1481" spans="1:34" ht="75" x14ac:dyDescent="0.25">
      <c r="A1481" s="24" t="str">
        <f>HYPERLINK("https://www.cpso.on.ca/DoctorDetails/Martin-John-Feakins/0248943-93110","Feakins, Martin John")</f>
        <v>Feakins, Martin John</v>
      </c>
      <c r="B1481" s="25" t="s">
        <v>14205</v>
      </c>
      <c r="C1481" s="24" t="s">
        <v>14206</v>
      </c>
      <c r="D1481" s="24" t="s">
        <v>14207</v>
      </c>
      <c r="E1481" s="24" t="s">
        <v>29</v>
      </c>
      <c r="F1481" s="24" t="s">
        <v>30</v>
      </c>
      <c r="G1481" s="24" t="s">
        <v>31</v>
      </c>
      <c r="H1481" s="24" t="s">
        <v>14208</v>
      </c>
      <c r="I1481" s="24" t="s">
        <v>14209</v>
      </c>
      <c r="J1481" s="24" t="s">
        <v>14210</v>
      </c>
      <c r="K1481" s="24" t="s">
        <v>14211</v>
      </c>
      <c r="L1481" s="24" t="s">
        <v>340</v>
      </c>
      <c r="M1481" s="15" t="s">
        <v>14212</v>
      </c>
      <c r="N1481" s="15"/>
      <c r="O1481" s="15" t="s">
        <v>9648</v>
      </c>
      <c r="P1481" s="15" t="s">
        <v>14213</v>
      </c>
      <c r="Q1481" s="15"/>
      <c r="R1481" s="15" t="s">
        <v>14214</v>
      </c>
      <c r="S1481" s="24" t="s">
        <v>71</v>
      </c>
      <c r="T1481" s="24" t="s">
        <v>39</v>
      </c>
      <c r="U1481" s="24" t="s">
        <v>39</v>
      </c>
      <c r="V1481" s="24" t="s">
        <v>39</v>
      </c>
      <c r="W1481" s="24" t="s">
        <v>14215</v>
      </c>
      <c r="X1481" s="24" t="s">
        <v>14216</v>
      </c>
      <c r="Y1481" s="15" t="s">
        <v>14217</v>
      </c>
      <c r="Z1481" s="15" t="s">
        <v>14218</v>
      </c>
      <c r="AA1481" s="24"/>
      <c r="AB1481" s="24"/>
      <c r="AC1481" s="24"/>
      <c r="AD1481" s="24"/>
      <c r="AE1481" s="24"/>
      <c r="AF1481" s="24"/>
      <c r="AG1481" s="24"/>
      <c r="AH1481" s="24"/>
    </row>
    <row r="1482" spans="1:34" ht="75" x14ac:dyDescent="0.25">
      <c r="A1482" s="24" t="str">
        <f>HYPERLINK("https://www.cpso.on.ca/DoctorDetails/Martin-William-Svihra/0201070-79277","Svihra, Martin William")</f>
        <v>Svihra, Martin William</v>
      </c>
      <c r="B1482" s="25" t="s">
        <v>14219</v>
      </c>
      <c r="C1482" s="24" t="s">
        <v>871</v>
      </c>
      <c r="D1482" s="24" t="s">
        <v>872</v>
      </c>
      <c r="E1482" s="24" t="s">
        <v>29</v>
      </c>
      <c r="F1482" s="24" t="s">
        <v>30</v>
      </c>
      <c r="G1482" s="24" t="s">
        <v>31</v>
      </c>
      <c r="H1482" s="24" t="s">
        <v>5617</v>
      </c>
      <c r="I1482" s="24" t="s">
        <v>14220</v>
      </c>
      <c r="J1482" s="24" t="s">
        <v>14221</v>
      </c>
      <c r="K1482" s="24" t="s">
        <v>13766</v>
      </c>
      <c r="L1482" s="24" t="s">
        <v>52</v>
      </c>
      <c r="M1482" s="15"/>
      <c r="N1482" s="15"/>
      <c r="O1482" s="15" t="s">
        <v>1867</v>
      </c>
      <c r="P1482" s="15" t="s">
        <v>880</v>
      </c>
      <c r="Q1482" s="15" t="s">
        <v>1607</v>
      </c>
      <c r="R1482" s="15" t="s">
        <v>882</v>
      </c>
      <c r="S1482" s="24" t="s">
        <v>39</v>
      </c>
      <c r="T1482" s="24" t="s">
        <v>39</v>
      </c>
      <c r="U1482" s="24" t="s">
        <v>39</v>
      </c>
      <c r="V1482" s="24" t="s">
        <v>39</v>
      </c>
      <c r="W1482" s="24"/>
      <c r="X1482" s="24"/>
      <c r="Y1482" s="15"/>
      <c r="Z1482" s="15"/>
      <c r="AA1482" s="24"/>
      <c r="AB1482" s="24"/>
      <c r="AC1482" s="24"/>
      <c r="AD1482" s="24"/>
      <c r="AE1482" s="24"/>
      <c r="AF1482" s="24"/>
      <c r="AG1482" s="24"/>
      <c r="AH1482" s="24"/>
    </row>
    <row r="1483" spans="1:34" ht="45" x14ac:dyDescent="0.25">
      <c r="A1483" s="24" t="str">
        <f>HYPERLINK("https://www.cpso.on.ca/DoctorDetails/Martina-Ruzickova/0267911-94210","Ruzickova, Martina")</f>
        <v>Ruzickova, Martina</v>
      </c>
      <c r="B1483" s="25" t="s">
        <v>14222</v>
      </c>
      <c r="C1483" s="24" t="s">
        <v>14223</v>
      </c>
      <c r="D1483" s="24" t="s">
        <v>14224</v>
      </c>
      <c r="E1483" s="24" t="s">
        <v>29</v>
      </c>
      <c r="F1483" s="24" t="s">
        <v>47</v>
      </c>
      <c r="G1483" s="24" t="s">
        <v>8618</v>
      </c>
      <c r="H1483" s="24" t="s">
        <v>14225</v>
      </c>
      <c r="I1483" s="24" t="s">
        <v>14226</v>
      </c>
      <c r="J1483" s="24" t="s">
        <v>14227</v>
      </c>
      <c r="K1483" s="24" t="s">
        <v>14228</v>
      </c>
      <c r="L1483" s="24"/>
      <c r="M1483" s="15"/>
      <c r="N1483" s="15" t="s">
        <v>194</v>
      </c>
      <c r="O1483" s="15"/>
      <c r="P1483" s="15" t="s">
        <v>14229</v>
      </c>
      <c r="Q1483" s="15" t="s">
        <v>14230</v>
      </c>
      <c r="R1483" s="15" t="s">
        <v>14231</v>
      </c>
      <c r="S1483" s="24" t="s">
        <v>39</v>
      </c>
      <c r="T1483" s="24" t="s">
        <v>39</v>
      </c>
      <c r="U1483" s="24" t="s">
        <v>39</v>
      </c>
      <c r="V1483" s="24" t="s">
        <v>39</v>
      </c>
      <c r="W1483" s="24"/>
      <c r="X1483" s="24"/>
      <c r="Y1483" s="15"/>
      <c r="Z1483" s="15"/>
      <c r="AA1483" s="24"/>
      <c r="AB1483" s="24"/>
      <c r="AC1483" s="24"/>
      <c r="AD1483" s="24"/>
      <c r="AE1483" s="24"/>
      <c r="AF1483" s="24"/>
      <c r="AG1483" s="24"/>
      <c r="AH1483" s="24"/>
    </row>
    <row r="1484" spans="1:34" ht="45" x14ac:dyDescent="0.25">
      <c r="A1484" s="24" t="str">
        <f>HYPERLINK("https://www.cpso.on.ca/DoctorDetails/Marvin-David-Stein/0024020-28842","Stein, Marvin David")</f>
        <v>Stein, Marvin David</v>
      </c>
      <c r="B1484" s="25" t="s">
        <v>14232</v>
      </c>
      <c r="C1484" s="24" t="s">
        <v>14233</v>
      </c>
      <c r="D1484" s="24" t="s">
        <v>14234</v>
      </c>
      <c r="E1484" s="24" t="s">
        <v>29</v>
      </c>
      <c r="F1484" s="24" t="s">
        <v>30</v>
      </c>
      <c r="G1484" s="24" t="s">
        <v>31</v>
      </c>
      <c r="H1484" s="24" t="s">
        <v>5310</v>
      </c>
      <c r="I1484" s="24" t="s">
        <v>14235</v>
      </c>
      <c r="J1484" s="24" t="s">
        <v>14236</v>
      </c>
      <c r="K1484" s="24"/>
      <c r="L1484" s="24" t="s">
        <v>52</v>
      </c>
      <c r="M1484" s="15"/>
      <c r="N1484" s="15"/>
      <c r="O1484" s="15"/>
      <c r="P1484" s="15" t="s">
        <v>4862</v>
      </c>
      <c r="Q1484" s="15"/>
      <c r="R1484" s="15" t="s">
        <v>14237</v>
      </c>
      <c r="S1484" s="24" t="s">
        <v>39</v>
      </c>
      <c r="T1484" s="24" t="s">
        <v>39</v>
      </c>
      <c r="U1484" s="24" t="s">
        <v>39</v>
      </c>
      <c r="V1484" s="24" t="s">
        <v>39</v>
      </c>
      <c r="W1484" s="24"/>
      <c r="X1484" s="24"/>
      <c r="Y1484" s="15"/>
      <c r="Z1484" s="15"/>
      <c r="AA1484" s="24"/>
      <c r="AB1484" s="24"/>
      <c r="AC1484" s="24"/>
      <c r="AD1484" s="24"/>
      <c r="AE1484" s="24"/>
      <c r="AF1484" s="24"/>
      <c r="AG1484" s="24"/>
      <c r="AH1484" s="24"/>
    </row>
    <row r="1485" spans="1:34" x14ac:dyDescent="0.25">
      <c r="A1485" s="24" t="str">
        <f>HYPERLINK("https://www.cpso.on.ca/DoctorDetails/Marvin-Silverman/0012796-17576","Silverman, Marvin")</f>
        <v>Silverman, Marvin</v>
      </c>
      <c r="B1485" s="25" t="s">
        <v>14238</v>
      </c>
      <c r="C1485" s="24" t="s">
        <v>14239</v>
      </c>
      <c r="D1485" s="24" t="s">
        <v>14240</v>
      </c>
      <c r="E1485" s="24" t="s">
        <v>29</v>
      </c>
      <c r="F1485" s="24" t="s">
        <v>30</v>
      </c>
      <c r="G1485" s="24" t="s">
        <v>31</v>
      </c>
      <c r="H1485" s="24" t="s">
        <v>14241</v>
      </c>
      <c r="I1485" s="24" t="s">
        <v>14242</v>
      </c>
      <c r="J1485" s="24" t="s">
        <v>14243</v>
      </c>
      <c r="K1485" s="24"/>
      <c r="L1485" s="24" t="s">
        <v>52</v>
      </c>
      <c r="M1485" s="15"/>
      <c r="N1485" s="15"/>
      <c r="O1485" s="15"/>
      <c r="P1485" s="15" t="s">
        <v>3129</v>
      </c>
      <c r="Q1485" s="15"/>
      <c r="R1485" s="15" t="s">
        <v>14244</v>
      </c>
      <c r="S1485" s="24" t="s">
        <v>39</v>
      </c>
      <c r="T1485" s="24" t="s">
        <v>39</v>
      </c>
      <c r="U1485" s="24" t="s">
        <v>39</v>
      </c>
      <c r="V1485" s="24" t="s">
        <v>39</v>
      </c>
      <c r="W1485" s="24"/>
      <c r="X1485" s="24"/>
      <c r="Y1485" s="15"/>
      <c r="Z1485" s="15"/>
      <c r="AA1485" s="24"/>
      <c r="AB1485" s="24"/>
      <c r="AC1485" s="24"/>
      <c r="AD1485" s="24"/>
      <c r="AE1485" s="24"/>
      <c r="AF1485" s="24"/>
      <c r="AG1485" s="24"/>
      <c r="AH1485" s="24"/>
    </row>
    <row r="1486" spans="1:34" ht="30" x14ac:dyDescent="0.25">
      <c r="A1486" s="24" t="str">
        <f>HYPERLINK("https://www.cpso.on.ca/DoctorDetails/Mary-Anthea-Wright/0017289-22075","Wright, Mary Anthea")</f>
        <v>Wright, Mary Anthea</v>
      </c>
      <c r="B1486" s="25" t="s">
        <v>14245</v>
      </c>
      <c r="C1486" s="24" t="s">
        <v>14246</v>
      </c>
      <c r="D1486" s="24" t="s">
        <v>14247</v>
      </c>
      <c r="E1486" s="24" t="s">
        <v>29</v>
      </c>
      <c r="F1486" s="24" t="s">
        <v>47</v>
      </c>
      <c r="G1486" s="24" t="s">
        <v>31</v>
      </c>
      <c r="H1486" s="24" t="s">
        <v>14248</v>
      </c>
      <c r="I1486" s="24" t="s">
        <v>14249</v>
      </c>
      <c r="J1486" s="24" t="s">
        <v>14250</v>
      </c>
      <c r="K1486" s="24"/>
      <c r="L1486" s="24" t="s">
        <v>52</v>
      </c>
      <c r="M1486" s="15"/>
      <c r="N1486" s="15"/>
      <c r="O1486" s="15"/>
      <c r="P1486" s="15" t="s">
        <v>4894</v>
      </c>
      <c r="Q1486" s="15"/>
      <c r="R1486" s="15" t="s">
        <v>14251</v>
      </c>
      <c r="S1486" s="24" t="s">
        <v>39</v>
      </c>
      <c r="T1486" s="24" t="s">
        <v>39</v>
      </c>
      <c r="U1486" s="24" t="s">
        <v>39</v>
      </c>
      <c r="V1486" s="24" t="s">
        <v>39</v>
      </c>
      <c r="W1486" s="24"/>
      <c r="X1486" s="24"/>
      <c r="Y1486" s="15"/>
      <c r="Z1486" s="15"/>
      <c r="AA1486" s="24"/>
      <c r="AB1486" s="24"/>
      <c r="AC1486" s="24"/>
      <c r="AD1486" s="24"/>
      <c r="AE1486" s="24"/>
      <c r="AF1486" s="24"/>
      <c r="AG1486" s="24"/>
      <c r="AH1486" s="24"/>
    </row>
    <row r="1487" spans="1:34" ht="30" x14ac:dyDescent="0.25">
      <c r="A1487" s="24" t="str">
        <f>HYPERLINK("https://www.cpso.on.ca/DoctorDetails/Mary-Bridget-Heapes/0052259-66238","Heapes, Mary Bridget")</f>
        <v>Heapes, Mary Bridget</v>
      </c>
      <c r="B1487" s="25" t="s">
        <v>14252</v>
      </c>
      <c r="C1487" s="24" t="s">
        <v>14253</v>
      </c>
      <c r="D1487" s="24" t="s">
        <v>14254</v>
      </c>
      <c r="E1487" s="24" t="s">
        <v>29</v>
      </c>
      <c r="F1487" s="24" t="s">
        <v>47</v>
      </c>
      <c r="G1487" s="24" t="s">
        <v>31</v>
      </c>
      <c r="H1487" s="24" t="s">
        <v>4019</v>
      </c>
      <c r="I1487" s="24" t="s">
        <v>14255</v>
      </c>
      <c r="J1487" s="24" t="s">
        <v>9093</v>
      </c>
      <c r="K1487" s="24"/>
      <c r="L1487" s="24" t="s">
        <v>3849</v>
      </c>
      <c r="M1487" s="15"/>
      <c r="N1487" s="15"/>
      <c r="O1487" s="15" t="s">
        <v>9094</v>
      </c>
      <c r="P1487" s="15" t="s">
        <v>617</v>
      </c>
      <c r="Q1487" s="15"/>
      <c r="R1487" s="15" t="s">
        <v>14256</v>
      </c>
      <c r="S1487" s="24" t="s">
        <v>39</v>
      </c>
      <c r="T1487" s="24" t="s">
        <v>39</v>
      </c>
      <c r="U1487" s="24" t="s">
        <v>39</v>
      </c>
      <c r="V1487" s="24" t="s">
        <v>39</v>
      </c>
      <c r="W1487" s="24"/>
      <c r="X1487" s="24"/>
      <c r="Y1487" s="15"/>
      <c r="Z1487" s="15"/>
      <c r="AA1487" s="24"/>
      <c r="AB1487" s="24"/>
      <c r="AC1487" s="24"/>
      <c r="AD1487" s="24"/>
      <c r="AE1487" s="24"/>
      <c r="AF1487" s="24"/>
      <c r="AG1487" s="24"/>
      <c r="AH1487" s="24"/>
    </row>
    <row r="1488" spans="1:34" ht="30" x14ac:dyDescent="0.25">
      <c r="A1488" s="24" t="str">
        <f>HYPERLINK("https://www.cpso.on.ca/DoctorDetails/Mary-Carmel-Owens/0037344-51320","Owens, Mary Carmel")</f>
        <v>Owens, Mary Carmel</v>
      </c>
      <c r="B1488" s="25" t="s">
        <v>14257</v>
      </c>
      <c r="C1488" s="24" t="s">
        <v>492</v>
      </c>
      <c r="D1488" s="24" t="s">
        <v>14258</v>
      </c>
      <c r="E1488" s="24" t="s">
        <v>29</v>
      </c>
      <c r="F1488" s="24" t="s">
        <v>47</v>
      </c>
      <c r="G1488" s="24" t="s">
        <v>31</v>
      </c>
      <c r="H1488" s="24" t="s">
        <v>14259</v>
      </c>
      <c r="I1488" s="24" t="s">
        <v>14260</v>
      </c>
      <c r="J1488" s="24" t="s">
        <v>14261</v>
      </c>
      <c r="K1488" s="24"/>
      <c r="L1488" s="24" t="s">
        <v>52</v>
      </c>
      <c r="M1488" s="15"/>
      <c r="N1488" s="15"/>
      <c r="O1488" s="15"/>
      <c r="P1488" s="15" t="s">
        <v>2484</v>
      </c>
      <c r="Q1488" s="15"/>
      <c r="R1488" s="15" t="s">
        <v>14262</v>
      </c>
      <c r="S1488" s="24" t="s">
        <v>39</v>
      </c>
      <c r="T1488" s="24" t="s">
        <v>39</v>
      </c>
      <c r="U1488" s="24" t="s">
        <v>39</v>
      </c>
      <c r="V1488" s="24" t="s">
        <v>39</v>
      </c>
      <c r="W1488" s="24"/>
      <c r="X1488" s="24"/>
      <c r="Y1488" s="15"/>
      <c r="Z1488" s="15"/>
      <c r="AA1488" s="24"/>
      <c r="AB1488" s="24"/>
      <c r="AC1488" s="24"/>
      <c r="AD1488" s="24"/>
      <c r="AE1488" s="24"/>
      <c r="AF1488" s="24"/>
      <c r="AG1488" s="24"/>
      <c r="AH1488" s="24"/>
    </row>
    <row r="1489" spans="1:34" x14ac:dyDescent="0.25">
      <c r="A1489" s="24" t="str">
        <f>HYPERLINK("https://www.cpso.on.ca/DoctorDetails/Mary-Clementine-Rose-Dymetryszyn/0028407-33230","Dymetryszyn, Mary Clementine Rose")</f>
        <v>Dymetryszyn, Mary Clementine Rose</v>
      </c>
      <c r="B1489" s="25" t="s">
        <v>14263</v>
      </c>
      <c r="C1489" s="24" t="s">
        <v>14264</v>
      </c>
      <c r="D1489" s="24" t="s">
        <v>14265</v>
      </c>
      <c r="E1489" s="24" t="s">
        <v>29</v>
      </c>
      <c r="F1489" s="24" t="s">
        <v>47</v>
      </c>
      <c r="G1489" s="24" t="s">
        <v>813</v>
      </c>
      <c r="H1489" s="24" t="s">
        <v>9414</v>
      </c>
      <c r="I1489" s="24" t="s">
        <v>14266</v>
      </c>
      <c r="J1489" s="24" t="s">
        <v>14267</v>
      </c>
      <c r="K1489" s="24" t="s">
        <v>14268</v>
      </c>
      <c r="L1489" s="24" t="s">
        <v>52</v>
      </c>
      <c r="M1489" s="15"/>
      <c r="N1489" s="15"/>
      <c r="O1489" s="15"/>
      <c r="P1489" s="15" t="s">
        <v>3636</v>
      </c>
      <c r="Q1489" s="15"/>
      <c r="R1489" s="15" t="s">
        <v>14269</v>
      </c>
      <c r="S1489" s="24" t="s">
        <v>39</v>
      </c>
      <c r="T1489" s="24" t="s">
        <v>39</v>
      </c>
      <c r="U1489" s="24" t="s">
        <v>39</v>
      </c>
      <c r="V1489" s="24" t="s">
        <v>39</v>
      </c>
      <c r="W1489" s="24"/>
      <c r="X1489" s="24"/>
      <c r="Y1489" s="15"/>
      <c r="Z1489" s="15"/>
      <c r="AA1489" s="24"/>
      <c r="AB1489" s="24"/>
      <c r="AC1489" s="24"/>
      <c r="AD1489" s="24"/>
      <c r="AE1489" s="24"/>
      <c r="AF1489" s="24"/>
      <c r="AG1489" s="24"/>
      <c r="AH1489" s="24"/>
    </row>
    <row r="1490" spans="1:34" ht="30" x14ac:dyDescent="0.25">
      <c r="A1490" s="24" t="str">
        <f>HYPERLINK("https://www.cpso.on.ca/DoctorDetails/Mary-Dawes-Thornton/0050429-64408","Thornton, Mary Dawes")</f>
        <v>Thornton, Mary Dawes</v>
      </c>
      <c r="B1490" s="25" t="s">
        <v>14270</v>
      </c>
      <c r="C1490" s="24" t="s">
        <v>14271</v>
      </c>
      <c r="D1490" s="24" t="s">
        <v>14272</v>
      </c>
      <c r="E1490" s="24" t="s">
        <v>29</v>
      </c>
      <c r="F1490" s="24" t="s">
        <v>47</v>
      </c>
      <c r="G1490" s="24" t="s">
        <v>31</v>
      </c>
      <c r="H1490" s="24" t="s">
        <v>14273</v>
      </c>
      <c r="I1490" s="24" t="s">
        <v>3204</v>
      </c>
      <c r="J1490" s="24" t="s">
        <v>2056</v>
      </c>
      <c r="K1490" s="24" t="s">
        <v>2057</v>
      </c>
      <c r="L1490" s="24" t="s">
        <v>340</v>
      </c>
      <c r="M1490" s="15"/>
      <c r="N1490" s="15"/>
      <c r="O1490" s="15" t="s">
        <v>2059</v>
      </c>
      <c r="P1490" s="15" t="s">
        <v>14274</v>
      </c>
      <c r="Q1490" s="15" t="s">
        <v>14275</v>
      </c>
      <c r="R1490" s="15" t="s">
        <v>14276</v>
      </c>
      <c r="S1490" s="24" t="s">
        <v>39</v>
      </c>
      <c r="T1490" s="24" t="s">
        <v>39</v>
      </c>
      <c r="U1490" s="24" t="s">
        <v>39</v>
      </c>
      <c r="V1490" s="24" t="s">
        <v>39</v>
      </c>
      <c r="W1490" s="24" t="s">
        <v>14277</v>
      </c>
      <c r="X1490" s="24" t="s">
        <v>14278</v>
      </c>
      <c r="Y1490" s="15" t="s">
        <v>14279</v>
      </c>
      <c r="Z1490" s="15" t="s">
        <v>3212</v>
      </c>
      <c r="AA1490" s="24"/>
      <c r="AB1490" s="24"/>
      <c r="AC1490" s="24"/>
      <c r="AD1490" s="24"/>
      <c r="AE1490" s="24"/>
      <c r="AF1490" s="24"/>
      <c r="AG1490" s="24"/>
      <c r="AH1490" s="24"/>
    </row>
    <row r="1491" spans="1:34" x14ac:dyDescent="0.25">
      <c r="A1491" s="24" t="str">
        <f>HYPERLINK("https://www.cpso.on.ca/DoctorDetails/Mary-Eleanor-Yack/0027571-32394","Yack, Mary Eleanor")</f>
        <v>Yack, Mary Eleanor</v>
      </c>
      <c r="B1491" s="25" t="s">
        <v>14280</v>
      </c>
      <c r="C1491" s="24" t="s">
        <v>14281</v>
      </c>
      <c r="D1491" s="24" t="s">
        <v>14282</v>
      </c>
      <c r="E1491" s="24" t="s">
        <v>29</v>
      </c>
      <c r="F1491" s="24" t="s">
        <v>47</v>
      </c>
      <c r="G1491" s="24" t="s">
        <v>31</v>
      </c>
      <c r="H1491" s="24" t="s">
        <v>755</v>
      </c>
      <c r="I1491" s="24" t="s">
        <v>5907</v>
      </c>
      <c r="J1491" s="24" t="s">
        <v>14283</v>
      </c>
      <c r="K1491" s="24"/>
      <c r="L1491" s="24" t="s">
        <v>84</v>
      </c>
      <c r="M1491" s="15"/>
      <c r="N1491" s="15"/>
      <c r="O1491" s="15"/>
      <c r="P1491" s="15" t="s">
        <v>499</v>
      </c>
      <c r="Q1491" s="15"/>
      <c r="R1491" s="15" t="s">
        <v>14284</v>
      </c>
      <c r="S1491" s="24" t="s">
        <v>39</v>
      </c>
      <c r="T1491" s="24" t="s">
        <v>39</v>
      </c>
      <c r="U1491" s="24" t="s">
        <v>39</v>
      </c>
      <c r="V1491" s="24" t="s">
        <v>39</v>
      </c>
      <c r="W1491" s="24"/>
      <c r="X1491" s="24"/>
      <c r="Y1491" s="15"/>
      <c r="Z1491" s="15"/>
      <c r="AA1491" s="24"/>
      <c r="AB1491" s="24"/>
      <c r="AC1491" s="24"/>
      <c r="AD1491" s="24"/>
      <c r="AE1491" s="24"/>
      <c r="AF1491" s="24"/>
      <c r="AG1491" s="24"/>
      <c r="AH1491" s="24"/>
    </row>
    <row r="1492" spans="1:34" ht="90" x14ac:dyDescent="0.25">
      <c r="A1492" s="24" t="str">
        <f>HYPERLINK("https://www.cpso.on.ca/DoctorDetails/Mary-Elizabeth-Elliott/0039915-53891","Elliott, Mary Elizabeth")</f>
        <v>Elliott, Mary Elizabeth</v>
      </c>
      <c r="B1492" s="25" t="s">
        <v>14285</v>
      </c>
      <c r="C1492" s="24" t="s">
        <v>3450</v>
      </c>
      <c r="D1492" s="24" t="s">
        <v>14286</v>
      </c>
      <c r="E1492" s="24" t="s">
        <v>29</v>
      </c>
      <c r="F1492" s="24" t="s">
        <v>47</v>
      </c>
      <c r="G1492" s="24" t="s">
        <v>31</v>
      </c>
      <c r="H1492" s="24" t="s">
        <v>3452</v>
      </c>
      <c r="I1492" s="24" t="s">
        <v>14287</v>
      </c>
      <c r="J1492" s="24" t="s">
        <v>14288</v>
      </c>
      <c r="K1492" s="24" t="s">
        <v>7631</v>
      </c>
      <c r="L1492" s="24" t="s">
        <v>52</v>
      </c>
      <c r="M1492" s="15"/>
      <c r="N1492" s="15"/>
      <c r="O1492" s="15" t="s">
        <v>5784</v>
      </c>
      <c r="P1492" s="15" t="s">
        <v>2416</v>
      </c>
      <c r="Q1492" s="15" t="s">
        <v>14289</v>
      </c>
      <c r="R1492" s="15" t="s">
        <v>14290</v>
      </c>
      <c r="S1492" s="24" t="s">
        <v>39</v>
      </c>
      <c r="T1492" s="24" t="s">
        <v>39</v>
      </c>
      <c r="U1492" s="24" t="s">
        <v>39</v>
      </c>
      <c r="V1492" s="24" t="s">
        <v>39</v>
      </c>
      <c r="W1492" s="24"/>
      <c r="X1492" s="24"/>
      <c r="Y1492" s="15"/>
      <c r="Z1492" s="15"/>
      <c r="AA1492" s="24"/>
      <c r="AB1492" s="24"/>
      <c r="AC1492" s="24"/>
      <c r="AD1492" s="24"/>
      <c r="AE1492" s="24"/>
      <c r="AF1492" s="24"/>
      <c r="AG1492" s="24"/>
      <c r="AH1492" s="24"/>
    </row>
    <row r="1493" spans="1:34" ht="30" x14ac:dyDescent="0.25">
      <c r="A1493" s="24" t="str">
        <f>HYPERLINK("https://www.cpso.on.ca/DoctorDetails/Mary-Elizabeth-Jensen/0036874-50850","Jensen, Mary Elizabeth")</f>
        <v>Jensen, Mary Elizabeth</v>
      </c>
      <c r="B1493" s="25" t="s">
        <v>14291</v>
      </c>
      <c r="C1493" s="24" t="s">
        <v>492</v>
      </c>
      <c r="D1493" s="24" t="s">
        <v>14292</v>
      </c>
      <c r="E1493" s="24" t="s">
        <v>29</v>
      </c>
      <c r="F1493" s="24" t="s">
        <v>47</v>
      </c>
      <c r="G1493" s="24" t="s">
        <v>31</v>
      </c>
      <c r="H1493" s="24" t="s">
        <v>2432</v>
      </c>
      <c r="I1493" s="24" t="s">
        <v>14293</v>
      </c>
      <c r="J1493" s="24" t="s">
        <v>14294</v>
      </c>
      <c r="K1493" s="24"/>
      <c r="L1493" s="24" t="s">
        <v>52</v>
      </c>
      <c r="M1493" s="15"/>
      <c r="N1493" s="15"/>
      <c r="O1493" s="15"/>
      <c r="P1493" s="15" t="s">
        <v>316</v>
      </c>
      <c r="Q1493" s="15"/>
      <c r="R1493" s="15" t="s">
        <v>14295</v>
      </c>
      <c r="S1493" s="24" t="s">
        <v>39</v>
      </c>
      <c r="T1493" s="24" t="s">
        <v>39</v>
      </c>
      <c r="U1493" s="24" t="s">
        <v>39</v>
      </c>
      <c r="V1493" s="24" t="s">
        <v>39</v>
      </c>
      <c r="W1493" s="24" t="s">
        <v>14296</v>
      </c>
      <c r="X1493" s="24" t="s">
        <v>14297</v>
      </c>
      <c r="Y1493" s="15" t="s">
        <v>14298</v>
      </c>
      <c r="Z1493" s="15" t="s">
        <v>14299</v>
      </c>
      <c r="AA1493" s="24"/>
      <c r="AB1493" s="24"/>
      <c r="AC1493" s="24"/>
      <c r="AD1493" s="24"/>
      <c r="AE1493" s="24"/>
      <c r="AF1493" s="24"/>
      <c r="AG1493" s="24"/>
      <c r="AH1493" s="24"/>
    </row>
    <row r="1494" spans="1:34" ht="75" x14ac:dyDescent="0.25">
      <c r="A1494" s="24" t="str">
        <f>HYPERLINK("https://www.cpso.on.ca/DoctorDetails/Mary-Elizabeth-Johnston/0046770-60748","Johnston, Mary Elizabeth")</f>
        <v>Johnston, Mary Elizabeth</v>
      </c>
      <c r="B1494" s="25" t="s">
        <v>14300</v>
      </c>
      <c r="C1494" s="24" t="s">
        <v>765</v>
      </c>
      <c r="D1494" s="24" t="s">
        <v>6203</v>
      </c>
      <c r="E1494" s="24" t="s">
        <v>29</v>
      </c>
      <c r="F1494" s="24" t="s">
        <v>47</v>
      </c>
      <c r="G1494" s="24" t="s">
        <v>813</v>
      </c>
      <c r="H1494" s="24" t="s">
        <v>12690</v>
      </c>
      <c r="I1494" s="24" t="s">
        <v>14301</v>
      </c>
      <c r="J1494" s="24" t="s">
        <v>14302</v>
      </c>
      <c r="K1494" s="24"/>
      <c r="L1494" s="24" t="s">
        <v>340</v>
      </c>
      <c r="M1494" s="15"/>
      <c r="N1494" s="15"/>
      <c r="O1494" s="15" t="s">
        <v>2972</v>
      </c>
      <c r="P1494" s="15" t="s">
        <v>1007</v>
      </c>
      <c r="Q1494" s="15" t="s">
        <v>14303</v>
      </c>
      <c r="R1494" s="15" t="s">
        <v>14304</v>
      </c>
      <c r="S1494" s="24" t="s">
        <v>39</v>
      </c>
      <c r="T1494" s="24" t="s">
        <v>39</v>
      </c>
      <c r="U1494" s="24" t="s">
        <v>39</v>
      </c>
      <c r="V1494" s="24" t="s">
        <v>39</v>
      </c>
      <c r="W1494" s="24"/>
      <c r="X1494" s="24"/>
      <c r="Y1494" s="15"/>
      <c r="Z1494" s="15"/>
      <c r="AA1494" s="24"/>
      <c r="AB1494" s="24"/>
      <c r="AC1494" s="24"/>
      <c r="AD1494" s="24"/>
      <c r="AE1494" s="24"/>
      <c r="AF1494" s="24"/>
      <c r="AG1494" s="24"/>
      <c r="AH1494" s="24"/>
    </row>
    <row r="1495" spans="1:34" ht="90" x14ac:dyDescent="0.25">
      <c r="A1495" s="24" t="str">
        <f>HYPERLINK("https://www.cpso.on.ca/DoctorDetails/Mary-Ellen-Fergusson/0266872-93699","Fergusson, Mary Ellen")</f>
        <v>Fergusson, Mary Ellen</v>
      </c>
      <c r="B1495" s="25" t="s">
        <v>14305</v>
      </c>
      <c r="C1495" s="24" t="s">
        <v>14306</v>
      </c>
      <c r="D1495" s="24" t="s">
        <v>14307</v>
      </c>
      <c r="E1495" s="24" t="s">
        <v>29</v>
      </c>
      <c r="F1495" s="24" t="s">
        <v>47</v>
      </c>
      <c r="G1495" s="24" t="s">
        <v>31</v>
      </c>
      <c r="H1495" s="24" t="s">
        <v>1699</v>
      </c>
      <c r="I1495" s="24" t="s">
        <v>14308</v>
      </c>
      <c r="J1495" s="24" t="s">
        <v>6913</v>
      </c>
      <c r="K1495" s="24"/>
      <c r="L1495" s="24" t="s">
        <v>52</v>
      </c>
      <c r="M1495" s="15" t="s">
        <v>14309</v>
      </c>
      <c r="N1495" s="15"/>
      <c r="O1495" s="15"/>
      <c r="P1495" s="15" t="s">
        <v>14310</v>
      </c>
      <c r="Q1495" s="15" t="s">
        <v>14311</v>
      </c>
      <c r="R1495" s="15" t="s">
        <v>14312</v>
      </c>
      <c r="S1495" s="24" t="s">
        <v>39</v>
      </c>
      <c r="T1495" s="24" t="s">
        <v>39</v>
      </c>
      <c r="U1495" s="24" t="s">
        <v>39</v>
      </c>
      <c r="V1495" s="24" t="s">
        <v>39</v>
      </c>
      <c r="W1495" s="24"/>
      <c r="X1495" s="24"/>
      <c r="Y1495" s="15"/>
      <c r="Z1495" s="15"/>
      <c r="AA1495" s="24"/>
      <c r="AB1495" s="24"/>
      <c r="AC1495" s="24"/>
      <c r="AD1495" s="24"/>
      <c r="AE1495" s="24"/>
      <c r="AF1495" s="24"/>
      <c r="AG1495" s="24"/>
      <c r="AH1495" s="24"/>
    </row>
    <row r="1496" spans="1:34" x14ac:dyDescent="0.25">
      <c r="A1496" s="24" t="str">
        <f>HYPERLINK("https://www.cpso.on.ca/DoctorDetails/Mary-Kathryn-Hanson/0025981-30804","Hanson, Mary Kathryn")</f>
        <v>Hanson, Mary Kathryn</v>
      </c>
      <c r="B1496" s="25" t="s">
        <v>14313</v>
      </c>
      <c r="C1496" s="24" t="s">
        <v>14314</v>
      </c>
      <c r="D1496" s="24" t="s">
        <v>14315</v>
      </c>
      <c r="E1496" s="24" t="s">
        <v>14316</v>
      </c>
      <c r="F1496" s="24" t="s">
        <v>47</v>
      </c>
      <c r="G1496" s="24" t="s">
        <v>31</v>
      </c>
      <c r="H1496" s="24" t="s">
        <v>14317</v>
      </c>
      <c r="I1496" s="24" t="s">
        <v>14318</v>
      </c>
      <c r="J1496" s="24" t="s">
        <v>14319</v>
      </c>
      <c r="K1496" s="24" t="s">
        <v>14320</v>
      </c>
      <c r="L1496" s="24" t="s">
        <v>52</v>
      </c>
      <c r="M1496" s="15"/>
      <c r="N1496" s="15"/>
      <c r="O1496" s="15"/>
      <c r="P1496" s="15" t="s">
        <v>2597</v>
      </c>
      <c r="Q1496" s="15" t="s">
        <v>2634</v>
      </c>
      <c r="R1496" s="15" t="s">
        <v>14321</v>
      </c>
      <c r="S1496" s="24" t="s">
        <v>39</v>
      </c>
      <c r="T1496" s="24" t="s">
        <v>39</v>
      </c>
      <c r="U1496" s="24" t="s">
        <v>39</v>
      </c>
      <c r="V1496" s="24" t="s">
        <v>39</v>
      </c>
      <c r="W1496" s="24" t="s">
        <v>14322</v>
      </c>
      <c r="X1496" s="24" t="s">
        <v>14323</v>
      </c>
      <c r="Y1496" s="15" t="s">
        <v>14324</v>
      </c>
      <c r="Z1496" s="15" t="s">
        <v>14325</v>
      </c>
      <c r="AA1496" s="24"/>
      <c r="AB1496" s="24"/>
      <c r="AC1496" s="24"/>
      <c r="AD1496" s="24"/>
      <c r="AE1496" s="24"/>
      <c r="AF1496" s="24"/>
      <c r="AG1496" s="24"/>
      <c r="AH1496" s="24"/>
    </row>
    <row r="1497" spans="1:34" ht="30" x14ac:dyDescent="0.25">
      <c r="A1497" s="24" t="str">
        <f>HYPERLINK("https://www.cpso.on.ca/DoctorDetails/Mary-Kathryn-McLean/0037196-51172","McLean, Mary Kathryn")</f>
        <v>McLean, Mary Kathryn</v>
      </c>
      <c r="B1497" s="25" t="s">
        <v>14326</v>
      </c>
      <c r="C1497" s="24" t="s">
        <v>826</v>
      </c>
      <c r="D1497" s="24" t="s">
        <v>14327</v>
      </c>
      <c r="E1497" s="24" t="s">
        <v>29</v>
      </c>
      <c r="F1497" s="24" t="s">
        <v>47</v>
      </c>
      <c r="G1497" s="24" t="s">
        <v>31</v>
      </c>
      <c r="H1497" s="24" t="s">
        <v>14259</v>
      </c>
      <c r="I1497" s="24" t="s">
        <v>14328</v>
      </c>
      <c r="J1497" s="24" t="s">
        <v>14329</v>
      </c>
      <c r="K1497" s="24" t="s">
        <v>14330</v>
      </c>
      <c r="L1497" s="24" t="s">
        <v>52</v>
      </c>
      <c r="M1497" s="15"/>
      <c r="N1497" s="15"/>
      <c r="O1497" s="15"/>
      <c r="P1497" s="15" t="s">
        <v>1924</v>
      </c>
      <c r="Q1497" s="15"/>
      <c r="R1497" s="15" t="s">
        <v>14331</v>
      </c>
      <c r="S1497" s="24" t="s">
        <v>39</v>
      </c>
      <c r="T1497" s="24" t="s">
        <v>39</v>
      </c>
      <c r="U1497" s="24" t="s">
        <v>39</v>
      </c>
      <c r="V1497" s="24" t="s">
        <v>39</v>
      </c>
      <c r="W1497" s="24" t="s">
        <v>14332</v>
      </c>
      <c r="X1497" s="24" t="s">
        <v>9718</v>
      </c>
      <c r="Y1497" s="15" t="s">
        <v>14333</v>
      </c>
      <c r="Z1497" s="15" t="s">
        <v>14328</v>
      </c>
      <c r="AA1497" s="24"/>
      <c r="AB1497" s="24"/>
      <c r="AC1497" s="24"/>
      <c r="AD1497" s="24"/>
      <c r="AE1497" s="24"/>
      <c r="AF1497" s="24"/>
      <c r="AG1497" s="24"/>
      <c r="AH1497" s="24"/>
    </row>
    <row r="1498" spans="1:34" ht="120" x14ac:dyDescent="0.25">
      <c r="A1498" s="24" t="str">
        <f>HYPERLINK("https://www.cpso.on.ca/DoctorDetails/Mary-Lou-Mamuri-Dancel/0030495-42475","Dancel, Mary Lou Mamuri")</f>
        <v>Dancel, Mary Lou Mamuri</v>
      </c>
      <c r="B1498" s="25" t="s">
        <v>14334</v>
      </c>
      <c r="C1498" s="24" t="s">
        <v>14335</v>
      </c>
      <c r="D1498" s="24" t="s">
        <v>14336</v>
      </c>
      <c r="E1498" s="24" t="s">
        <v>29</v>
      </c>
      <c r="F1498" s="24" t="s">
        <v>47</v>
      </c>
      <c r="G1498" s="24" t="s">
        <v>2624</v>
      </c>
      <c r="H1498" s="24" t="s">
        <v>14337</v>
      </c>
      <c r="I1498" s="24" t="s">
        <v>14338</v>
      </c>
      <c r="J1498" s="24" t="s">
        <v>14339</v>
      </c>
      <c r="K1498" s="24" t="s">
        <v>14340</v>
      </c>
      <c r="L1498" s="24" t="s">
        <v>340</v>
      </c>
      <c r="M1498" s="15"/>
      <c r="N1498" s="15"/>
      <c r="O1498" s="15"/>
      <c r="P1498" s="15" t="s">
        <v>1192</v>
      </c>
      <c r="Q1498" s="15"/>
      <c r="R1498" s="15" t="s">
        <v>14341</v>
      </c>
      <c r="S1498" s="24" t="s">
        <v>71</v>
      </c>
      <c r="T1498" s="24" t="s">
        <v>39</v>
      </c>
      <c r="U1498" s="24" t="s">
        <v>39</v>
      </c>
      <c r="V1498" s="24" t="s">
        <v>71</v>
      </c>
      <c r="W1498" s="24"/>
      <c r="X1498" s="24"/>
      <c r="Y1498" s="15"/>
      <c r="Z1498" s="15"/>
      <c r="AA1498" s="24"/>
      <c r="AB1498" s="24"/>
      <c r="AC1498" s="24"/>
      <c r="AD1498" s="24"/>
      <c r="AE1498" s="24"/>
      <c r="AF1498" s="24"/>
      <c r="AG1498" s="24"/>
      <c r="AH1498" s="24"/>
    </row>
    <row r="1499" spans="1:34" ht="45" x14ac:dyDescent="0.25">
      <c r="A1499" s="24" t="str">
        <f>HYPERLINK("https://www.cpso.on.ca/DoctorDetails/Mary-Marjorie-Lilley/0027987-32810","Lilley, Mary Marjorie")</f>
        <v>Lilley, Mary Marjorie</v>
      </c>
      <c r="B1499" s="25" t="s">
        <v>14342</v>
      </c>
      <c r="C1499" s="24" t="s">
        <v>14343</v>
      </c>
      <c r="D1499" s="24" t="s">
        <v>14344</v>
      </c>
      <c r="E1499" s="24" t="s">
        <v>29</v>
      </c>
      <c r="F1499" s="24" t="s">
        <v>47</v>
      </c>
      <c r="G1499" s="24" t="s">
        <v>31</v>
      </c>
      <c r="H1499" s="24" t="s">
        <v>741</v>
      </c>
      <c r="I1499" s="24" t="s">
        <v>14345</v>
      </c>
      <c r="J1499" s="24" t="s">
        <v>14346</v>
      </c>
      <c r="K1499" s="24" t="s">
        <v>14347</v>
      </c>
      <c r="L1499" s="24" t="s">
        <v>52</v>
      </c>
      <c r="M1499" s="15" t="s">
        <v>14348</v>
      </c>
      <c r="N1499" s="15"/>
      <c r="O1499" s="15"/>
      <c r="P1499" s="15" t="s">
        <v>14349</v>
      </c>
      <c r="Q1499" s="15"/>
      <c r="R1499" s="15" t="s">
        <v>14350</v>
      </c>
      <c r="S1499" s="24" t="s">
        <v>39</v>
      </c>
      <c r="T1499" s="24" t="s">
        <v>39</v>
      </c>
      <c r="U1499" s="24" t="s">
        <v>39</v>
      </c>
      <c r="V1499" s="24" t="s">
        <v>39</v>
      </c>
      <c r="W1499" s="24" t="s">
        <v>14351</v>
      </c>
      <c r="X1499" s="24" t="s">
        <v>14352</v>
      </c>
      <c r="Y1499" s="15" t="s">
        <v>14353</v>
      </c>
      <c r="Z1499" s="15" t="s">
        <v>14354</v>
      </c>
      <c r="AA1499" s="24"/>
      <c r="AB1499" s="24"/>
      <c r="AC1499" s="24"/>
      <c r="AD1499" s="24"/>
      <c r="AE1499" s="24"/>
      <c r="AF1499" s="24"/>
      <c r="AG1499" s="24"/>
      <c r="AH1499" s="24"/>
    </row>
    <row r="1500" spans="1:34" ht="30" x14ac:dyDescent="0.25">
      <c r="A1500" s="24" t="str">
        <f>HYPERLINK("https://www.cpso.on.ca/DoctorDetails/Mary-Mccraney-Martin/0016450-21235","Martin, Mary Mccraney")</f>
        <v>Martin, Mary Mccraney</v>
      </c>
      <c r="B1500" s="25" t="s">
        <v>14355</v>
      </c>
      <c r="C1500" s="24" t="s">
        <v>14356</v>
      </c>
      <c r="D1500" s="24" t="s">
        <v>14357</v>
      </c>
      <c r="E1500" s="24" t="s">
        <v>14358</v>
      </c>
      <c r="F1500" s="24" t="s">
        <v>47</v>
      </c>
      <c r="G1500" s="24" t="s">
        <v>31</v>
      </c>
      <c r="H1500" s="24" t="s">
        <v>14359</v>
      </c>
      <c r="I1500" s="24" t="s">
        <v>5606</v>
      </c>
      <c r="J1500" s="24" t="s">
        <v>14360</v>
      </c>
      <c r="K1500" s="24"/>
      <c r="L1500" s="24" t="s">
        <v>84</v>
      </c>
      <c r="M1500" s="15"/>
      <c r="N1500" s="15"/>
      <c r="O1500" s="15"/>
      <c r="P1500" s="15" t="s">
        <v>5323</v>
      </c>
      <c r="Q1500" s="15"/>
      <c r="R1500" s="15" t="s">
        <v>14361</v>
      </c>
      <c r="S1500" s="24" t="s">
        <v>39</v>
      </c>
      <c r="T1500" s="24" t="s">
        <v>39</v>
      </c>
      <c r="U1500" s="24" t="s">
        <v>39</v>
      </c>
      <c r="V1500" s="24" t="s">
        <v>39</v>
      </c>
      <c r="W1500" s="24"/>
      <c r="X1500" s="24"/>
      <c r="Y1500" s="15"/>
      <c r="Z1500" s="15"/>
      <c r="AA1500" s="24"/>
      <c r="AB1500" s="24"/>
      <c r="AC1500" s="24"/>
      <c r="AD1500" s="24"/>
      <c r="AE1500" s="24"/>
      <c r="AF1500" s="24"/>
      <c r="AG1500" s="24"/>
      <c r="AH1500" s="24"/>
    </row>
    <row r="1501" spans="1:34" x14ac:dyDescent="0.25">
      <c r="A1501" s="24" t="str">
        <f>HYPERLINK("https://www.cpso.on.ca/DoctorDetails/Mary-Naidu/0051036-65015","Naidu, Mary")</f>
        <v>Naidu, Mary</v>
      </c>
      <c r="B1501" s="25" t="s">
        <v>14362</v>
      </c>
      <c r="C1501" s="24" t="s">
        <v>14363</v>
      </c>
      <c r="D1501" s="24" t="s">
        <v>14364</v>
      </c>
      <c r="E1501" s="24" t="s">
        <v>29</v>
      </c>
      <c r="F1501" s="24" t="s">
        <v>47</v>
      </c>
      <c r="G1501" s="24" t="s">
        <v>31</v>
      </c>
      <c r="H1501" s="24" t="s">
        <v>6258</v>
      </c>
      <c r="I1501" s="24" t="s">
        <v>12726</v>
      </c>
      <c r="J1501" s="24" t="s">
        <v>10489</v>
      </c>
      <c r="K1501" s="24" t="s">
        <v>10490</v>
      </c>
      <c r="L1501" s="24" t="s">
        <v>52</v>
      </c>
      <c r="M1501" s="15"/>
      <c r="N1501" s="15"/>
      <c r="O1501" s="15"/>
      <c r="P1501" s="15" t="s">
        <v>2470</v>
      </c>
      <c r="Q1501" s="15"/>
      <c r="R1501" s="15" t="s">
        <v>14365</v>
      </c>
      <c r="S1501" s="24" t="s">
        <v>39</v>
      </c>
      <c r="T1501" s="24" t="s">
        <v>39</v>
      </c>
      <c r="U1501" s="24" t="s">
        <v>39</v>
      </c>
      <c r="V1501" s="24" t="s">
        <v>39</v>
      </c>
      <c r="W1501" s="24" t="s">
        <v>14366</v>
      </c>
      <c r="X1501" s="24" t="s">
        <v>14367</v>
      </c>
      <c r="Y1501" s="15" t="s">
        <v>14368</v>
      </c>
      <c r="Z1501" s="15" t="s">
        <v>14369</v>
      </c>
      <c r="AA1501" s="24"/>
      <c r="AB1501" s="24"/>
      <c r="AC1501" s="24"/>
      <c r="AD1501" s="24"/>
      <c r="AE1501" s="24"/>
      <c r="AF1501" s="24"/>
      <c r="AG1501" s="24"/>
      <c r="AH1501" s="24"/>
    </row>
    <row r="1502" spans="1:34" ht="75" x14ac:dyDescent="0.25">
      <c r="A1502" s="24" t="str">
        <f>HYPERLINK("https://www.cpso.on.ca/DoctorDetails/Mary-Preisman/0250020-88624","Preisman, Mary")</f>
        <v>Preisman, Mary</v>
      </c>
      <c r="B1502" s="25" t="s">
        <v>14370</v>
      </c>
      <c r="C1502" s="24" t="s">
        <v>846</v>
      </c>
      <c r="D1502" s="24" t="s">
        <v>600</v>
      </c>
      <c r="E1502" s="24" t="s">
        <v>29</v>
      </c>
      <c r="F1502" s="24" t="s">
        <v>47</v>
      </c>
      <c r="G1502" s="24" t="s">
        <v>31</v>
      </c>
      <c r="H1502" s="24" t="s">
        <v>2356</v>
      </c>
      <c r="I1502" s="24" t="s">
        <v>14371</v>
      </c>
      <c r="J1502" s="24" t="s">
        <v>14372</v>
      </c>
      <c r="K1502" s="24" t="s">
        <v>1528</v>
      </c>
      <c r="L1502" s="24" t="s">
        <v>52</v>
      </c>
      <c r="M1502" s="15"/>
      <c r="N1502" s="15"/>
      <c r="O1502" s="15" t="s">
        <v>438</v>
      </c>
      <c r="P1502" s="15" t="s">
        <v>272</v>
      </c>
      <c r="Q1502" s="15" t="s">
        <v>273</v>
      </c>
      <c r="R1502" s="15" t="s">
        <v>853</v>
      </c>
      <c r="S1502" s="24" t="s">
        <v>39</v>
      </c>
      <c r="T1502" s="24" t="s">
        <v>39</v>
      </c>
      <c r="U1502" s="24" t="s">
        <v>39</v>
      </c>
      <c r="V1502" s="24" t="s">
        <v>39</v>
      </c>
      <c r="W1502" s="24" t="s">
        <v>14373</v>
      </c>
      <c r="X1502" s="24" t="s">
        <v>14374</v>
      </c>
      <c r="Y1502" s="15" t="s">
        <v>14375</v>
      </c>
      <c r="Z1502" s="15" t="s">
        <v>14376</v>
      </c>
      <c r="AA1502" s="24"/>
      <c r="AB1502" s="24"/>
      <c r="AC1502" s="24"/>
      <c r="AD1502" s="24"/>
      <c r="AE1502" s="24"/>
      <c r="AF1502" s="24"/>
      <c r="AG1502" s="24"/>
      <c r="AH1502" s="24"/>
    </row>
    <row r="1503" spans="1:34" ht="75" x14ac:dyDescent="0.25">
      <c r="A1503" s="24" t="str">
        <f>HYPERLINK("https://www.cpso.on.ca/DoctorDetails/MaryClare-Hogan-Royle/0203409-79207","Royle, Mary-Clare Hogan")</f>
        <v>Royle, Mary-Clare Hogan</v>
      </c>
      <c r="B1503" s="25" t="s">
        <v>14377</v>
      </c>
      <c r="C1503" s="24" t="s">
        <v>871</v>
      </c>
      <c r="D1503" s="24" t="s">
        <v>872</v>
      </c>
      <c r="E1503" s="24" t="s">
        <v>29</v>
      </c>
      <c r="F1503" s="24" t="s">
        <v>47</v>
      </c>
      <c r="G1503" s="24" t="s">
        <v>813</v>
      </c>
      <c r="H1503" s="24" t="s">
        <v>8516</v>
      </c>
      <c r="I1503" s="24" t="s">
        <v>14378</v>
      </c>
      <c r="J1503" s="24" t="s">
        <v>14379</v>
      </c>
      <c r="K1503" s="24"/>
      <c r="L1503" s="24" t="s">
        <v>84</v>
      </c>
      <c r="M1503" s="15" t="s">
        <v>14380</v>
      </c>
      <c r="N1503" s="15"/>
      <c r="O1503" s="15" t="s">
        <v>3979</v>
      </c>
      <c r="P1503" s="15" t="s">
        <v>880</v>
      </c>
      <c r="Q1503" s="15" t="s">
        <v>10500</v>
      </c>
      <c r="R1503" s="15" t="s">
        <v>882</v>
      </c>
      <c r="S1503" s="24" t="s">
        <v>39</v>
      </c>
      <c r="T1503" s="24" t="s">
        <v>39</v>
      </c>
      <c r="U1503" s="24" t="s">
        <v>39</v>
      </c>
      <c r="V1503" s="24" t="s">
        <v>39</v>
      </c>
      <c r="W1503" s="24" t="s">
        <v>7913</v>
      </c>
      <c r="X1503" s="24" t="s">
        <v>7914</v>
      </c>
      <c r="Y1503" s="15" t="s">
        <v>7915</v>
      </c>
      <c r="Z1503" s="15" t="s">
        <v>7916</v>
      </c>
      <c r="AA1503" s="24" t="s">
        <v>7917</v>
      </c>
      <c r="AB1503" s="24" t="s">
        <v>7918</v>
      </c>
      <c r="AC1503" s="24" t="s">
        <v>7915</v>
      </c>
      <c r="AD1503" s="24" t="s">
        <v>7919</v>
      </c>
      <c r="AE1503" s="24"/>
      <c r="AF1503" s="24"/>
      <c r="AG1503" s="24"/>
      <c r="AH1503" s="24"/>
    </row>
    <row r="1504" spans="1:34" ht="60" x14ac:dyDescent="0.25">
      <c r="A1504" s="24" t="str">
        <f>HYPERLINK("https://www.cpso.on.ca/DoctorDetails/Maryam-Alikouzehgaran/0221933-82179","Alikouzehgaran, Maryam")</f>
        <v>Alikouzehgaran, Maryam</v>
      </c>
      <c r="B1504" s="25" t="s">
        <v>14381</v>
      </c>
      <c r="C1504" s="24" t="s">
        <v>14382</v>
      </c>
      <c r="D1504" s="24" t="s">
        <v>14383</v>
      </c>
      <c r="E1504" s="24" t="s">
        <v>29</v>
      </c>
      <c r="F1504" s="24" t="s">
        <v>47</v>
      </c>
      <c r="G1504" s="24" t="s">
        <v>522</v>
      </c>
      <c r="H1504" s="24" t="s">
        <v>14384</v>
      </c>
      <c r="I1504" s="24" t="s">
        <v>14385</v>
      </c>
      <c r="J1504" s="24" t="s">
        <v>14386</v>
      </c>
      <c r="K1504" s="24" t="s">
        <v>14387</v>
      </c>
      <c r="L1504" s="24"/>
      <c r="M1504" s="15"/>
      <c r="N1504" s="15" t="s">
        <v>258</v>
      </c>
      <c r="O1504" s="15"/>
      <c r="P1504" s="15" t="s">
        <v>3037</v>
      </c>
      <c r="Q1504" s="15" t="s">
        <v>14388</v>
      </c>
      <c r="R1504" s="15" t="s">
        <v>14389</v>
      </c>
      <c r="S1504" s="24" t="s">
        <v>71</v>
      </c>
      <c r="T1504" s="24" t="s">
        <v>39</v>
      </c>
      <c r="U1504" s="24" t="s">
        <v>39</v>
      </c>
      <c r="V1504" s="24" t="s">
        <v>39</v>
      </c>
      <c r="W1504" s="24"/>
      <c r="X1504" s="24"/>
      <c r="Y1504" s="15"/>
      <c r="Z1504" s="15"/>
      <c r="AA1504" s="24"/>
      <c r="AB1504" s="24"/>
      <c r="AC1504" s="24"/>
      <c r="AD1504" s="24"/>
      <c r="AE1504" s="24"/>
      <c r="AF1504" s="24"/>
      <c r="AG1504" s="24"/>
      <c r="AH1504" s="24"/>
    </row>
    <row r="1505" spans="1:34" ht="30" x14ac:dyDescent="0.25">
      <c r="A1505" s="24" t="str">
        <f>HYPERLINK("https://www.cpso.on.ca/DoctorDetails/Maryana-Hryhorivna-Kravtsenyuk/0304232-107361","Kravtsenyuk, Maryana Hryhorivna")</f>
        <v>Kravtsenyuk, Maryana Hryhorivna</v>
      </c>
      <c r="B1505" s="25" t="s">
        <v>14390</v>
      </c>
      <c r="C1505" s="24" t="s">
        <v>1350</v>
      </c>
      <c r="D1505" s="24" t="s">
        <v>14391</v>
      </c>
      <c r="E1505" s="24" t="s">
        <v>14392</v>
      </c>
      <c r="F1505" s="24" t="s">
        <v>47</v>
      </c>
      <c r="G1505" s="24" t="s">
        <v>31</v>
      </c>
      <c r="H1505" s="24" t="s">
        <v>14393</v>
      </c>
      <c r="I1505" s="24" t="s">
        <v>14394</v>
      </c>
      <c r="J1505" s="24" t="s">
        <v>3848</v>
      </c>
      <c r="K1505" s="24"/>
      <c r="L1505" s="24" t="s">
        <v>3849</v>
      </c>
      <c r="M1505" s="15"/>
      <c r="N1505" s="15" t="s">
        <v>258</v>
      </c>
      <c r="O1505" s="15"/>
      <c r="P1505" s="15" t="s">
        <v>7789</v>
      </c>
      <c r="Q1505" s="15" t="s">
        <v>14395</v>
      </c>
      <c r="R1505" s="15" t="s">
        <v>14396</v>
      </c>
      <c r="S1505" s="24" t="s">
        <v>39</v>
      </c>
      <c r="T1505" s="24" t="s">
        <v>39</v>
      </c>
      <c r="U1505" s="24" t="s">
        <v>39</v>
      </c>
      <c r="V1505" s="24" t="s">
        <v>39</v>
      </c>
      <c r="W1505" s="24" t="s">
        <v>14397</v>
      </c>
      <c r="X1505" s="24" t="s">
        <v>14398</v>
      </c>
      <c r="Y1505" s="15" t="s">
        <v>14399</v>
      </c>
      <c r="Z1505" s="15" t="s">
        <v>14400</v>
      </c>
      <c r="AA1505" s="24"/>
      <c r="AB1505" s="24"/>
      <c r="AC1505" s="24"/>
      <c r="AD1505" s="24"/>
      <c r="AE1505" s="24"/>
      <c r="AF1505" s="24"/>
      <c r="AG1505" s="24"/>
      <c r="AH1505" s="24"/>
    </row>
    <row r="1506" spans="1:34" ht="135" x14ac:dyDescent="0.25">
      <c r="A1506" s="24" t="str">
        <f>HYPERLINK("https://www.cpso.on.ca/DoctorDetails/Maryna-Mammoliti/0266389-92995","Mammoliti, Maryna")</f>
        <v>Mammoliti, Maryna</v>
      </c>
      <c r="B1506" s="25" t="s">
        <v>14401</v>
      </c>
      <c r="C1506" s="24" t="s">
        <v>570</v>
      </c>
      <c r="D1506" s="24" t="s">
        <v>571</v>
      </c>
      <c r="E1506" s="24" t="s">
        <v>29</v>
      </c>
      <c r="F1506" s="24" t="s">
        <v>47</v>
      </c>
      <c r="G1506" s="24" t="s">
        <v>31</v>
      </c>
      <c r="H1506" s="24" t="s">
        <v>10312</v>
      </c>
      <c r="I1506" s="24" t="s">
        <v>14402</v>
      </c>
      <c r="J1506" s="24" t="s">
        <v>14403</v>
      </c>
      <c r="K1506" s="24" t="s">
        <v>14404</v>
      </c>
      <c r="L1506" s="24" t="s">
        <v>135</v>
      </c>
      <c r="M1506" s="15" t="s">
        <v>14405</v>
      </c>
      <c r="N1506" s="15"/>
      <c r="O1506" s="15" t="s">
        <v>14406</v>
      </c>
      <c r="P1506" s="15" t="s">
        <v>629</v>
      </c>
      <c r="Q1506" s="15" t="s">
        <v>14407</v>
      </c>
      <c r="R1506" s="15" t="s">
        <v>1706</v>
      </c>
      <c r="S1506" s="24" t="s">
        <v>39</v>
      </c>
      <c r="T1506" s="24" t="s">
        <v>39</v>
      </c>
      <c r="U1506" s="24" t="s">
        <v>39</v>
      </c>
      <c r="V1506" s="24" t="s">
        <v>39</v>
      </c>
      <c r="W1506" s="24" t="s">
        <v>14408</v>
      </c>
      <c r="X1506" s="24" t="s">
        <v>14409</v>
      </c>
      <c r="Y1506" s="15" t="s">
        <v>14410</v>
      </c>
      <c r="Z1506" s="15" t="s">
        <v>14411</v>
      </c>
      <c r="AA1506" s="24"/>
      <c r="AB1506" s="24"/>
      <c r="AC1506" s="24"/>
      <c r="AD1506" s="24"/>
      <c r="AE1506" s="24"/>
      <c r="AF1506" s="24"/>
      <c r="AG1506" s="24"/>
      <c r="AH1506" s="24"/>
    </row>
    <row r="1507" spans="1:34" ht="75" x14ac:dyDescent="0.25">
      <c r="A1507" s="24" t="str">
        <f>HYPERLINK("https://www.cpso.on.ca/DoctorDetails/Maryse-Dion/0147089-73019","Dion, Maryse")</f>
        <v>Dion, Maryse</v>
      </c>
      <c r="B1507" s="25" t="s">
        <v>14412</v>
      </c>
      <c r="C1507" s="24" t="s">
        <v>14413</v>
      </c>
      <c r="D1507" s="24" t="s">
        <v>14414</v>
      </c>
      <c r="E1507" s="24" t="s">
        <v>29</v>
      </c>
      <c r="F1507" s="24" t="s">
        <v>47</v>
      </c>
      <c r="G1507" s="24" t="s">
        <v>813</v>
      </c>
      <c r="H1507" s="24" t="s">
        <v>14415</v>
      </c>
      <c r="I1507" s="24" t="s">
        <v>14416</v>
      </c>
      <c r="J1507" s="24" t="s">
        <v>14417</v>
      </c>
      <c r="K1507" s="24" t="s">
        <v>14418</v>
      </c>
      <c r="L1507" s="24" t="s">
        <v>84</v>
      </c>
      <c r="M1507" s="15"/>
      <c r="N1507" s="15" t="s">
        <v>710</v>
      </c>
      <c r="O1507" s="15"/>
      <c r="P1507" s="15" t="s">
        <v>14419</v>
      </c>
      <c r="Q1507" s="15" t="s">
        <v>14420</v>
      </c>
      <c r="R1507" s="15" t="s">
        <v>14421</v>
      </c>
      <c r="S1507" s="24" t="s">
        <v>39</v>
      </c>
      <c r="T1507" s="24" t="s">
        <v>39</v>
      </c>
      <c r="U1507" s="24" t="s">
        <v>39</v>
      </c>
      <c r="V1507" s="24" t="s">
        <v>39</v>
      </c>
      <c r="W1507" s="24"/>
      <c r="X1507" s="24"/>
      <c r="Y1507" s="15"/>
      <c r="Z1507" s="15"/>
      <c r="AA1507" s="24"/>
      <c r="AB1507" s="24"/>
      <c r="AC1507" s="24"/>
      <c r="AD1507" s="24"/>
      <c r="AE1507" s="24"/>
      <c r="AF1507" s="24"/>
      <c r="AG1507" s="24"/>
      <c r="AH1507" s="24"/>
    </row>
    <row r="1508" spans="1:34" x14ac:dyDescent="0.25">
      <c r="A1508" s="24" t="str">
        <f>HYPERLINK("https://www.cpso.on.ca/DoctorDetails/Maryse-Pare/0055897-67680","Pare, Maryse")</f>
        <v>Pare, Maryse</v>
      </c>
      <c r="B1508" s="25" t="s">
        <v>14422</v>
      </c>
      <c r="C1508" s="24" t="s">
        <v>14423</v>
      </c>
      <c r="D1508" s="24" t="s">
        <v>14424</v>
      </c>
      <c r="E1508" s="24" t="s">
        <v>29</v>
      </c>
      <c r="F1508" s="24" t="s">
        <v>47</v>
      </c>
      <c r="G1508" s="24" t="s">
        <v>2047</v>
      </c>
      <c r="H1508" s="24" t="s">
        <v>14425</v>
      </c>
      <c r="I1508" s="24" t="s">
        <v>14426</v>
      </c>
      <c r="J1508" s="24" t="s">
        <v>14427</v>
      </c>
      <c r="K1508" s="24"/>
      <c r="L1508" s="24"/>
      <c r="M1508" s="15"/>
      <c r="N1508" s="15" t="s">
        <v>710</v>
      </c>
      <c r="O1508" s="15"/>
      <c r="P1508" s="15" t="s">
        <v>14428</v>
      </c>
      <c r="Q1508" s="15"/>
      <c r="R1508" s="15" t="s">
        <v>14429</v>
      </c>
      <c r="S1508" s="24" t="s">
        <v>39</v>
      </c>
      <c r="T1508" s="24" t="s">
        <v>39</v>
      </c>
      <c r="U1508" s="24" t="s">
        <v>39</v>
      </c>
      <c r="V1508" s="24" t="s">
        <v>39</v>
      </c>
      <c r="W1508" s="24"/>
      <c r="X1508" s="24"/>
      <c r="Y1508" s="15"/>
      <c r="Z1508" s="15"/>
      <c r="AA1508" s="24"/>
      <c r="AB1508" s="24"/>
      <c r="AC1508" s="24"/>
      <c r="AD1508" s="24"/>
      <c r="AE1508" s="24"/>
      <c r="AF1508" s="24"/>
      <c r="AG1508" s="24"/>
      <c r="AH1508" s="24"/>
    </row>
    <row r="1509" spans="1:34" ht="45" x14ac:dyDescent="0.25">
      <c r="A1509" s="24" t="str">
        <f>HYPERLINK("https://www.cpso.on.ca/DoctorDetails/Maselle-Gaerlan-Virey/0038325-52301","Virey, Maselle Gaerlan")</f>
        <v>Virey, Maselle Gaerlan</v>
      </c>
      <c r="B1509" s="25" t="s">
        <v>14430</v>
      </c>
      <c r="C1509" s="24" t="s">
        <v>14431</v>
      </c>
      <c r="D1509" s="24" t="s">
        <v>8963</v>
      </c>
      <c r="E1509" s="24" t="s">
        <v>29</v>
      </c>
      <c r="F1509" s="24" t="s">
        <v>30</v>
      </c>
      <c r="G1509" s="24" t="s">
        <v>13621</v>
      </c>
      <c r="H1509" s="24" t="s">
        <v>14432</v>
      </c>
      <c r="I1509" s="24" t="s">
        <v>14433</v>
      </c>
      <c r="J1509" s="24" t="s">
        <v>14434</v>
      </c>
      <c r="K1509" s="24" t="s">
        <v>14435</v>
      </c>
      <c r="L1509" s="24" t="s">
        <v>36</v>
      </c>
      <c r="M1509" s="15" t="s">
        <v>14436</v>
      </c>
      <c r="N1509" s="15"/>
      <c r="O1509" s="15" t="s">
        <v>6080</v>
      </c>
      <c r="P1509" s="15" t="s">
        <v>2484</v>
      </c>
      <c r="Q1509" s="15"/>
      <c r="R1509" s="15" t="s">
        <v>14437</v>
      </c>
      <c r="S1509" s="24" t="s">
        <v>39</v>
      </c>
      <c r="T1509" s="24" t="s">
        <v>39</v>
      </c>
      <c r="U1509" s="24" t="s">
        <v>39</v>
      </c>
      <c r="V1509" s="24" t="s">
        <v>39</v>
      </c>
      <c r="W1509" s="24" t="s">
        <v>14438</v>
      </c>
      <c r="X1509" s="24" t="s">
        <v>14439</v>
      </c>
      <c r="Y1509" s="15" t="s">
        <v>14440</v>
      </c>
      <c r="Z1509" s="15" t="s">
        <v>14441</v>
      </c>
      <c r="AA1509" s="24"/>
      <c r="AB1509" s="24"/>
      <c r="AC1509" s="24"/>
      <c r="AD1509" s="24"/>
      <c r="AE1509" s="24"/>
      <c r="AF1509" s="24"/>
      <c r="AG1509" s="24"/>
      <c r="AH1509" s="24"/>
    </row>
    <row r="1510" spans="1:34" ht="75" x14ac:dyDescent="0.25">
      <c r="A1510" s="24" t="str">
        <f>HYPERLINK("https://www.cpso.on.ca/DoctorDetails/Masood-Ahmad-Nasri/0215826-85491","Nasri, Masood Ahmad")</f>
        <v>Nasri, Masood Ahmad</v>
      </c>
      <c r="B1510" s="25" t="s">
        <v>14442</v>
      </c>
      <c r="C1510" s="24" t="s">
        <v>14443</v>
      </c>
      <c r="D1510" s="24" t="s">
        <v>14444</v>
      </c>
      <c r="E1510" s="24" t="s">
        <v>29</v>
      </c>
      <c r="F1510" s="24" t="s">
        <v>30</v>
      </c>
      <c r="G1510" s="24" t="s">
        <v>31</v>
      </c>
      <c r="H1510" s="24" t="s">
        <v>14445</v>
      </c>
      <c r="I1510" s="24" t="s">
        <v>150</v>
      </c>
      <c r="J1510" s="24" t="s">
        <v>14446</v>
      </c>
      <c r="K1510" s="24" t="s">
        <v>14447</v>
      </c>
      <c r="L1510" s="24" t="s">
        <v>152</v>
      </c>
      <c r="M1510" s="15" t="s">
        <v>14448</v>
      </c>
      <c r="N1510" s="15" t="s">
        <v>1571</v>
      </c>
      <c r="O1510" s="15" t="s">
        <v>95</v>
      </c>
      <c r="P1510" s="15" t="s">
        <v>14449</v>
      </c>
      <c r="Q1510" s="15"/>
      <c r="R1510" s="15" t="s">
        <v>14450</v>
      </c>
      <c r="S1510" s="24" t="s">
        <v>71</v>
      </c>
      <c r="T1510" s="24" t="s">
        <v>39</v>
      </c>
      <c r="U1510" s="24" t="s">
        <v>39</v>
      </c>
      <c r="V1510" s="24" t="s">
        <v>39</v>
      </c>
      <c r="W1510" s="24" t="s">
        <v>14451</v>
      </c>
      <c r="X1510" s="24" t="s">
        <v>14452</v>
      </c>
      <c r="Y1510" s="15" t="s">
        <v>14453</v>
      </c>
      <c r="Z1510" s="15" t="s">
        <v>13002</v>
      </c>
      <c r="AA1510" s="24"/>
      <c r="AB1510" s="24"/>
      <c r="AC1510" s="24"/>
      <c r="AD1510" s="24"/>
      <c r="AE1510" s="24"/>
      <c r="AF1510" s="24"/>
      <c r="AG1510" s="24"/>
      <c r="AH1510" s="24"/>
    </row>
    <row r="1511" spans="1:34" ht="75" x14ac:dyDescent="0.25">
      <c r="A1511" s="24" t="str">
        <f>HYPERLINK("https://www.cpso.on.ca/DoctorDetails/Mateusz-Jerzy-Zurowski/0150234-72533","Zurowski, Mateusz Jerzy")</f>
        <v>Zurowski, Mateusz Jerzy</v>
      </c>
      <c r="B1511" s="25" t="s">
        <v>14454</v>
      </c>
      <c r="C1511" s="24" t="s">
        <v>954</v>
      </c>
      <c r="D1511" s="24" t="s">
        <v>1323</v>
      </c>
      <c r="E1511" s="24" t="s">
        <v>29</v>
      </c>
      <c r="F1511" s="24" t="s">
        <v>30</v>
      </c>
      <c r="G1511" s="24" t="s">
        <v>1657</v>
      </c>
      <c r="H1511" s="24" t="s">
        <v>14455</v>
      </c>
      <c r="I1511" s="24" t="s">
        <v>14456</v>
      </c>
      <c r="J1511" s="24" t="s">
        <v>14457</v>
      </c>
      <c r="K1511" s="24" t="s">
        <v>10978</v>
      </c>
      <c r="L1511" s="24" t="s">
        <v>52</v>
      </c>
      <c r="M1511" s="15"/>
      <c r="N1511" s="15"/>
      <c r="O1511" s="15" t="s">
        <v>1867</v>
      </c>
      <c r="P1511" s="15" t="s">
        <v>1330</v>
      </c>
      <c r="Q1511" s="15" t="s">
        <v>2170</v>
      </c>
      <c r="R1511" s="15" t="s">
        <v>2171</v>
      </c>
      <c r="S1511" s="24" t="s">
        <v>39</v>
      </c>
      <c r="T1511" s="24" t="s">
        <v>39</v>
      </c>
      <c r="U1511" s="24" t="s">
        <v>39</v>
      </c>
      <c r="V1511" s="24" t="s">
        <v>39</v>
      </c>
      <c r="W1511" s="24" t="s">
        <v>14458</v>
      </c>
      <c r="X1511" s="24" t="s">
        <v>14459</v>
      </c>
      <c r="Y1511" s="15" t="s">
        <v>14460</v>
      </c>
      <c r="Z1511" s="15" t="s">
        <v>14461</v>
      </c>
      <c r="AA1511" s="24"/>
      <c r="AB1511" s="24"/>
      <c r="AC1511" s="24"/>
      <c r="AD1511" s="24"/>
      <c r="AE1511" s="24"/>
      <c r="AF1511" s="24"/>
      <c r="AG1511" s="24"/>
      <c r="AH1511" s="24"/>
    </row>
    <row r="1512" spans="1:34" ht="120" x14ac:dyDescent="0.25">
      <c r="A1512" s="24" t="str">
        <f>HYPERLINK("https://www.cpso.on.ca/DoctorDetails/Mathieu-Dufour/0243995-87280","Dufour, Mathieu")</f>
        <v>Dufour, Mathieu</v>
      </c>
      <c r="B1512" s="25" t="s">
        <v>14462</v>
      </c>
      <c r="C1512" s="24" t="s">
        <v>1115</v>
      </c>
      <c r="D1512" s="24" t="s">
        <v>14463</v>
      </c>
      <c r="E1512" s="24" t="s">
        <v>29</v>
      </c>
      <c r="F1512" s="24" t="s">
        <v>30</v>
      </c>
      <c r="G1512" s="24" t="s">
        <v>813</v>
      </c>
      <c r="H1512" s="24" t="s">
        <v>7718</v>
      </c>
      <c r="I1512" s="24" t="s">
        <v>14464</v>
      </c>
      <c r="J1512" s="24" t="s">
        <v>992</v>
      </c>
      <c r="K1512" s="24" t="s">
        <v>14465</v>
      </c>
      <c r="L1512" s="24" t="s">
        <v>84</v>
      </c>
      <c r="M1512" s="15"/>
      <c r="N1512" s="15"/>
      <c r="O1512" s="15" t="s">
        <v>3045</v>
      </c>
      <c r="P1512" s="15" t="s">
        <v>1074</v>
      </c>
      <c r="Q1512" s="15" t="s">
        <v>14466</v>
      </c>
      <c r="R1512" s="15" t="s">
        <v>14467</v>
      </c>
      <c r="S1512" s="24" t="s">
        <v>39</v>
      </c>
      <c r="T1512" s="24" t="s">
        <v>39</v>
      </c>
      <c r="U1512" s="24" t="s">
        <v>39</v>
      </c>
      <c r="V1512" s="24" t="s">
        <v>39</v>
      </c>
      <c r="W1512" s="24" t="s">
        <v>14468</v>
      </c>
      <c r="X1512" s="24" t="s">
        <v>7724</v>
      </c>
      <c r="Y1512" s="15" t="s">
        <v>14469</v>
      </c>
      <c r="Z1512" s="15" t="s">
        <v>718</v>
      </c>
      <c r="AA1512" s="24"/>
      <c r="AB1512" s="24"/>
      <c r="AC1512" s="24"/>
      <c r="AD1512" s="24"/>
      <c r="AE1512" s="24"/>
      <c r="AF1512" s="24"/>
      <c r="AG1512" s="24"/>
      <c r="AH1512" s="24"/>
    </row>
    <row r="1513" spans="1:34" ht="45" x14ac:dyDescent="0.25">
      <c r="A1513" s="24" t="str">
        <f>HYPERLINK("https://www.cpso.on.ca/DoctorDetails/Matthew-Anthony-DeAngelis/0200867-83222","DeAngelis, Matthew Anthony")</f>
        <v>DeAngelis, Matthew Anthony</v>
      </c>
      <c r="B1513" s="25" t="s">
        <v>14470</v>
      </c>
      <c r="C1513" s="24" t="s">
        <v>14471</v>
      </c>
      <c r="D1513" s="24" t="s">
        <v>14472</v>
      </c>
      <c r="E1513" s="24" t="s">
        <v>29</v>
      </c>
      <c r="F1513" s="24" t="s">
        <v>30</v>
      </c>
      <c r="G1513" s="24" t="s">
        <v>31</v>
      </c>
      <c r="H1513" s="24" t="s">
        <v>1780</v>
      </c>
      <c r="I1513" s="24" t="s">
        <v>14473</v>
      </c>
      <c r="J1513" s="24" t="s">
        <v>14474</v>
      </c>
      <c r="K1513" s="24" t="s">
        <v>14475</v>
      </c>
      <c r="L1513" s="24" t="s">
        <v>84</v>
      </c>
      <c r="M1513" s="15"/>
      <c r="N1513" s="15"/>
      <c r="O1513" s="15"/>
      <c r="P1513" s="15" t="s">
        <v>880</v>
      </c>
      <c r="Q1513" s="15" t="s">
        <v>14476</v>
      </c>
      <c r="R1513" s="15" t="s">
        <v>14477</v>
      </c>
      <c r="S1513" s="24" t="s">
        <v>39</v>
      </c>
      <c r="T1513" s="24" t="s">
        <v>39</v>
      </c>
      <c r="U1513" s="24" t="s">
        <v>39</v>
      </c>
      <c r="V1513" s="24" t="s">
        <v>39</v>
      </c>
      <c r="W1513" s="24" t="s">
        <v>14478</v>
      </c>
      <c r="X1513" s="24" t="s">
        <v>4075</v>
      </c>
      <c r="Y1513" s="15" t="s">
        <v>14479</v>
      </c>
      <c r="Z1513" s="15" t="s">
        <v>14480</v>
      </c>
      <c r="AA1513" s="24"/>
      <c r="AB1513" s="24"/>
      <c r="AC1513" s="24"/>
      <c r="AD1513" s="24"/>
      <c r="AE1513" s="24"/>
      <c r="AF1513" s="24"/>
      <c r="AG1513" s="24"/>
      <c r="AH1513" s="24"/>
    </row>
    <row r="1514" spans="1:34" ht="75" x14ac:dyDescent="0.25">
      <c r="A1514" s="24" t="str">
        <f>HYPERLINK("https://www.cpso.on.ca/DoctorDetails/Matthew-David-Levy/0201339-79560","Levy, Matthew David")</f>
        <v>Levy, Matthew David</v>
      </c>
      <c r="B1514" s="25" t="s">
        <v>14481</v>
      </c>
      <c r="C1514" s="24" t="s">
        <v>14482</v>
      </c>
      <c r="D1514" s="24" t="s">
        <v>14483</v>
      </c>
      <c r="E1514" s="24" t="s">
        <v>29</v>
      </c>
      <c r="F1514" s="24" t="s">
        <v>30</v>
      </c>
      <c r="G1514" s="24" t="s">
        <v>31</v>
      </c>
      <c r="H1514" s="24" t="s">
        <v>1475</v>
      </c>
      <c r="I1514" s="24" t="s">
        <v>14484</v>
      </c>
      <c r="J1514" s="24" t="s">
        <v>14485</v>
      </c>
      <c r="K1514" s="24" t="s">
        <v>218</v>
      </c>
      <c r="L1514" s="24" t="s">
        <v>52</v>
      </c>
      <c r="M1514" s="15"/>
      <c r="N1514" s="15"/>
      <c r="O1514" s="15" t="s">
        <v>219</v>
      </c>
      <c r="P1514" s="15" t="s">
        <v>880</v>
      </c>
      <c r="Q1514" s="15" t="s">
        <v>1607</v>
      </c>
      <c r="R1514" s="15" t="s">
        <v>14486</v>
      </c>
      <c r="S1514" s="24" t="s">
        <v>39</v>
      </c>
      <c r="T1514" s="24" t="s">
        <v>39</v>
      </c>
      <c r="U1514" s="24" t="s">
        <v>39</v>
      </c>
      <c r="V1514" s="24" t="s">
        <v>39</v>
      </c>
      <c r="W1514" s="24"/>
      <c r="X1514" s="24"/>
      <c r="Y1514" s="15"/>
      <c r="Z1514" s="15"/>
      <c r="AA1514" s="24"/>
      <c r="AB1514" s="24"/>
      <c r="AC1514" s="24"/>
      <c r="AD1514" s="24"/>
      <c r="AE1514" s="24"/>
      <c r="AF1514" s="24"/>
      <c r="AG1514" s="24"/>
      <c r="AH1514" s="24"/>
    </row>
    <row r="1515" spans="1:34" ht="90" x14ac:dyDescent="0.25">
      <c r="A1515" s="24" t="str">
        <f>HYPERLINK("https://www.cpso.on.ca/DoctorDetails/Matthew-Jake-Crookall/0265640-93910","Crookall, Matthew Jake")</f>
        <v>Crookall, Matthew Jake</v>
      </c>
      <c r="B1515" s="25" t="s">
        <v>14487</v>
      </c>
      <c r="C1515" s="24" t="s">
        <v>570</v>
      </c>
      <c r="D1515" s="24" t="s">
        <v>14488</v>
      </c>
      <c r="E1515" s="24" t="s">
        <v>29</v>
      </c>
      <c r="F1515" s="24" t="s">
        <v>30</v>
      </c>
      <c r="G1515" s="24" t="s">
        <v>31</v>
      </c>
      <c r="H1515" s="24" t="s">
        <v>968</v>
      </c>
      <c r="I1515" s="24" t="s">
        <v>14489</v>
      </c>
      <c r="J1515" s="24" t="s">
        <v>14490</v>
      </c>
      <c r="K1515" s="24"/>
      <c r="L1515" s="24" t="s">
        <v>52</v>
      </c>
      <c r="M1515" s="15"/>
      <c r="N1515" s="15"/>
      <c r="O1515" s="15" t="s">
        <v>121</v>
      </c>
      <c r="P1515" s="15" t="s">
        <v>7167</v>
      </c>
      <c r="Q1515" s="15" t="s">
        <v>13796</v>
      </c>
      <c r="R1515" s="15" t="s">
        <v>14491</v>
      </c>
      <c r="S1515" s="24" t="s">
        <v>39</v>
      </c>
      <c r="T1515" s="24" t="s">
        <v>39</v>
      </c>
      <c r="U1515" s="24" t="s">
        <v>39</v>
      </c>
      <c r="V1515" s="24" t="s">
        <v>39</v>
      </c>
      <c r="W1515" s="24"/>
      <c r="X1515" s="24"/>
      <c r="Y1515" s="15"/>
      <c r="Z1515" s="15"/>
      <c r="AA1515" s="24"/>
      <c r="AB1515" s="24"/>
      <c r="AC1515" s="24"/>
      <c r="AD1515" s="24"/>
      <c r="AE1515" s="24"/>
      <c r="AF1515" s="24"/>
      <c r="AG1515" s="24"/>
      <c r="AH1515" s="24"/>
    </row>
    <row r="1516" spans="1:34" ht="75" x14ac:dyDescent="0.25">
      <c r="A1516" s="24" t="str">
        <f>HYPERLINK("https://www.cpso.on.ca/DoctorDetails/Matthew-Kenny-Knox/0265874-92756","Knox, Matthew Kenny")</f>
        <v>Knox, Matthew Kenny</v>
      </c>
      <c r="B1516" s="25" t="s">
        <v>14492</v>
      </c>
      <c r="C1516" s="24" t="s">
        <v>570</v>
      </c>
      <c r="D1516" s="24" t="s">
        <v>571</v>
      </c>
      <c r="E1516" s="24" t="s">
        <v>29</v>
      </c>
      <c r="F1516" s="24" t="s">
        <v>30</v>
      </c>
      <c r="G1516" s="24" t="s">
        <v>31</v>
      </c>
      <c r="H1516" s="24" t="s">
        <v>4916</v>
      </c>
      <c r="I1516" s="24" t="s">
        <v>14493</v>
      </c>
      <c r="J1516" s="24" t="s">
        <v>14494</v>
      </c>
      <c r="K1516" s="24"/>
      <c r="L1516" s="24" t="s">
        <v>52</v>
      </c>
      <c r="M1516" s="15"/>
      <c r="N1516" s="15"/>
      <c r="O1516" s="15" t="s">
        <v>271</v>
      </c>
      <c r="P1516" s="15" t="s">
        <v>629</v>
      </c>
      <c r="Q1516" s="15" t="s">
        <v>4824</v>
      </c>
      <c r="R1516" s="15" t="s">
        <v>1706</v>
      </c>
      <c r="S1516" s="24" t="s">
        <v>39</v>
      </c>
      <c r="T1516" s="24" t="s">
        <v>39</v>
      </c>
      <c r="U1516" s="24" t="s">
        <v>39</v>
      </c>
      <c r="V1516" s="24" t="s">
        <v>39</v>
      </c>
      <c r="W1516" s="24"/>
      <c r="X1516" s="24"/>
      <c r="Y1516" s="15"/>
      <c r="Z1516" s="15"/>
      <c r="AA1516" s="24"/>
      <c r="AB1516" s="24"/>
      <c r="AC1516" s="24"/>
      <c r="AD1516" s="24"/>
      <c r="AE1516" s="24"/>
      <c r="AF1516" s="24"/>
      <c r="AG1516" s="24"/>
      <c r="AH1516" s="24"/>
    </row>
    <row r="1517" spans="1:34" ht="75" x14ac:dyDescent="0.25">
      <c r="A1517" s="24" t="str">
        <f>HYPERLINK("https://www.cpso.on.ca/DoctorDetails/Matthew-Thomas-Boyle/0273258-95908","Boyle, Matthew Thomas")</f>
        <v>Boyle, Matthew Thomas</v>
      </c>
      <c r="B1517" s="25" t="s">
        <v>14495</v>
      </c>
      <c r="C1517" s="24" t="s">
        <v>1266</v>
      </c>
      <c r="D1517" s="24" t="s">
        <v>967</v>
      </c>
      <c r="E1517" s="24" t="s">
        <v>29</v>
      </c>
      <c r="F1517" s="24" t="s">
        <v>30</v>
      </c>
      <c r="G1517" s="24" t="s">
        <v>31</v>
      </c>
      <c r="H1517" s="24" t="s">
        <v>11908</v>
      </c>
      <c r="I1517" s="24" t="s">
        <v>14496</v>
      </c>
      <c r="J1517" s="24" t="s">
        <v>14497</v>
      </c>
      <c r="K1517" s="24" t="s">
        <v>8489</v>
      </c>
      <c r="L1517" s="24" t="s">
        <v>52</v>
      </c>
      <c r="M1517" s="15" t="s">
        <v>14498</v>
      </c>
      <c r="N1517" s="15"/>
      <c r="O1517" s="15" t="s">
        <v>14499</v>
      </c>
      <c r="P1517" s="15" t="s">
        <v>973</v>
      </c>
      <c r="Q1517" s="15" t="s">
        <v>4058</v>
      </c>
      <c r="R1517" s="15" t="s">
        <v>4059</v>
      </c>
      <c r="S1517" s="24" t="s">
        <v>39</v>
      </c>
      <c r="T1517" s="24" t="s">
        <v>39</v>
      </c>
      <c r="U1517" s="24" t="s">
        <v>39</v>
      </c>
      <c r="V1517" s="24" t="s">
        <v>39</v>
      </c>
      <c r="W1517" s="24" t="s">
        <v>14500</v>
      </c>
      <c r="X1517" s="24" t="s">
        <v>14501</v>
      </c>
      <c r="Y1517" s="15" t="s">
        <v>14502</v>
      </c>
      <c r="Z1517" s="15" t="s">
        <v>14503</v>
      </c>
      <c r="AA1517" s="24"/>
      <c r="AB1517" s="24"/>
      <c r="AC1517" s="24"/>
      <c r="AD1517" s="24"/>
      <c r="AE1517" s="24"/>
      <c r="AF1517" s="24"/>
      <c r="AG1517" s="24"/>
      <c r="AH1517" s="24"/>
    </row>
    <row r="1518" spans="1:34" ht="90" x14ac:dyDescent="0.25">
      <c r="A1518" s="24" t="str">
        <f>HYPERLINK("https://www.cpso.on.ca/DoctorDetails/Matthew-Thomas-Robillard/0038630-52606","Robillard, Matthew Thomas")</f>
        <v>Robillard, Matthew Thomas</v>
      </c>
      <c r="B1518" s="25" t="s">
        <v>14504</v>
      </c>
      <c r="C1518" s="24" t="s">
        <v>3561</v>
      </c>
      <c r="D1518" s="24" t="s">
        <v>14505</v>
      </c>
      <c r="E1518" s="24" t="s">
        <v>29</v>
      </c>
      <c r="F1518" s="24" t="s">
        <v>30</v>
      </c>
      <c r="G1518" s="24" t="s">
        <v>31</v>
      </c>
      <c r="H1518" s="24" t="s">
        <v>3563</v>
      </c>
      <c r="I1518" s="24" t="s">
        <v>14506</v>
      </c>
      <c r="J1518" s="24" t="s">
        <v>14507</v>
      </c>
      <c r="K1518" s="24" t="s">
        <v>3920</v>
      </c>
      <c r="L1518" s="24" t="s">
        <v>52</v>
      </c>
      <c r="M1518" s="15"/>
      <c r="N1518" s="15"/>
      <c r="O1518" s="15" t="s">
        <v>3921</v>
      </c>
      <c r="P1518" s="15" t="s">
        <v>868</v>
      </c>
      <c r="Q1518" s="15" t="s">
        <v>14508</v>
      </c>
      <c r="R1518" s="15" t="s">
        <v>14509</v>
      </c>
      <c r="S1518" s="24" t="s">
        <v>39</v>
      </c>
      <c r="T1518" s="24" t="s">
        <v>39</v>
      </c>
      <c r="U1518" s="24" t="s">
        <v>39</v>
      </c>
      <c r="V1518" s="24" t="s">
        <v>39</v>
      </c>
      <c r="W1518" s="24" t="s">
        <v>14510</v>
      </c>
      <c r="X1518" s="24" t="s">
        <v>14511</v>
      </c>
      <c r="Y1518" s="15" t="s">
        <v>14512</v>
      </c>
      <c r="Z1518" s="15" t="s">
        <v>14513</v>
      </c>
      <c r="AA1518" s="24"/>
      <c r="AB1518" s="24"/>
      <c r="AC1518" s="24"/>
      <c r="AD1518" s="24"/>
      <c r="AE1518" s="24"/>
      <c r="AF1518" s="24"/>
      <c r="AG1518" s="24"/>
      <c r="AH1518" s="24"/>
    </row>
    <row r="1519" spans="1:34" ht="75" x14ac:dyDescent="0.25">
      <c r="A1519" s="24" t="str">
        <f>HYPERLINK("https://www.cpso.on.ca/DoctorDetails/Maurice-Siu/0150114-72511","Siu, Maurice")</f>
        <v>Siu, Maurice</v>
      </c>
      <c r="B1519" s="25" t="s">
        <v>14514</v>
      </c>
      <c r="C1519" s="24" t="s">
        <v>954</v>
      </c>
      <c r="D1519" s="24" t="s">
        <v>1323</v>
      </c>
      <c r="E1519" s="24" t="s">
        <v>29</v>
      </c>
      <c r="F1519" s="24" t="s">
        <v>30</v>
      </c>
      <c r="G1519" s="24" t="s">
        <v>31</v>
      </c>
      <c r="H1519" s="24" t="s">
        <v>8165</v>
      </c>
      <c r="I1519" s="24" t="s">
        <v>14515</v>
      </c>
      <c r="J1519" s="24" t="s">
        <v>14516</v>
      </c>
      <c r="K1519" s="24" t="s">
        <v>14517</v>
      </c>
      <c r="L1519" s="24" t="s">
        <v>52</v>
      </c>
      <c r="M1519" s="15" t="s">
        <v>14518</v>
      </c>
      <c r="N1519" s="15"/>
      <c r="O1519" s="15" t="s">
        <v>5761</v>
      </c>
      <c r="P1519" s="15" t="s">
        <v>8214</v>
      </c>
      <c r="Q1519" s="15" t="s">
        <v>2170</v>
      </c>
      <c r="R1519" s="15" t="s">
        <v>2171</v>
      </c>
      <c r="S1519" s="24" t="s">
        <v>39</v>
      </c>
      <c r="T1519" s="24" t="s">
        <v>39</v>
      </c>
      <c r="U1519" s="24" t="s">
        <v>39</v>
      </c>
      <c r="V1519" s="24" t="s">
        <v>39</v>
      </c>
      <c r="W1519" s="24" t="s">
        <v>14519</v>
      </c>
      <c r="X1519" s="24" t="s">
        <v>14520</v>
      </c>
      <c r="Y1519" s="15" t="s">
        <v>14521</v>
      </c>
      <c r="Z1519" s="15" t="s">
        <v>14522</v>
      </c>
      <c r="AA1519" s="24"/>
      <c r="AB1519" s="24"/>
      <c r="AC1519" s="24"/>
      <c r="AD1519" s="24"/>
      <c r="AE1519" s="24"/>
      <c r="AF1519" s="24"/>
      <c r="AG1519" s="24"/>
      <c r="AH1519" s="24"/>
    </row>
    <row r="1520" spans="1:34" ht="90" x14ac:dyDescent="0.25">
      <c r="A1520" s="24" t="str">
        <f>HYPERLINK("https://www.cpso.on.ca/DoctorDetails/Maxine-Anne-Lewis/0214226-81660","Lewis, Maxine Anne")</f>
        <v>Lewis, Maxine Anne</v>
      </c>
      <c r="B1520" s="25" t="s">
        <v>14523</v>
      </c>
      <c r="C1520" s="24" t="s">
        <v>8990</v>
      </c>
      <c r="D1520" s="24" t="s">
        <v>14524</v>
      </c>
      <c r="E1520" s="24" t="s">
        <v>29</v>
      </c>
      <c r="F1520" s="24" t="s">
        <v>47</v>
      </c>
      <c r="G1520" s="24" t="s">
        <v>31</v>
      </c>
      <c r="H1520" s="24" t="s">
        <v>14525</v>
      </c>
      <c r="I1520" s="24" t="s">
        <v>14526</v>
      </c>
      <c r="J1520" s="24" t="s">
        <v>1436</v>
      </c>
      <c r="K1520" s="24" t="s">
        <v>11538</v>
      </c>
      <c r="L1520" s="24" t="s">
        <v>184</v>
      </c>
      <c r="M1520" s="15" t="s">
        <v>14527</v>
      </c>
      <c r="N1520" s="15"/>
      <c r="O1520" s="15" t="s">
        <v>6565</v>
      </c>
      <c r="P1520" s="15" t="s">
        <v>14528</v>
      </c>
      <c r="Q1520" s="15"/>
      <c r="R1520" s="15" t="s">
        <v>14529</v>
      </c>
      <c r="S1520" s="24" t="s">
        <v>71</v>
      </c>
      <c r="T1520" s="24" t="s">
        <v>39</v>
      </c>
      <c r="U1520" s="24" t="s">
        <v>39</v>
      </c>
      <c r="V1520" s="24" t="s">
        <v>39</v>
      </c>
      <c r="W1520" s="24"/>
      <c r="X1520" s="24"/>
      <c r="Y1520" s="15"/>
      <c r="Z1520" s="15"/>
      <c r="AA1520" s="24"/>
      <c r="AB1520" s="24"/>
      <c r="AC1520" s="24"/>
      <c r="AD1520" s="24"/>
      <c r="AE1520" s="24"/>
      <c r="AF1520" s="24"/>
      <c r="AG1520" s="24"/>
      <c r="AH1520" s="24"/>
    </row>
    <row r="1521" spans="1:34" ht="45" x14ac:dyDescent="0.25">
      <c r="A1521" s="24" t="str">
        <f>HYPERLINK("https://www.cpso.on.ca/DoctorDetails/Maxwell-Wheeler/0025084-29907","Wheeler, Maxwell")</f>
        <v>Wheeler, Maxwell</v>
      </c>
      <c r="B1521" s="25" t="s">
        <v>14530</v>
      </c>
      <c r="C1521" s="24" t="s">
        <v>14531</v>
      </c>
      <c r="D1521" s="24" t="s">
        <v>14532</v>
      </c>
      <c r="E1521" s="24" t="s">
        <v>29</v>
      </c>
      <c r="F1521" s="24" t="s">
        <v>30</v>
      </c>
      <c r="G1521" s="24" t="s">
        <v>31</v>
      </c>
      <c r="H1521" s="24" t="s">
        <v>14533</v>
      </c>
      <c r="I1521" s="24" t="s">
        <v>14534</v>
      </c>
      <c r="J1521" s="24" t="s">
        <v>14535</v>
      </c>
      <c r="K1521" s="24" t="s">
        <v>14536</v>
      </c>
      <c r="L1521" s="24" t="s">
        <v>184</v>
      </c>
      <c r="M1521" s="15"/>
      <c r="N1521" s="15"/>
      <c r="O1521" s="15"/>
      <c r="P1521" s="15" t="s">
        <v>7327</v>
      </c>
      <c r="Q1521" s="15"/>
      <c r="R1521" s="15" t="s">
        <v>14537</v>
      </c>
      <c r="S1521" s="24" t="s">
        <v>39</v>
      </c>
      <c r="T1521" s="24" t="s">
        <v>39</v>
      </c>
      <c r="U1521" s="24" t="s">
        <v>39</v>
      </c>
      <c r="V1521" s="24" t="s">
        <v>39</v>
      </c>
      <c r="W1521" s="24"/>
      <c r="X1521" s="24"/>
      <c r="Y1521" s="15"/>
      <c r="Z1521" s="15"/>
      <c r="AA1521" s="24"/>
      <c r="AB1521" s="24"/>
      <c r="AC1521" s="24"/>
      <c r="AD1521" s="24"/>
      <c r="AE1521" s="24"/>
      <c r="AF1521" s="24"/>
      <c r="AG1521" s="24"/>
      <c r="AH1521" s="24"/>
    </row>
    <row r="1522" spans="1:34" ht="90" x14ac:dyDescent="0.25">
      <c r="A1522" s="24" t="str">
        <f>HYPERLINK("https://www.cpso.on.ca/DoctorDetails/Maxym-Ihor-Choptiany/0258375-91618","Choptiany, Maxym Ihor")</f>
        <v>Choptiany, Maxym Ihor</v>
      </c>
      <c r="B1522" s="25" t="s">
        <v>14538</v>
      </c>
      <c r="C1522" s="24" t="s">
        <v>3585</v>
      </c>
      <c r="D1522" s="24" t="s">
        <v>443</v>
      </c>
      <c r="E1522" s="24" t="s">
        <v>29</v>
      </c>
      <c r="F1522" s="24" t="s">
        <v>30</v>
      </c>
      <c r="G1522" s="24" t="s">
        <v>31</v>
      </c>
      <c r="H1522" s="24" t="s">
        <v>14539</v>
      </c>
      <c r="I1522" s="24" t="s">
        <v>10070</v>
      </c>
      <c r="J1522" s="24" t="s">
        <v>1269</v>
      </c>
      <c r="K1522" s="24"/>
      <c r="L1522" s="24" t="s">
        <v>52</v>
      </c>
      <c r="M1522" s="15" t="s">
        <v>14540</v>
      </c>
      <c r="N1522" s="15" t="s">
        <v>342</v>
      </c>
      <c r="O1522" s="15" t="s">
        <v>14541</v>
      </c>
      <c r="P1522" s="15" t="s">
        <v>7539</v>
      </c>
      <c r="Q1522" s="15" t="s">
        <v>14542</v>
      </c>
      <c r="R1522" s="15" t="s">
        <v>14543</v>
      </c>
      <c r="S1522" s="24" t="s">
        <v>39</v>
      </c>
      <c r="T1522" s="24" t="s">
        <v>39</v>
      </c>
      <c r="U1522" s="24" t="s">
        <v>39</v>
      </c>
      <c r="V1522" s="24" t="s">
        <v>39</v>
      </c>
      <c r="W1522" s="24" t="s">
        <v>14544</v>
      </c>
      <c r="X1522" s="24" t="s">
        <v>14014</v>
      </c>
      <c r="Y1522" s="15" t="s">
        <v>14545</v>
      </c>
      <c r="Z1522" s="15" t="s">
        <v>14546</v>
      </c>
      <c r="AA1522" s="24"/>
      <c r="AB1522" s="24"/>
      <c r="AC1522" s="24"/>
      <c r="AD1522" s="24"/>
      <c r="AE1522" s="24"/>
      <c r="AF1522" s="24"/>
      <c r="AG1522" s="24"/>
      <c r="AH1522" s="24"/>
    </row>
    <row r="1523" spans="1:34" ht="75" x14ac:dyDescent="0.25">
      <c r="A1523" s="24" t="str">
        <f>HYPERLINK("https://www.cpso.on.ca/DoctorDetails/Mayer-Hoffer/0026033-30856","Hoffer, Mayer")</f>
        <v>Hoffer, Mayer</v>
      </c>
      <c r="B1523" s="25" t="s">
        <v>14547</v>
      </c>
      <c r="C1523" s="24" t="s">
        <v>12812</v>
      </c>
      <c r="D1523" s="24" t="s">
        <v>14548</v>
      </c>
      <c r="E1523" s="24" t="s">
        <v>29</v>
      </c>
      <c r="F1523" s="24" t="s">
        <v>30</v>
      </c>
      <c r="G1523" s="24" t="s">
        <v>31</v>
      </c>
      <c r="H1523" s="24" t="s">
        <v>11960</v>
      </c>
      <c r="I1523" s="24" t="s">
        <v>14549</v>
      </c>
      <c r="J1523" s="24" t="s">
        <v>14550</v>
      </c>
      <c r="K1523" s="24" t="s">
        <v>14551</v>
      </c>
      <c r="L1523" s="24" t="s">
        <v>52</v>
      </c>
      <c r="M1523" s="15"/>
      <c r="N1523" s="15"/>
      <c r="O1523" s="15"/>
      <c r="P1523" s="15" t="s">
        <v>316</v>
      </c>
      <c r="Q1523" s="15"/>
      <c r="R1523" s="15" t="s">
        <v>14552</v>
      </c>
      <c r="S1523" s="24" t="s">
        <v>71</v>
      </c>
      <c r="T1523" s="24" t="s">
        <v>71</v>
      </c>
      <c r="U1523" s="24" t="s">
        <v>71</v>
      </c>
      <c r="V1523" s="24" t="s">
        <v>71</v>
      </c>
      <c r="W1523" s="24"/>
      <c r="X1523" s="24"/>
      <c r="Y1523" s="15"/>
      <c r="Z1523" s="15"/>
      <c r="AA1523" s="24"/>
      <c r="AB1523" s="24"/>
      <c r="AC1523" s="24"/>
      <c r="AD1523" s="24"/>
      <c r="AE1523" s="24"/>
      <c r="AF1523" s="24"/>
      <c r="AG1523" s="24"/>
      <c r="AH1523" s="24"/>
    </row>
    <row r="1524" spans="1:34" ht="90" x14ac:dyDescent="0.25">
      <c r="A1524" s="24" t="str">
        <f>HYPERLINK("https://www.cpso.on.ca/DoctorDetails/Mazin-Hasan-Mossa-AlBattran/0192678-90394","Al-Battran, Mazin Hasan Mossa")</f>
        <v>Al-Battran, Mazin Hasan Mossa</v>
      </c>
      <c r="B1524" s="25" t="s">
        <v>14553</v>
      </c>
      <c r="C1524" s="24" t="s">
        <v>14554</v>
      </c>
      <c r="D1524" s="24" t="s">
        <v>14555</v>
      </c>
      <c r="E1524" s="24" t="s">
        <v>29</v>
      </c>
      <c r="F1524" s="24" t="s">
        <v>30</v>
      </c>
      <c r="G1524" s="24" t="s">
        <v>105</v>
      </c>
      <c r="H1524" s="24" t="s">
        <v>14556</v>
      </c>
      <c r="I1524" s="24" t="s">
        <v>14557</v>
      </c>
      <c r="J1524" s="24" t="s">
        <v>151</v>
      </c>
      <c r="K1524" s="24" t="s">
        <v>14558</v>
      </c>
      <c r="L1524" s="24" t="s">
        <v>152</v>
      </c>
      <c r="M1524" s="15" t="s">
        <v>14559</v>
      </c>
      <c r="N1524" s="15"/>
      <c r="O1524" s="15" t="s">
        <v>14560</v>
      </c>
      <c r="P1524" s="15" t="s">
        <v>14561</v>
      </c>
      <c r="Q1524" s="15" t="s">
        <v>14562</v>
      </c>
      <c r="R1524" s="15" t="s">
        <v>14563</v>
      </c>
      <c r="S1524" s="24" t="s">
        <v>39</v>
      </c>
      <c r="T1524" s="24" t="s">
        <v>39</v>
      </c>
      <c r="U1524" s="24" t="s">
        <v>39</v>
      </c>
      <c r="V1524" s="24" t="s">
        <v>39</v>
      </c>
      <c r="W1524" s="24" t="s">
        <v>14564</v>
      </c>
      <c r="X1524" s="24" t="s">
        <v>1681</v>
      </c>
      <c r="Y1524" s="15" t="s">
        <v>14565</v>
      </c>
      <c r="Z1524" s="15" t="s">
        <v>14566</v>
      </c>
      <c r="AA1524" s="24"/>
      <c r="AB1524" s="24"/>
      <c r="AC1524" s="24"/>
      <c r="AD1524" s="24"/>
      <c r="AE1524" s="24"/>
      <c r="AF1524" s="24"/>
      <c r="AG1524" s="24"/>
      <c r="AH1524" s="24"/>
    </row>
    <row r="1525" spans="1:34" ht="75" x14ac:dyDescent="0.25">
      <c r="A1525" s="24" t="str">
        <f>HYPERLINK("https://www.cpso.on.ca/DoctorDetails/Meena-Gulati/0245141-89898","Gulati, Meena")</f>
        <v>Gulati, Meena</v>
      </c>
      <c r="B1525" s="25" t="s">
        <v>14567</v>
      </c>
      <c r="C1525" s="24" t="s">
        <v>14568</v>
      </c>
      <c r="D1525" s="24" t="s">
        <v>14569</v>
      </c>
      <c r="E1525" s="24" t="s">
        <v>29</v>
      </c>
      <c r="F1525" s="24" t="s">
        <v>47</v>
      </c>
      <c r="G1525" s="24" t="s">
        <v>131</v>
      </c>
      <c r="H1525" s="24" t="s">
        <v>14570</v>
      </c>
      <c r="I1525" s="24" t="s">
        <v>2055</v>
      </c>
      <c r="J1525" s="24" t="s">
        <v>14571</v>
      </c>
      <c r="K1525" s="24"/>
      <c r="L1525" s="24" t="s">
        <v>340</v>
      </c>
      <c r="M1525" s="15" t="s">
        <v>14572</v>
      </c>
      <c r="N1525" s="15" t="s">
        <v>3521</v>
      </c>
      <c r="O1525" s="15" t="s">
        <v>3206</v>
      </c>
      <c r="P1525" s="15" t="s">
        <v>14573</v>
      </c>
      <c r="Q1525" s="15"/>
      <c r="R1525" s="15" t="s">
        <v>14574</v>
      </c>
      <c r="S1525" s="24" t="s">
        <v>71</v>
      </c>
      <c r="T1525" s="24" t="s">
        <v>39</v>
      </c>
      <c r="U1525" s="24" t="s">
        <v>39</v>
      </c>
      <c r="V1525" s="24" t="s">
        <v>39</v>
      </c>
      <c r="W1525" s="24" t="s">
        <v>14575</v>
      </c>
      <c r="X1525" s="24" t="s">
        <v>3525</v>
      </c>
      <c r="Y1525" s="15" t="s">
        <v>14576</v>
      </c>
      <c r="Z1525" s="15" t="s">
        <v>14577</v>
      </c>
      <c r="AA1525" s="24"/>
      <c r="AB1525" s="24"/>
      <c r="AC1525" s="24"/>
      <c r="AD1525" s="24"/>
      <c r="AE1525" s="24"/>
      <c r="AF1525" s="24"/>
      <c r="AG1525" s="24"/>
      <c r="AH1525" s="24"/>
    </row>
    <row r="1526" spans="1:34" ht="150" x14ac:dyDescent="0.25">
      <c r="A1526" s="24" t="str">
        <f>HYPERLINK("https://www.cpso.on.ca/DoctorDetails/Megan-Anne-Lelli/0257373-90722","Lelli, Megan Anne")</f>
        <v>Lelli, Megan Anne</v>
      </c>
      <c r="B1526" s="25" t="s">
        <v>14578</v>
      </c>
      <c r="C1526" s="24" t="s">
        <v>14579</v>
      </c>
      <c r="D1526" s="24" t="s">
        <v>14580</v>
      </c>
      <c r="E1526" s="24" t="s">
        <v>29</v>
      </c>
      <c r="F1526" s="24" t="s">
        <v>47</v>
      </c>
      <c r="G1526" s="24" t="s">
        <v>31</v>
      </c>
      <c r="H1526" s="24" t="s">
        <v>4225</v>
      </c>
      <c r="I1526" s="24" t="s">
        <v>14581</v>
      </c>
      <c r="J1526" s="24" t="s">
        <v>14582</v>
      </c>
      <c r="K1526" s="24"/>
      <c r="L1526" s="24" t="s">
        <v>84</v>
      </c>
      <c r="M1526" s="15"/>
      <c r="N1526" s="15"/>
      <c r="O1526" s="15"/>
      <c r="P1526" s="15" t="s">
        <v>14583</v>
      </c>
      <c r="Q1526" s="15" t="s">
        <v>14584</v>
      </c>
      <c r="R1526" s="15" t="s">
        <v>14585</v>
      </c>
      <c r="S1526" s="24" t="s">
        <v>39</v>
      </c>
      <c r="T1526" s="24" t="s">
        <v>39</v>
      </c>
      <c r="U1526" s="24" t="s">
        <v>39</v>
      </c>
      <c r="V1526" s="24" t="s">
        <v>39</v>
      </c>
      <c r="W1526" s="24"/>
      <c r="X1526" s="24"/>
      <c r="Y1526" s="15"/>
      <c r="Z1526" s="15"/>
      <c r="AA1526" s="24"/>
      <c r="AB1526" s="24"/>
      <c r="AC1526" s="24"/>
      <c r="AD1526" s="24"/>
      <c r="AE1526" s="24"/>
      <c r="AF1526" s="24"/>
      <c r="AG1526" s="24"/>
      <c r="AH1526" s="24"/>
    </row>
    <row r="1527" spans="1:34" ht="90" x14ac:dyDescent="0.25">
      <c r="A1527" s="24" t="str">
        <f>HYPERLINK("https://www.cpso.on.ca/DoctorDetails/Megan-Anne-Yang/0282041-98449","Yang, Megan Anne")</f>
        <v>Yang, Megan Anne</v>
      </c>
      <c r="B1527" s="25" t="s">
        <v>14586</v>
      </c>
      <c r="C1527" s="24" t="s">
        <v>14587</v>
      </c>
      <c r="D1527" s="24" t="s">
        <v>14588</v>
      </c>
      <c r="E1527" s="24" t="s">
        <v>29</v>
      </c>
      <c r="F1527" s="24" t="s">
        <v>47</v>
      </c>
      <c r="G1527" s="24" t="s">
        <v>9242</v>
      </c>
      <c r="H1527" s="24" t="s">
        <v>932</v>
      </c>
      <c r="I1527" s="24" t="s">
        <v>14589</v>
      </c>
      <c r="J1527" s="24" t="s">
        <v>14590</v>
      </c>
      <c r="K1527" s="24" t="s">
        <v>14591</v>
      </c>
      <c r="L1527" s="24" t="s">
        <v>340</v>
      </c>
      <c r="M1527" s="15"/>
      <c r="N1527" s="15"/>
      <c r="O1527" s="15" t="s">
        <v>1122</v>
      </c>
      <c r="P1527" s="15" t="s">
        <v>550</v>
      </c>
      <c r="Q1527" s="15" t="s">
        <v>14592</v>
      </c>
      <c r="R1527" s="15" t="s">
        <v>14593</v>
      </c>
      <c r="S1527" s="24" t="s">
        <v>39</v>
      </c>
      <c r="T1527" s="24" t="s">
        <v>39</v>
      </c>
      <c r="U1527" s="24" t="s">
        <v>39</v>
      </c>
      <c r="V1527" s="24" t="s">
        <v>39</v>
      </c>
      <c r="W1527" s="24" t="s">
        <v>14594</v>
      </c>
      <c r="X1527" s="24" t="s">
        <v>14595</v>
      </c>
      <c r="Y1527" s="15" t="s">
        <v>14596</v>
      </c>
      <c r="Z1527" s="15" t="s">
        <v>14597</v>
      </c>
      <c r="AA1527" s="24"/>
      <c r="AB1527" s="24"/>
      <c r="AC1527" s="24"/>
      <c r="AD1527" s="24"/>
      <c r="AE1527" s="24"/>
      <c r="AF1527" s="24"/>
      <c r="AG1527" s="24"/>
      <c r="AH1527" s="24"/>
    </row>
    <row r="1528" spans="1:34" ht="120" x14ac:dyDescent="0.25">
      <c r="A1528" s="24" t="str">
        <f>HYPERLINK("https://www.cpso.on.ca/DoctorDetails/Mehboob-Ali-Nazarani/0314452-111390","Nazarani, Mehboob Ali")</f>
        <v>Nazarani, Mehboob Ali</v>
      </c>
      <c r="B1528" s="25" t="s">
        <v>14598</v>
      </c>
      <c r="C1528" s="24" t="s">
        <v>14599</v>
      </c>
      <c r="D1528" s="24" t="s">
        <v>14600</v>
      </c>
      <c r="E1528" s="24" t="s">
        <v>29</v>
      </c>
      <c r="F1528" s="24" t="s">
        <v>30</v>
      </c>
      <c r="G1528" s="24" t="s">
        <v>1445</v>
      </c>
      <c r="H1528" s="24" t="s">
        <v>62</v>
      </c>
      <c r="I1528" s="24" t="s">
        <v>7673</v>
      </c>
      <c r="J1528" s="24" t="s">
        <v>1410</v>
      </c>
      <c r="K1528" s="24"/>
      <c r="L1528" s="24" t="s">
        <v>340</v>
      </c>
      <c r="M1528" s="15"/>
      <c r="N1528" s="15" t="s">
        <v>14601</v>
      </c>
      <c r="O1528" s="15" t="s">
        <v>2059</v>
      </c>
      <c r="P1528" s="15" t="s">
        <v>14602</v>
      </c>
      <c r="Q1528" s="15"/>
      <c r="R1528" s="15" t="s">
        <v>14603</v>
      </c>
      <c r="S1528" s="24" t="s">
        <v>71</v>
      </c>
      <c r="T1528" s="24" t="s">
        <v>39</v>
      </c>
      <c r="U1528" s="24" t="s">
        <v>39</v>
      </c>
      <c r="V1528" s="24" t="s">
        <v>39</v>
      </c>
      <c r="W1528" s="24"/>
      <c r="X1528" s="24"/>
      <c r="Y1528" s="15"/>
      <c r="Z1528" s="15"/>
      <c r="AA1528" s="24"/>
      <c r="AB1528" s="24"/>
      <c r="AC1528" s="24"/>
      <c r="AD1528" s="24"/>
      <c r="AE1528" s="24"/>
      <c r="AF1528" s="24"/>
      <c r="AG1528" s="24"/>
      <c r="AH1528" s="24"/>
    </row>
    <row r="1529" spans="1:34" ht="75" x14ac:dyDescent="0.25">
      <c r="A1529" s="24" t="str">
        <f>HYPERLINK("https://www.cpso.on.ca/DoctorDetails/Mehmet-Rauf-Sirman/0037794-51770","Sirman, Mehmet Rauf")</f>
        <v>Sirman, Mehmet Rauf</v>
      </c>
      <c r="B1529" s="25" t="s">
        <v>14604</v>
      </c>
      <c r="C1529" s="24" t="s">
        <v>14605</v>
      </c>
      <c r="D1529" s="24" t="s">
        <v>14606</v>
      </c>
      <c r="E1529" s="24" t="s">
        <v>29</v>
      </c>
      <c r="F1529" s="24" t="s">
        <v>30</v>
      </c>
      <c r="G1529" s="24" t="s">
        <v>14607</v>
      </c>
      <c r="H1529" s="24" t="s">
        <v>14608</v>
      </c>
      <c r="I1529" s="24" t="s">
        <v>14609</v>
      </c>
      <c r="J1529" s="24" t="s">
        <v>14610</v>
      </c>
      <c r="K1529" s="24" t="s">
        <v>1783</v>
      </c>
      <c r="L1529" s="24" t="s">
        <v>52</v>
      </c>
      <c r="M1529" s="15" t="s">
        <v>14611</v>
      </c>
      <c r="N1529" s="15"/>
      <c r="O1529" s="15"/>
      <c r="P1529" s="15" t="s">
        <v>785</v>
      </c>
      <c r="Q1529" s="15" t="s">
        <v>14612</v>
      </c>
      <c r="R1529" s="15" t="s">
        <v>14613</v>
      </c>
      <c r="S1529" s="24" t="s">
        <v>39</v>
      </c>
      <c r="T1529" s="24" t="s">
        <v>39</v>
      </c>
      <c r="U1529" s="24" t="s">
        <v>39</v>
      </c>
      <c r="V1529" s="24" t="s">
        <v>39</v>
      </c>
      <c r="W1529" s="24"/>
      <c r="X1529" s="24"/>
      <c r="Y1529" s="15"/>
      <c r="Z1529" s="15"/>
      <c r="AA1529" s="24"/>
      <c r="AB1529" s="24"/>
      <c r="AC1529" s="24"/>
      <c r="AD1529" s="24"/>
      <c r="AE1529" s="24"/>
      <c r="AF1529" s="24"/>
      <c r="AG1529" s="24"/>
      <c r="AH1529" s="24"/>
    </row>
    <row r="1530" spans="1:34" ht="90" x14ac:dyDescent="0.25">
      <c r="A1530" s="24" t="str">
        <f>HYPERLINK("https://www.cpso.on.ca/DoctorDetails/Mehmet-Selim-Asmer/0282054-97565","Asmer, Mehmet Selim")</f>
        <v>Asmer, Mehmet Selim</v>
      </c>
      <c r="B1530" s="25" t="s">
        <v>14614</v>
      </c>
      <c r="C1530" s="24" t="s">
        <v>3052</v>
      </c>
      <c r="D1530" s="24" t="s">
        <v>545</v>
      </c>
      <c r="E1530" s="24" t="s">
        <v>29</v>
      </c>
      <c r="F1530" s="24" t="s">
        <v>30</v>
      </c>
      <c r="G1530" s="24" t="s">
        <v>31</v>
      </c>
      <c r="H1530" s="24" t="s">
        <v>2650</v>
      </c>
      <c r="I1530" s="24" t="s">
        <v>14615</v>
      </c>
      <c r="J1530" s="24" t="s">
        <v>14616</v>
      </c>
      <c r="K1530" s="24" t="s">
        <v>14617</v>
      </c>
      <c r="L1530" s="24" t="s">
        <v>36</v>
      </c>
      <c r="M1530" s="15"/>
      <c r="N1530" s="15"/>
      <c r="O1530" s="15" t="s">
        <v>14618</v>
      </c>
      <c r="P1530" s="15" t="s">
        <v>550</v>
      </c>
      <c r="Q1530" s="15" t="s">
        <v>14619</v>
      </c>
      <c r="R1530" s="15" t="s">
        <v>14620</v>
      </c>
      <c r="S1530" s="24" t="s">
        <v>39</v>
      </c>
      <c r="T1530" s="24" t="s">
        <v>39</v>
      </c>
      <c r="U1530" s="24" t="s">
        <v>39</v>
      </c>
      <c r="V1530" s="24" t="s">
        <v>39</v>
      </c>
      <c r="W1530" s="24"/>
      <c r="X1530" s="24"/>
      <c r="Y1530" s="15"/>
      <c r="Z1530" s="15"/>
      <c r="AA1530" s="24"/>
      <c r="AB1530" s="24"/>
      <c r="AC1530" s="24"/>
      <c r="AD1530" s="24"/>
      <c r="AE1530" s="24"/>
      <c r="AF1530" s="24"/>
      <c r="AG1530" s="24"/>
      <c r="AH1530" s="24"/>
    </row>
    <row r="1531" spans="1:34" ht="75" x14ac:dyDescent="0.25">
      <c r="A1531" s="24" t="str">
        <f>HYPERLINK("https://www.cpso.on.ca/DoctorDetails/MehrAfarin-Kohan/0265803-93747","Kohan, Mehr-Afarin")</f>
        <v>Kohan, Mehr-Afarin</v>
      </c>
      <c r="B1531" s="25" t="s">
        <v>14621</v>
      </c>
      <c r="C1531" s="24" t="s">
        <v>4543</v>
      </c>
      <c r="D1531" s="24" t="s">
        <v>4544</v>
      </c>
      <c r="E1531" s="24" t="s">
        <v>14622</v>
      </c>
      <c r="F1531" s="24" t="s">
        <v>47</v>
      </c>
      <c r="G1531" s="24" t="s">
        <v>522</v>
      </c>
      <c r="H1531" s="24" t="s">
        <v>14623</v>
      </c>
      <c r="I1531" s="24" t="s">
        <v>14624</v>
      </c>
      <c r="J1531" s="24" t="s">
        <v>14625</v>
      </c>
      <c r="K1531" s="24"/>
      <c r="L1531" s="24" t="s">
        <v>52</v>
      </c>
      <c r="M1531" s="15"/>
      <c r="N1531" s="15"/>
      <c r="O1531" s="15" t="s">
        <v>8680</v>
      </c>
      <c r="P1531" s="15" t="s">
        <v>629</v>
      </c>
      <c r="Q1531" s="15" t="s">
        <v>4824</v>
      </c>
      <c r="R1531" s="15" t="s">
        <v>14626</v>
      </c>
      <c r="S1531" s="24" t="s">
        <v>39</v>
      </c>
      <c r="T1531" s="24" t="s">
        <v>39</v>
      </c>
      <c r="U1531" s="24" t="s">
        <v>39</v>
      </c>
      <c r="V1531" s="24" t="s">
        <v>39</v>
      </c>
      <c r="W1531" s="24"/>
      <c r="X1531" s="24"/>
      <c r="Y1531" s="15"/>
      <c r="Z1531" s="15"/>
      <c r="AA1531" s="24"/>
      <c r="AB1531" s="24"/>
      <c r="AC1531" s="24"/>
      <c r="AD1531" s="24"/>
      <c r="AE1531" s="24"/>
      <c r="AF1531" s="24"/>
      <c r="AG1531" s="24"/>
      <c r="AH1531" s="24"/>
    </row>
    <row r="1532" spans="1:34" ht="120" x14ac:dyDescent="0.25">
      <c r="A1532" s="24" t="str">
        <f>HYPERLINK("https://www.cpso.on.ca/DoctorDetails/Mehrnaz-Boroujerdi/0262880-92305","Boroujerdi, Mehrnaz")</f>
        <v>Boroujerdi, Mehrnaz</v>
      </c>
      <c r="B1532" s="25" t="s">
        <v>14627</v>
      </c>
      <c r="C1532" s="24" t="s">
        <v>14628</v>
      </c>
      <c r="D1532" s="24" t="s">
        <v>14629</v>
      </c>
      <c r="E1532" s="24" t="s">
        <v>29</v>
      </c>
      <c r="F1532" s="24" t="s">
        <v>47</v>
      </c>
      <c r="G1532" s="24" t="s">
        <v>2579</v>
      </c>
      <c r="H1532" s="24" t="s">
        <v>14630</v>
      </c>
      <c r="I1532" s="24" t="s">
        <v>12747</v>
      </c>
      <c r="J1532" s="24" t="s">
        <v>2760</v>
      </c>
      <c r="K1532" s="24" t="s">
        <v>2761</v>
      </c>
      <c r="L1532" s="24" t="s">
        <v>52</v>
      </c>
      <c r="M1532" s="15"/>
      <c r="N1532" s="15"/>
      <c r="O1532" s="15"/>
      <c r="P1532" s="15" t="s">
        <v>5051</v>
      </c>
      <c r="Q1532" s="15" t="s">
        <v>14631</v>
      </c>
      <c r="R1532" s="15" t="s">
        <v>14632</v>
      </c>
      <c r="S1532" s="24" t="s">
        <v>39</v>
      </c>
      <c r="T1532" s="24" t="s">
        <v>39</v>
      </c>
      <c r="U1532" s="24" t="s">
        <v>39</v>
      </c>
      <c r="V1532" s="24" t="s">
        <v>39</v>
      </c>
      <c r="W1532" s="24"/>
      <c r="X1532" s="24"/>
      <c r="Y1532" s="15"/>
      <c r="Z1532" s="15"/>
      <c r="AA1532" s="24"/>
      <c r="AB1532" s="24"/>
      <c r="AC1532" s="24"/>
      <c r="AD1532" s="24"/>
      <c r="AE1532" s="24"/>
      <c r="AF1532" s="24"/>
      <c r="AG1532" s="24"/>
      <c r="AH1532" s="24"/>
    </row>
    <row r="1533" spans="1:34" ht="90" x14ac:dyDescent="0.25">
      <c r="A1533" s="24" t="str">
        <f>HYPERLINK("https://www.cpso.on.ca/DoctorDetails/Mehtaab-Kaur-Chhabra/0273605-96005","Chhabra, Mehtaab Kaur")</f>
        <v>Chhabra, Mehtaab Kaur</v>
      </c>
      <c r="B1533" s="25" t="s">
        <v>14633</v>
      </c>
      <c r="C1533" s="24" t="s">
        <v>1266</v>
      </c>
      <c r="D1533" s="24" t="s">
        <v>967</v>
      </c>
      <c r="E1533" s="24" t="s">
        <v>14634</v>
      </c>
      <c r="F1533" s="24" t="s">
        <v>47</v>
      </c>
      <c r="G1533" s="24" t="s">
        <v>3093</v>
      </c>
      <c r="H1533" s="24" t="s">
        <v>14635</v>
      </c>
      <c r="I1533" s="24" t="s">
        <v>10678</v>
      </c>
      <c r="J1533" s="24" t="s">
        <v>14636</v>
      </c>
      <c r="K1533" s="24" t="s">
        <v>14637</v>
      </c>
      <c r="L1533" s="24" t="s">
        <v>65</v>
      </c>
      <c r="M1533" s="15"/>
      <c r="N1533" s="15"/>
      <c r="O1533" s="15" t="s">
        <v>4228</v>
      </c>
      <c r="P1533" s="15" t="s">
        <v>973</v>
      </c>
      <c r="Q1533" s="15" t="s">
        <v>14638</v>
      </c>
      <c r="R1533" s="15" t="s">
        <v>8266</v>
      </c>
      <c r="S1533" s="24" t="s">
        <v>39</v>
      </c>
      <c r="T1533" s="24" t="s">
        <v>39</v>
      </c>
      <c r="U1533" s="24" t="s">
        <v>39</v>
      </c>
      <c r="V1533" s="24" t="s">
        <v>39</v>
      </c>
      <c r="W1533" s="24" t="s">
        <v>14639</v>
      </c>
      <c r="X1533" s="24" t="s">
        <v>9837</v>
      </c>
      <c r="Y1533" s="15" t="s">
        <v>14640</v>
      </c>
      <c r="Z1533" s="15" t="s">
        <v>14641</v>
      </c>
      <c r="AA1533" s="24"/>
      <c r="AB1533" s="24"/>
      <c r="AC1533" s="24"/>
      <c r="AD1533" s="24"/>
      <c r="AE1533" s="24"/>
      <c r="AF1533" s="24"/>
      <c r="AG1533" s="24"/>
      <c r="AH1533" s="24"/>
    </row>
    <row r="1534" spans="1:34" ht="75" x14ac:dyDescent="0.25">
      <c r="A1534" s="24" t="str">
        <f>HYPERLINK("https://www.cpso.on.ca/DoctorDetails/Melanie-Elizabeth-Mullins/0264383-92755","Mullins, Melanie Elizabeth")</f>
        <v>Mullins, Melanie Elizabeth</v>
      </c>
      <c r="B1534" s="25" t="s">
        <v>14642</v>
      </c>
      <c r="C1534" s="24" t="s">
        <v>4079</v>
      </c>
      <c r="D1534" s="24" t="s">
        <v>1594</v>
      </c>
      <c r="E1534" s="24" t="s">
        <v>29</v>
      </c>
      <c r="F1534" s="24" t="s">
        <v>47</v>
      </c>
      <c r="G1534" s="24" t="s">
        <v>31</v>
      </c>
      <c r="H1534" s="24" t="s">
        <v>14643</v>
      </c>
      <c r="I1534" s="24" t="s">
        <v>14644</v>
      </c>
      <c r="J1534" s="24" t="s">
        <v>14645</v>
      </c>
      <c r="K1534" s="24" t="s">
        <v>12169</v>
      </c>
      <c r="L1534" s="24" t="s">
        <v>184</v>
      </c>
      <c r="M1534" s="15" t="s">
        <v>14646</v>
      </c>
      <c r="N1534" s="15"/>
      <c r="O1534" s="15" t="s">
        <v>14647</v>
      </c>
      <c r="P1534" s="15" t="s">
        <v>14648</v>
      </c>
      <c r="Q1534" s="15" t="s">
        <v>14649</v>
      </c>
      <c r="R1534" s="15" t="s">
        <v>8370</v>
      </c>
      <c r="S1534" s="24" t="s">
        <v>39</v>
      </c>
      <c r="T1534" s="24" t="s">
        <v>39</v>
      </c>
      <c r="U1534" s="24" t="s">
        <v>39</v>
      </c>
      <c r="V1534" s="24" t="s">
        <v>39</v>
      </c>
      <c r="W1534" s="24" t="s">
        <v>14650</v>
      </c>
      <c r="X1534" s="24" t="s">
        <v>4417</v>
      </c>
      <c r="Y1534" s="15" t="s">
        <v>14651</v>
      </c>
      <c r="Z1534" s="15" t="s">
        <v>14652</v>
      </c>
      <c r="AA1534" s="24" t="s">
        <v>14653</v>
      </c>
      <c r="AB1534" s="24" t="s">
        <v>14654</v>
      </c>
      <c r="AC1534" s="24" t="s">
        <v>14651</v>
      </c>
      <c r="AD1534" s="24" t="s">
        <v>14655</v>
      </c>
      <c r="AE1534" s="24"/>
      <c r="AF1534" s="24"/>
      <c r="AG1534" s="24"/>
      <c r="AH1534" s="24"/>
    </row>
    <row r="1535" spans="1:34" ht="150" x14ac:dyDescent="0.25">
      <c r="A1535" s="24" t="str">
        <f>HYPERLINK("https://www.cpso.on.ca/DoctorDetails/Melanie-Katherine-Strike/0272921-95936","Strike, Melanie Katherine")</f>
        <v>Strike, Melanie Katherine</v>
      </c>
      <c r="B1535" s="25" t="s">
        <v>14656</v>
      </c>
      <c r="C1535" s="24" t="s">
        <v>1266</v>
      </c>
      <c r="D1535" s="24" t="s">
        <v>14657</v>
      </c>
      <c r="E1535" s="24" t="s">
        <v>29</v>
      </c>
      <c r="F1535" s="24" t="s">
        <v>47</v>
      </c>
      <c r="G1535" s="24" t="s">
        <v>813</v>
      </c>
      <c r="H1535" s="24" t="s">
        <v>11908</v>
      </c>
      <c r="I1535" s="24" t="s">
        <v>14658</v>
      </c>
      <c r="J1535" s="24" t="s">
        <v>14659</v>
      </c>
      <c r="K1535" s="24"/>
      <c r="L1535" s="24" t="s">
        <v>84</v>
      </c>
      <c r="M1535" s="15" t="s">
        <v>14660</v>
      </c>
      <c r="N1535" s="15"/>
      <c r="O1535" s="15" t="s">
        <v>549</v>
      </c>
      <c r="P1535" s="15" t="s">
        <v>14661</v>
      </c>
      <c r="Q1535" s="15" t="s">
        <v>14662</v>
      </c>
      <c r="R1535" s="15" t="s">
        <v>14663</v>
      </c>
      <c r="S1535" s="24" t="s">
        <v>39</v>
      </c>
      <c r="T1535" s="24" t="s">
        <v>39</v>
      </c>
      <c r="U1535" s="24" t="s">
        <v>39</v>
      </c>
      <c r="V1535" s="24" t="s">
        <v>39</v>
      </c>
      <c r="W1535" s="24"/>
      <c r="X1535" s="24"/>
      <c r="Y1535" s="15"/>
      <c r="Z1535" s="15"/>
      <c r="AA1535" s="24"/>
      <c r="AB1535" s="24"/>
      <c r="AC1535" s="24"/>
      <c r="AD1535" s="24"/>
      <c r="AE1535" s="24"/>
      <c r="AF1535" s="24"/>
      <c r="AG1535" s="24"/>
      <c r="AH1535" s="24"/>
    </row>
    <row r="1536" spans="1:34" ht="30" x14ac:dyDescent="0.25">
      <c r="A1536" s="24" t="str">
        <f>HYPERLINK("https://www.cpso.on.ca/DoctorDetails/Melanie-Lee-Carr/0041827-55803","Carr, Melanie Lee")</f>
        <v>Carr, Melanie Lee</v>
      </c>
      <c r="B1536" s="25" t="s">
        <v>14664</v>
      </c>
      <c r="C1536" s="24" t="s">
        <v>2902</v>
      </c>
      <c r="D1536" s="24" t="s">
        <v>14665</v>
      </c>
      <c r="E1536" s="24" t="s">
        <v>29</v>
      </c>
      <c r="F1536" s="24" t="s">
        <v>47</v>
      </c>
      <c r="G1536" s="24" t="s">
        <v>31</v>
      </c>
      <c r="H1536" s="24" t="s">
        <v>2904</v>
      </c>
      <c r="I1536" s="24" t="s">
        <v>14666</v>
      </c>
      <c r="J1536" s="24" t="s">
        <v>14667</v>
      </c>
      <c r="K1536" s="24" t="s">
        <v>14668</v>
      </c>
      <c r="L1536" s="24" t="s">
        <v>52</v>
      </c>
      <c r="M1536" s="15"/>
      <c r="N1536" s="15"/>
      <c r="O1536" s="15" t="s">
        <v>487</v>
      </c>
      <c r="P1536" s="15" t="s">
        <v>1094</v>
      </c>
      <c r="Q1536" s="15"/>
      <c r="R1536" s="15" t="s">
        <v>14669</v>
      </c>
      <c r="S1536" s="24" t="s">
        <v>39</v>
      </c>
      <c r="T1536" s="24" t="s">
        <v>39</v>
      </c>
      <c r="U1536" s="24" t="s">
        <v>39</v>
      </c>
      <c r="V1536" s="24" t="s">
        <v>39</v>
      </c>
      <c r="W1536" s="24"/>
      <c r="X1536" s="24"/>
      <c r="Y1536" s="15"/>
      <c r="Z1536" s="15"/>
      <c r="AA1536" s="24"/>
      <c r="AB1536" s="24"/>
      <c r="AC1536" s="24"/>
      <c r="AD1536" s="24"/>
      <c r="AE1536" s="24"/>
      <c r="AF1536" s="24"/>
      <c r="AG1536" s="24"/>
      <c r="AH1536" s="24"/>
    </row>
    <row r="1537" spans="1:34" ht="90" x14ac:dyDescent="0.25">
      <c r="A1537" s="24" t="str">
        <f>HYPERLINK("https://www.cpso.on.ca/DoctorDetails/Melina-Asti/0208389-80339","Asti, Melina")</f>
        <v>Asti, Melina</v>
      </c>
      <c r="B1537" s="25" t="s">
        <v>14670</v>
      </c>
      <c r="C1537" s="24" t="s">
        <v>14671</v>
      </c>
      <c r="D1537" s="24" t="s">
        <v>14672</v>
      </c>
      <c r="E1537" s="24" t="s">
        <v>29</v>
      </c>
      <c r="F1537" s="24" t="s">
        <v>47</v>
      </c>
      <c r="G1537" s="24" t="s">
        <v>2188</v>
      </c>
      <c r="H1537" s="24" t="s">
        <v>14673</v>
      </c>
      <c r="I1537" s="24" t="s">
        <v>14674</v>
      </c>
      <c r="J1537" s="24" t="s">
        <v>14675</v>
      </c>
      <c r="K1537" s="24" t="s">
        <v>9749</v>
      </c>
      <c r="L1537" s="24" t="s">
        <v>184</v>
      </c>
      <c r="M1537" s="15"/>
      <c r="N1537" s="15"/>
      <c r="O1537" s="15" t="s">
        <v>1662</v>
      </c>
      <c r="P1537" s="15" t="s">
        <v>7574</v>
      </c>
      <c r="Q1537" s="15" t="s">
        <v>14676</v>
      </c>
      <c r="R1537" s="15" t="s">
        <v>14677</v>
      </c>
      <c r="S1537" s="24" t="s">
        <v>39</v>
      </c>
      <c r="T1537" s="24" t="s">
        <v>39</v>
      </c>
      <c r="U1537" s="24" t="s">
        <v>39</v>
      </c>
      <c r="V1537" s="24" t="s">
        <v>39</v>
      </c>
      <c r="W1537" s="24"/>
      <c r="X1537" s="24"/>
      <c r="Y1537" s="15"/>
      <c r="Z1537" s="15"/>
      <c r="AA1537" s="24"/>
      <c r="AB1537" s="24"/>
      <c r="AC1537" s="24"/>
      <c r="AD1537" s="24"/>
      <c r="AE1537" s="24"/>
      <c r="AF1537" s="24"/>
      <c r="AG1537" s="24"/>
      <c r="AH1537" s="24"/>
    </row>
    <row r="1538" spans="1:34" ht="90" x14ac:dyDescent="0.25">
      <c r="A1538" s="24" t="str">
        <f>HYPERLINK("https://www.cpso.on.ca/DoctorDetails/Melissa-Hackbart-Andrew/0052775-66739","Andrew, Melissa Hackbart")</f>
        <v>Andrew, Melissa Hackbart</v>
      </c>
      <c r="B1538" s="25" t="s">
        <v>14678</v>
      </c>
      <c r="C1538" s="24" t="s">
        <v>836</v>
      </c>
      <c r="D1538" s="24" t="s">
        <v>837</v>
      </c>
      <c r="E1538" s="24" t="s">
        <v>14679</v>
      </c>
      <c r="F1538" s="24" t="s">
        <v>47</v>
      </c>
      <c r="G1538" s="24" t="s">
        <v>31</v>
      </c>
      <c r="H1538" s="24" t="s">
        <v>9623</v>
      </c>
      <c r="I1538" s="24" t="s">
        <v>14680</v>
      </c>
      <c r="J1538" s="24" t="s">
        <v>10712</v>
      </c>
      <c r="K1538" s="24" t="s">
        <v>14681</v>
      </c>
      <c r="L1538" s="24" t="s">
        <v>340</v>
      </c>
      <c r="M1538" s="15"/>
      <c r="N1538" s="15"/>
      <c r="O1538" s="15" t="s">
        <v>1122</v>
      </c>
      <c r="P1538" s="15" t="s">
        <v>303</v>
      </c>
      <c r="Q1538" s="15" t="s">
        <v>11062</v>
      </c>
      <c r="R1538" s="15" t="s">
        <v>844</v>
      </c>
      <c r="S1538" s="24" t="s">
        <v>39</v>
      </c>
      <c r="T1538" s="24" t="s">
        <v>39</v>
      </c>
      <c r="U1538" s="24" t="s">
        <v>39</v>
      </c>
      <c r="V1538" s="24" t="s">
        <v>39</v>
      </c>
      <c r="W1538" s="24"/>
      <c r="X1538" s="24"/>
      <c r="Y1538" s="15"/>
      <c r="Z1538" s="15"/>
      <c r="AA1538" s="24"/>
      <c r="AB1538" s="24"/>
      <c r="AC1538" s="24"/>
      <c r="AD1538" s="24"/>
      <c r="AE1538" s="24"/>
      <c r="AF1538" s="24"/>
      <c r="AG1538" s="24"/>
      <c r="AH1538" s="24"/>
    </row>
    <row r="1539" spans="1:34" ht="75" x14ac:dyDescent="0.25">
      <c r="A1539" s="24" t="str">
        <f>HYPERLINK("https://www.cpso.on.ca/DoctorDetails/Melissa-Karine-Palardy/0272918-95867","Palardy, Melissa Karine")</f>
        <v>Palardy, Melissa Karine</v>
      </c>
      <c r="B1539" s="25" t="s">
        <v>14682</v>
      </c>
      <c r="C1539" s="24" t="s">
        <v>1266</v>
      </c>
      <c r="D1539" s="24" t="s">
        <v>967</v>
      </c>
      <c r="E1539" s="24" t="s">
        <v>29</v>
      </c>
      <c r="F1539" s="24" t="s">
        <v>47</v>
      </c>
      <c r="G1539" s="24" t="s">
        <v>813</v>
      </c>
      <c r="H1539" s="24" t="s">
        <v>11908</v>
      </c>
      <c r="I1539" s="24" t="s">
        <v>3071</v>
      </c>
      <c r="J1539" s="24" t="s">
        <v>3072</v>
      </c>
      <c r="K1539" s="24"/>
      <c r="L1539" s="24" t="s">
        <v>84</v>
      </c>
      <c r="M1539" s="15"/>
      <c r="N1539" s="15"/>
      <c r="O1539" s="15" t="s">
        <v>817</v>
      </c>
      <c r="P1539" s="15" t="s">
        <v>973</v>
      </c>
      <c r="Q1539" s="15" t="s">
        <v>3046</v>
      </c>
      <c r="R1539" s="15" t="s">
        <v>4059</v>
      </c>
      <c r="S1539" s="24" t="s">
        <v>39</v>
      </c>
      <c r="T1539" s="24" t="s">
        <v>39</v>
      </c>
      <c r="U1539" s="24" t="s">
        <v>39</v>
      </c>
      <c r="V1539" s="24" t="s">
        <v>39</v>
      </c>
      <c r="W1539" s="24" t="s">
        <v>14683</v>
      </c>
      <c r="X1539" s="24" t="s">
        <v>822</v>
      </c>
      <c r="Y1539" s="15" t="s">
        <v>14684</v>
      </c>
      <c r="Z1539" s="15" t="s">
        <v>14685</v>
      </c>
      <c r="AA1539" s="24"/>
      <c r="AB1539" s="24"/>
      <c r="AC1539" s="24"/>
      <c r="AD1539" s="24"/>
      <c r="AE1539" s="24"/>
      <c r="AF1539" s="24"/>
      <c r="AG1539" s="24"/>
      <c r="AH1539" s="24"/>
    </row>
    <row r="1540" spans="1:34" ht="45" x14ac:dyDescent="0.25">
      <c r="A1540" s="24" t="str">
        <f>HYPERLINK("https://www.cpso.on.ca/DoctorDetails/Melissa-MunizCohen/0325669-116908","Muniz-Cohen, Melissa")</f>
        <v>Muniz-Cohen, Melissa</v>
      </c>
      <c r="B1540" s="25" t="s">
        <v>14686</v>
      </c>
      <c r="C1540" s="24" t="s">
        <v>14687</v>
      </c>
      <c r="D1540" s="24" t="s">
        <v>14688</v>
      </c>
      <c r="E1540" s="24" t="s">
        <v>29</v>
      </c>
      <c r="F1540" s="24" t="s">
        <v>47</v>
      </c>
      <c r="G1540" s="24" t="s">
        <v>31</v>
      </c>
      <c r="H1540" s="24" t="s">
        <v>14689</v>
      </c>
      <c r="I1540" s="24" t="s">
        <v>14690</v>
      </c>
      <c r="J1540" s="24" t="s">
        <v>14691</v>
      </c>
      <c r="K1540" s="24"/>
      <c r="L1540" s="24" t="s">
        <v>152</v>
      </c>
      <c r="M1540" s="15"/>
      <c r="N1540" s="15"/>
      <c r="O1540" s="15"/>
      <c r="P1540" s="15" t="s">
        <v>14692</v>
      </c>
      <c r="Q1540" s="15"/>
      <c r="R1540" s="15" t="s">
        <v>14693</v>
      </c>
      <c r="S1540" s="24" t="s">
        <v>71</v>
      </c>
      <c r="T1540" s="24" t="s">
        <v>39</v>
      </c>
      <c r="U1540" s="24" t="s">
        <v>39</v>
      </c>
      <c r="V1540" s="24" t="s">
        <v>39</v>
      </c>
      <c r="W1540" s="24"/>
      <c r="X1540" s="24"/>
      <c r="Y1540" s="15"/>
      <c r="Z1540" s="15"/>
      <c r="AA1540" s="24"/>
      <c r="AB1540" s="24"/>
      <c r="AC1540" s="24"/>
      <c r="AD1540" s="24"/>
      <c r="AE1540" s="24"/>
      <c r="AF1540" s="24"/>
      <c r="AG1540" s="24"/>
      <c r="AH1540" s="24"/>
    </row>
    <row r="1541" spans="1:34" ht="30" x14ac:dyDescent="0.25">
      <c r="A1541" s="24" t="str">
        <f>HYPERLINK("https://www.cpso.on.ca/DoctorDetails/Menes-PierrePierre/0038324-52300","Pierre-Pierre, Menes")</f>
        <v>Pierre-Pierre, Menes</v>
      </c>
      <c r="B1541" s="25" t="s">
        <v>14694</v>
      </c>
      <c r="C1541" s="24" t="s">
        <v>14695</v>
      </c>
      <c r="D1541" s="24" t="s">
        <v>14696</v>
      </c>
      <c r="E1541" s="24" t="s">
        <v>29</v>
      </c>
      <c r="F1541" s="24" t="s">
        <v>30</v>
      </c>
      <c r="G1541" s="24" t="s">
        <v>813</v>
      </c>
      <c r="H1541" s="24" t="s">
        <v>14697</v>
      </c>
      <c r="I1541" s="24" t="s">
        <v>14698</v>
      </c>
      <c r="J1541" s="24" t="s">
        <v>14699</v>
      </c>
      <c r="K1541" s="24" t="s">
        <v>14699</v>
      </c>
      <c r="L1541" s="24" t="s">
        <v>84</v>
      </c>
      <c r="M1541" s="15"/>
      <c r="N1541" s="15"/>
      <c r="O1541" s="15"/>
      <c r="P1541" s="15" t="s">
        <v>14700</v>
      </c>
      <c r="Q1541" s="15"/>
      <c r="R1541" s="15" t="s">
        <v>14701</v>
      </c>
      <c r="S1541" s="24" t="s">
        <v>39</v>
      </c>
      <c r="T1541" s="24" t="s">
        <v>39</v>
      </c>
      <c r="U1541" s="24" t="s">
        <v>39</v>
      </c>
      <c r="V1541" s="24" t="s">
        <v>39</v>
      </c>
      <c r="W1541" s="24" t="s">
        <v>14702</v>
      </c>
      <c r="X1541" s="24" t="s">
        <v>14703</v>
      </c>
      <c r="Y1541" s="15" t="s">
        <v>14704</v>
      </c>
      <c r="Z1541" s="15" t="s">
        <v>14705</v>
      </c>
      <c r="AA1541" s="24"/>
      <c r="AB1541" s="24"/>
      <c r="AC1541" s="24"/>
      <c r="AD1541" s="24"/>
      <c r="AE1541" s="24"/>
      <c r="AF1541" s="24"/>
      <c r="AG1541" s="24"/>
      <c r="AH1541" s="24"/>
    </row>
    <row r="1542" spans="1:34" ht="75" x14ac:dyDescent="0.25">
      <c r="A1542" s="24" t="str">
        <f>HYPERLINK("https://www.cpso.on.ca/DoctorDetails/MengChuan-Lai/0300335-107465","Lai, Meng-Chuan")</f>
        <v>Lai, Meng-Chuan</v>
      </c>
      <c r="B1542" s="25" t="s">
        <v>14706</v>
      </c>
      <c r="C1542" s="24" t="s">
        <v>14707</v>
      </c>
      <c r="D1542" s="24" t="s">
        <v>14708</v>
      </c>
      <c r="E1542" s="24" t="s">
        <v>29</v>
      </c>
      <c r="F1542" s="24" t="s">
        <v>30</v>
      </c>
      <c r="G1542" s="24" t="s">
        <v>14709</v>
      </c>
      <c r="H1542" s="24" t="s">
        <v>14710</v>
      </c>
      <c r="I1542" s="24" t="s">
        <v>14711</v>
      </c>
      <c r="J1542" s="24" t="s">
        <v>14712</v>
      </c>
      <c r="K1542" s="24"/>
      <c r="L1542" s="24" t="s">
        <v>52</v>
      </c>
      <c r="M1542" s="15" t="s">
        <v>14713</v>
      </c>
      <c r="N1542" s="15" t="s">
        <v>14714</v>
      </c>
      <c r="O1542" s="15" t="s">
        <v>14715</v>
      </c>
      <c r="P1542" s="15" t="s">
        <v>14716</v>
      </c>
      <c r="Q1542" s="15"/>
      <c r="R1542" s="15" t="s">
        <v>14717</v>
      </c>
      <c r="S1542" s="24" t="s">
        <v>71</v>
      </c>
      <c r="T1542" s="24" t="s">
        <v>39</v>
      </c>
      <c r="U1542" s="24" t="s">
        <v>39</v>
      </c>
      <c r="V1542" s="24" t="s">
        <v>39</v>
      </c>
      <c r="W1542" s="24"/>
      <c r="X1542" s="24"/>
      <c r="Y1542" s="15"/>
      <c r="Z1542" s="15"/>
      <c r="AA1542" s="24"/>
      <c r="AB1542" s="24"/>
      <c r="AC1542" s="24"/>
      <c r="AD1542" s="24"/>
      <c r="AE1542" s="24"/>
      <c r="AF1542" s="24"/>
      <c r="AG1542" s="24"/>
      <c r="AH1542" s="24"/>
    </row>
    <row r="1543" spans="1:34" ht="105" x14ac:dyDescent="0.25">
      <c r="A1543" s="24" t="str">
        <f>HYPERLINK("https://www.cpso.on.ca/DoctorDetails/Meri-Kinneret-Fleiman/0265723-92801","Fleiman, Meri Kinneret")</f>
        <v>Fleiman, Meri Kinneret</v>
      </c>
      <c r="B1543" s="25" t="s">
        <v>14718</v>
      </c>
      <c r="C1543" s="24" t="s">
        <v>570</v>
      </c>
      <c r="D1543" s="24" t="s">
        <v>14719</v>
      </c>
      <c r="E1543" s="24" t="s">
        <v>14720</v>
      </c>
      <c r="F1543" s="24" t="s">
        <v>47</v>
      </c>
      <c r="G1543" s="24" t="s">
        <v>252</v>
      </c>
      <c r="H1543" s="24" t="s">
        <v>5730</v>
      </c>
      <c r="I1543" s="24" t="s">
        <v>11172</v>
      </c>
      <c r="J1543" s="24" t="s">
        <v>8588</v>
      </c>
      <c r="K1543" s="24" t="s">
        <v>14721</v>
      </c>
      <c r="L1543" s="24" t="s">
        <v>52</v>
      </c>
      <c r="M1543" s="15"/>
      <c r="N1543" s="15"/>
      <c r="O1543" s="15" t="s">
        <v>1784</v>
      </c>
      <c r="P1543" s="15" t="s">
        <v>14722</v>
      </c>
      <c r="Q1543" s="15" t="s">
        <v>14723</v>
      </c>
      <c r="R1543" s="15" t="s">
        <v>14724</v>
      </c>
      <c r="S1543" s="24" t="s">
        <v>39</v>
      </c>
      <c r="T1543" s="24" t="s">
        <v>39</v>
      </c>
      <c r="U1543" s="24" t="s">
        <v>39</v>
      </c>
      <c r="V1543" s="24" t="s">
        <v>39</v>
      </c>
      <c r="W1543" s="24" t="s">
        <v>14725</v>
      </c>
      <c r="X1543" s="24" t="s">
        <v>401</v>
      </c>
      <c r="Y1543" s="15" t="s">
        <v>14726</v>
      </c>
      <c r="Z1543" s="15" t="s">
        <v>14727</v>
      </c>
      <c r="AA1543" s="24"/>
      <c r="AB1543" s="24"/>
      <c r="AC1543" s="24"/>
      <c r="AD1543" s="24"/>
      <c r="AE1543" s="24"/>
      <c r="AF1543" s="24"/>
      <c r="AG1543" s="24"/>
      <c r="AH1543" s="24"/>
    </row>
    <row r="1544" spans="1:34" ht="120" x14ac:dyDescent="0.25">
      <c r="A1544" s="24" t="str">
        <f>HYPERLINK("https://www.cpso.on.ca/DoctorDetails/Meteb-Hamed-K-Al-Enazi/0239329-86063","Al Enazi, Meteb Hamed K")</f>
        <v>Al Enazi, Meteb Hamed K</v>
      </c>
      <c r="B1544" s="25" t="s">
        <v>14728</v>
      </c>
      <c r="C1544" s="24" t="s">
        <v>14729</v>
      </c>
      <c r="D1544" s="24" t="s">
        <v>14730</v>
      </c>
      <c r="E1544" s="24" t="s">
        <v>29</v>
      </c>
      <c r="F1544" s="24" t="s">
        <v>30</v>
      </c>
      <c r="G1544" s="24" t="s">
        <v>105</v>
      </c>
      <c r="H1544" s="24" t="s">
        <v>14731</v>
      </c>
      <c r="I1544" s="24" t="s">
        <v>14732</v>
      </c>
      <c r="J1544" s="24" t="s">
        <v>14733</v>
      </c>
      <c r="K1544" s="24"/>
      <c r="L1544" s="24" t="s">
        <v>52</v>
      </c>
      <c r="M1544" s="15" t="s">
        <v>14734</v>
      </c>
      <c r="N1544" s="15"/>
      <c r="O1544" s="15" t="s">
        <v>2731</v>
      </c>
      <c r="P1544" s="15" t="s">
        <v>1074</v>
      </c>
      <c r="Q1544" s="15" t="s">
        <v>14735</v>
      </c>
      <c r="R1544" s="15" t="s">
        <v>14736</v>
      </c>
      <c r="S1544" s="24" t="s">
        <v>39</v>
      </c>
      <c r="T1544" s="24" t="s">
        <v>39</v>
      </c>
      <c r="U1544" s="24" t="s">
        <v>39</v>
      </c>
      <c r="V1544" s="24" t="s">
        <v>39</v>
      </c>
      <c r="W1544" s="24"/>
      <c r="X1544" s="24"/>
      <c r="Y1544" s="15"/>
      <c r="Z1544" s="15"/>
      <c r="AA1544" s="24"/>
      <c r="AB1544" s="24"/>
      <c r="AC1544" s="24"/>
      <c r="AD1544" s="24"/>
      <c r="AE1544" s="24"/>
      <c r="AF1544" s="24"/>
      <c r="AG1544" s="24"/>
      <c r="AH1544" s="24"/>
    </row>
    <row r="1545" spans="1:34" x14ac:dyDescent="0.25">
      <c r="A1545" s="24" t="str">
        <f>HYPERLINK("https://www.cpso.on.ca/DoctorDetails/Meyer-Louis-Isenberg/0020049-24837","Isenberg, Meyer Louis")</f>
        <v>Isenberg, Meyer Louis</v>
      </c>
      <c r="B1545" s="25" t="s">
        <v>14737</v>
      </c>
      <c r="C1545" s="24" t="s">
        <v>5029</v>
      </c>
      <c r="D1545" s="24" t="s">
        <v>5030</v>
      </c>
      <c r="E1545" s="24" t="s">
        <v>29</v>
      </c>
      <c r="F1545" s="24" t="s">
        <v>30</v>
      </c>
      <c r="G1545" s="24" t="s">
        <v>31</v>
      </c>
      <c r="H1545" s="24" t="s">
        <v>14738</v>
      </c>
      <c r="I1545" s="24" t="s">
        <v>14739</v>
      </c>
      <c r="J1545" s="24" t="s">
        <v>6399</v>
      </c>
      <c r="K1545" s="24" t="s">
        <v>6400</v>
      </c>
      <c r="L1545" s="24" t="s">
        <v>52</v>
      </c>
      <c r="M1545" s="15"/>
      <c r="N1545" s="15"/>
      <c r="O1545" s="15" t="s">
        <v>958</v>
      </c>
      <c r="P1545" s="15" t="s">
        <v>6465</v>
      </c>
      <c r="Q1545" s="15"/>
      <c r="R1545" s="15" t="s">
        <v>5034</v>
      </c>
      <c r="S1545" s="24" t="s">
        <v>39</v>
      </c>
      <c r="T1545" s="24" t="s">
        <v>39</v>
      </c>
      <c r="U1545" s="24" t="s">
        <v>39</v>
      </c>
      <c r="V1545" s="24" t="s">
        <v>39</v>
      </c>
      <c r="W1545" s="24" t="s">
        <v>14740</v>
      </c>
      <c r="X1545" s="24" t="s">
        <v>13927</v>
      </c>
      <c r="Y1545" s="15" t="s">
        <v>14741</v>
      </c>
      <c r="Z1545" s="15" t="s">
        <v>14742</v>
      </c>
      <c r="AA1545" s="24"/>
      <c r="AB1545" s="24"/>
      <c r="AC1545" s="24"/>
      <c r="AD1545" s="24"/>
      <c r="AE1545" s="24"/>
      <c r="AF1545" s="24"/>
      <c r="AG1545" s="24"/>
      <c r="AH1545" s="24"/>
    </row>
    <row r="1546" spans="1:34" ht="120" x14ac:dyDescent="0.25">
      <c r="A1546" s="24" t="str">
        <f>HYPERLINK("https://www.cpso.on.ca/DoctorDetails/Michael-Amet-Hawkins-Villarreal/0280835-98665","Hawkins Villarreal, Michael Amet")</f>
        <v>Hawkins Villarreal, Michael Amet</v>
      </c>
      <c r="B1546" s="25" t="s">
        <v>14743</v>
      </c>
      <c r="C1546" s="24" t="s">
        <v>544</v>
      </c>
      <c r="D1546" s="24" t="s">
        <v>545</v>
      </c>
      <c r="E1546" s="24" t="s">
        <v>29</v>
      </c>
      <c r="F1546" s="24" t="s">
        <v>30</v>
      </c>
      <c r="G1546" s="24" t="s">
        <v>115</v>
      </c>
      <c r="H1546" s="24" t="s">
        <v>14744</v>
      </c>
      <c r="I1546" s="24" t="s">
        <v>14745</v>
      </c>
      <c r="J1546" s="24" t="s">
        <v>1387</v>
      </c>
      <c r="K1546" s="24"/>
      <c r="L1546" s="24" t="s">
        <v>52</v>
      </c>
      <c r="M1546" s="15"/>
      <c r="N1546" s="15"/>
      <c r="O1546" s="15"/>
      <c r="P1546" s="15" t="s">
        <v>550</v>
      </c>
      <c r="Q1546" s="15" t="s">
        <v>14746</v>
      </c>
      <c r="R1546" s="15" t="s">
        <v>3729</v>
      </c>
      <c r="S1546" s="24" t="s">
        <v>39</v>
      </c>
      <c r="T1546" s="24" t="s">
        <v>39</v>
      </c>
      <c r="U1546" s="24" t="s">
        <v>39</v>
      </c>
      <c r="V1546" s="24" t="s">
        <v>39</v>
      </c>
      <c r="W1546" s="24"/>
      <c r="X1546" s="24"/>
      <c r="Y1546" s="15"/>
      <c r="Z1546" s="15"/>
      <c r="AA1546" s="24"/>
      <c r="AB1546" s="24"/>
      <c r="AC1546" s="24"/>
      <c r="AD1546" s="24"/>
      <c r="AE1546" s="24"/>
      <c r="AF1546" s="24"/>
      <c r="AG1546" s="24"/>
      <c r="AH1546" s="24"/>
    </row>
    <row r="1547" spans="1:34" ht="60" x14ac:dyDescent="0.25">
      <c r="A1547" s="24" t="str">
        <f>HYPERLINK("https://www.cpso.on.ca/DoctorDetails/Michael-Anton-Van-Ameringen/0028365-33188","Van Ameringen, Michael Anton")</f>
        <v>Van Ameringen, Michael Anton</v>
      </c>
      <c r="B1547" s="25" t="s">
        <v>14747</v>
      </c>
      <c r="C1547" s="24" t="s">
        <v>14748</v>
      </c>
      <c r="D1547" s="24" t="s">
        <v>14749</v>
      </c>
      <c r="E1547" s="24" t="s">
        <v>29</v>
      </c>
      <c r="F1547" s="24" t="s">
        <v>30</v>
      </c>
      <c r="G1547" s="24" t="s">
        <v>813</v>
      </c>
      <c r="H1547" s="24" t="s">
        <v>2805</v>
      </c>
      <c r="I1547" s="24" t="s">
        <v>14750</v>
      </c>
      <c r="J1547" s="24" t="s">
        <v>14751</v>
      </c>
      <c r="K1547" s="24" t="s">
        <v>14752</v>
      </c>
      <c r="L1547" s="24" t="s">
        <v>184</v>
      </c>
      <c r="M1547" s="15"/>
      <c r="N1547" s="15"/>
      <c r="O1547" s="15" t="s">
        <v>726</v>
      </c>
      <c r="P1547" s="15" t="s">
        <v>14753</v>
      </c>
      <c r="Q1547" s="15"/>
      <c r="R1547" s="15" t="s">
        <v>14754</v>
      </c>
      <c r="S1547" s="24" t="s">
        <v>39</v>
      </c>
      <c r="T1547" s="24" t="s">
        <v>39</v>
      </c>
      <c r="U1547" s="24" t="s">
        <v>39</v>
      </c>
      <c r="V1547" s="24" t="s">
        <v>39</v>
      </c>
      <c r="W1547" s="24" t="s">
        <v>14755</v>
      </c>
      <c r="X1547" s="24" t="s">
        <v>14756</v>
      </c>
      <c r="Y1547" s="15" t="s">
        <v>14757</v>
      </c>
      <c r="Z1547" s="15" t="s">
        <v>14758</v>
      </c>
      <c r="AA1547" s="24"/>
      <c r="AB1547" s="24"/>
      <c r="AC1547" s="24"/>
      <c r="AD1547" s="24"/>
      <c r="AE1547" s="24"/>
      <c r="AF1547" s="24"/>
      <c r="AG1547" s="24"/>
      <c r="AH1547" s="24"/>
    </row>
    <row r="1548" spans="1:34" ht="30" x14ac:dyDescent="0.25">
      <c r="A1548" s="24" t="str">
        <f>HYPERLINK("https://www.cpso.on.ca/DoctorDetails/Michael-Bernard-Rosenbluth/0021907-26696","Rosenbluth, Michael Bernard")</f>
        <v>Rosenbluth, Michael Bernard</v>
      </c>
      <c r="B1548" s="25" t="s">
        <v>14759</v>
      </c>
      <c r="C1548" s="24" t="s">
        <v>14760</v>
      </c>
      <c r="D1548" s="24" t="s">
        <v>14761</v>
      </c>
      <c r="E1548" s="24" t="s">
        <v>29</v>
      </c>
      <c r="F1548" s="24" t="s">
        <v>30</v>
      </c>
      <c r="G1548" s="24" t="s">
        <v>31</v>
      </c>
      <c r="H1548" s="24" t="s">
        <v>11569</v>
      </c>
      <c r="I1548" s="24" t="s">
        <v>14762</v>
      </c>
      <c r="J1548" s="24" t="s">
        <v>14763</v>
      </c>
      <c r="K1548" s="24" t="s">
        <v>1190</v>
      </c>
      <c r="L1548" s="24" t="s">
        <v>52</v>
      </c>
      <c r="M1548" s="15"/>
      <c r="N1548" s="15"/>
      <c r="O1548" s="15" t="s">
        <v>1191</v>
      </c>
      <c r="P1548" s="15" t="s">
        <v>8878</v>
      </c>
      <c r="Q1548" s="15"/>
      <c r="R1548" s="15" t="s">
        <v>14764</v>
      </c>
      <c r="S1548" s="24" t="s">
        <v>39</v>
      </c>
      <c r="T1548" s="24" t="s">
        <v>39</v>
      </c>
      <c r="U1548" s="24" t="s">
        <v>39</v>
      </c>
      <c r="V1548" s="24" t="s">
        <v>39</v>
      </c>
      <c r="W1548" s="24"/>
      <c r="X1548" s="24"/>
      <c r="Y1548" s="15"/>
      <c r="Z1548" s="15"/>
      <c r="AA1548" s="24"/>
      <c r="AB1548" s="24"/>
      <c r="AC1548" s="24"/>
      <c r="AD1548" s="24"/>
      <c r="AE1548" s="24"/>
      <c r="AF1548" s="24"/>
      <c r="AG1548" s="24"/>
      <c r="AH1548" s="24"/>
    </row>
    <row r="1549" spans="1:34" x14ac:dyDescent="0.25">
      <c r="A1549" s="24" t="str">
        <f>HYPERLINK("https://www.cpso.on.ca/DoctorDetails/Michael-Browne/0027741-32564","Browne, Michael")</f>
        <v>Browne, Michael</v>
      </c>
      <c r="B1549" s="25" t="s">
        <v>14765</v>
      </c>
      <c r="C1549" s="24" t="s">
        <v>14766</v>
      </c>
      <c r="D1549" s="24" t="s">
        <v>7322</v>
      </c>
      <c r="E1549" s="24" t="s">
        <v>29</v>
      </c>
      <c r="F1549" s="24" t="s">
        <v>30</v>
      </c>
      <c r="G1549" s="24" t="s">
        <v>31</v>
      </c>
      <c r="H1549" s="24" t="s">
        <v>14767</v>
      </c>
      <c r="I1549" s="24" t="s">
        <v>14768</v>
      </c>
      <c r="J1549" s="24" t="s">
        <v>7334</v>
      </c>
      <c r="K1549" s="24"/>
      <c r="L1549" s="24" t="s">
        <v>84</v>
      </c>
      <c r="M1549" s="15"/>
      <c r="N1549" s="15"/>
      <c r="O1549" s="15" t="s">
        <v>549</v>
      </c>
      <c r="P1549" s="15" t="s">
        <v>8291</v>
      </c>
      <c r="Q1549" s="15"/>
      <c r="R1549" s="15" t="s">
        <v>14769</v>
      </c>
      <c r="S1549" s="24" t="s">
        <v>39</v>
      </c>
      <c r="T1549" s="24" t="s">
        <v>39</v>
      </c>
      <c r="U1549" s="24" t="s">
        <v>39</v>
      </c>
      <c r="V1549" s="24" t="s">
        <v>39</v>
      </c>
      <c r="W1549" s="24"/>
      <c r="X1549" s="24"/>
      <c r="Y1549" s="15"/>
      <c r="Z1549" s="15"/>
      <c r="AA1549" s="24"/>
      <c r="AB1549" s="24"/>
      <c r="AC1549" s="24"/>
      <c r="AD1549" s="24"/>
      <c r="AE1549" s="24"/>
      <c r="AF1549" s="24"/>
      <c r="AG1549" s="24"/>
      <c r="AH1549" s="24"/>
    </row>
    <row r="1550" spans="1:34" ht="45" x14ac:dyDescent="0.25">
      <c r="A1550" s="24" t="str">
        <f>HYPERLINK("https://www.cpso.on.ca/DoctorDetails/Michael-Charles-Brennagh/0021431-26219","Brennagh, Michael Charles")</f>
        <v>Brennagh, Michael Charles</v>
      </c>
      <c r="B1550" s="25" t="s">
        <v>14770</v>
      </c>
      <c r="C1550" s="24" t="s">
        <v>5308</v>
      </c>
      <c r="D1550" s="24" t="s">
        <v>5309</v>
      </c>
      <c r="E1550" s="24" t="s">
        <v>29</v>
      </c>
      <c r="F1550" s="24" t="s">
        <v>30</v>
      </c>
      <c r="G1550" s="24" t="s">
        <v>31</v>
      </c>
      <c r="H1550" s="24" t="s">
        <v>3884</v>
      </c>
      <c r="I1550" s="24" t="s">
        <v>14771</v>
      </c>
      <c r="J1550" s="24" t="s">
        <v>14772</v>
      </c>
      <c r="K1550" s="24" t="s">
        <v>14773</v>
      </c>
      <c r="L1550" s="24" t="s">
        <v>36</v>
      </c>
      <c r="M1550" s="15"/>
      <c r="N1550" s="15"/>
      <c r="O1550" s="15" t="s">
        <v>4094</v>
      </c>
      <c r="P1550" s="15" t="s">
        <v>727</v>
      </c>
      <c r="Q1550" s="15"/>
      <c r="R1550" s="15" t="s">
        <v>14774</v>
      </c>
      <c r="S1550" s="24" t="s">
        <v>39</v>
      </c>
      <c r="T1550" s="24" t="s">
        <v>39</v>
      </c>
      <c r="U1550" s="24" t="s">
        <v>39</v>
      </c>
      <c r="V1550" s="24" t="s">
        <v>39</v>
      </c>
      <c r="W1550" s="24"/>
      <c r="X1550" s="24"/>
      <c r="Y1550" s="15"/>
      <c r="Z1550" s="15"/>
      <c r="AA1550" s="24"/>
      <c r="AB1550" s="24"/>
      <c r="AC1550" s="24"/>
      <c r="AD1550" s="24"/>
      <c r="AE1550" s="24"/>
      <c r="AF1550" s="24"/>
      <c r="AG1550" s="24"/>
      <c r="AH1550" s="24"/>
    </row>
    <row r="1551" spans="1:34" x14ac:dyDescent="0.25">
      <c r="A1551" s="24" t="str">
        <f>HYPERLINK("https://www.cpso.on.ca/DoctorDetails/Michael-Charles-Brotman/0023948-28770","Brotman, Michael Charles")</f>
        <v>Brotman, Michael Charles</v>
      </c>
      <c r="B1551" s="25" t="s">
        <v>14775</v>
      </c>
      <c r="C1551" s="24" t="s">
        <v>14776</v>
      </c>
      <c r="D1551" s="24" t="s">
        <v>14777</v>
      </c>
      <c r="E1551" s="24" t="s">
        <v>29</v>
      </c>
      <c r="F1551" s="24" t="s">
        <v>30</v>
      </c>
      <c r="G1551" s="24" t="s">
        <v>31</v>
      </c>
      <c r="H1551" s="24" t="s">
        <v>8053</v>
      </c>
      <c r="I1551" s="24" t="s">
        <v>14778</v>
      </c>
      <c r="J1551" s="24" t="s">
        <v>14779</v>
      </c>
      <c r="K1551" s="24"/>
      <c r="L1551" s="24" t="s">
        <v>52</v>
      </c>
      <c r="M1551" s="15"/>
      <c r="N1551" s="15"/>
      <c r="O1551" s="15"/>
      <c r="P1551" s="15" t="s">
        <v>541</v>
      </c>
      <c r="Q1551" s="15"/>
      <c r="R1551" s="15" t="s">
        <v>14780</v>
      </c>
      <c r="S1551" s="24" t="s">
        <v>39</v>
      </c>
      <c r="T1551" s="24" t="s">
        <v>39</v>
      </c>
      <c r="U1551" s="24" t="s">
        <v>39</v>
      </c>
      <c r="V1551" s="24" t="s">
        <v>39</v>
      </c>
      <c r="W1551" s="24"/>
      <c r="X1551" s="24"/>
      <c r="Y1551" s="15"/>
      <c r="Z1551" s="15"/>
      <c r="AA1551" s="24"/>
      <c r="AB1551" s="24"/>
      <c r="AC1551" s="24"/>
      <c r="AD1551" s="24"/>
      <c r="AE1551" s="24"/>
      <c r="AF1551" s="24"/>
      <c r="AG1551" s="24"/>
      <c r="AH1551" s="24"/>
    </row>
    <row r="1552" spans="1:34" ht="90" x14ac:dyDescent="0.25">
      <c r="A1552" s="24" t="str">
        <f>HYPERLINK("https://www.cpso.on.ca/DoctorDetails/Michael-Daniel-Shaytzag/0273037-95877","Shaytzag, Michael Daniel")</f>
        <v>Shaytzag, Michael Daniel</v>
      </c>
      <c r="B1552" s="25" t="s">
        <v>14781</v>
      </c>
      <c r="C1552" s="24" t="s">
        <v>13417</v>
      </c>
      <c r="D1552" s="24" t="s">
        <v>14782</v>
      </c>
      <c r="E1552" s="24" t="s">
        <v>29</v>
      </c>
      <c r="F1552" s="24" t="s">
        <v>30</v>
      </c>
      <c r="G1552" s="24" t="s">
        <v>31</v>
      </c>
      <c r="H1552" s="24" t="s">
        <v>11908</v>
      </c>
      <c r="I1552" s="24" t="s">
        <v>14783</v>
      </c>
      <c r="J1552" s="24" t="s">
        <v>14784</v>
      </c>
      <c r="K1552" s="24" t="s">
        <v>14785</v>
      </c>
      <c r="L1552" s="24" t="s">
        <v>184</v>
      </c>
      <c r="M1552" s="15"/>
      <c r="N1552" s="15"/>
      <c r="O1552" s="15" t="s">
        <v>2169</v>
      </c>
      <c r="P1552" s="15" t="s">
        <v>973</v>
      </c>
      <c r="Q1552" s="15" t="s">
        <v>10622</v>
      </c>
      <c r="R1552" s="15" t="s">
        <v>14786</v>
      </c>
      <c r="S1552" s="24" t="s">
        <v>39</v>
      </c>
      <c r="T1552" s="24" t="s">
        <v>39</v>
      </c>
      <c r="U1552" s="24" t="s">
        <v>39</v>
      </c>
      <c r="V1552" s="24" t="s">
        <v>39</v>
      </c>
      <c r="W1552" s="24" t="s">
        <v>14787</v>
      </c>
      <c r="X1552" s="24" t="s">
        <v>14788</v>
      </c>
      <c r="Y1552" s="15" t="s">
        <v>14789</v>
      </c>
      <c r="Z1552" s="15" t="s">
        <v>14790</v>
      </c>
      <c r="AA1552" s="24"/>
      <c r="AB1552" s="24"/>
      <c r="AC1552" s="24"/>
      <c r="AD1552" s="24"/>
      <c r="AE1552" s="24"/>
      <c r="AF1552" s="24"/>
      <c r="AG1552" s="24"/>
      <c r="AH1552" s="24"/>
    </row>
    <row r="1553" spans="1:34" ht="45" x14ac:dyDescent="0.25">
      <c r="A1553" s="24" t="str">
        <f>HYPERLINK("https://www.cpso.on.ca/DoctorDetails/Michael-Edward-Gaudet/0043233-57211","Gaudet, Michael Edward")</f>
        <v>Gaudet, Michael Edward</v>
      </c>
      <c r="B1553" s="25" t="s">
        <v>14791</v>
      </c>
      <c r="C1553" s="24" t="s">
        <v>14792</v>
      </c>
      <c r="D1553" s="24" t="s">
        <v>14793</v>
      </c>
      <c r="E1553" s="24" t="s">
        <v>29</v>
      </c>
      <c r="F1553" s="24" t="s">
        <v>30</v>
      </c>
      <c r="G1553" s="24" t="s">
        <v>31</v>
      </c>
      <c r="H1553" s="24" t="s">
        <v>9363</v>
      </c>
      <c r="I1553" s="24" t="s">
        <v>14794</v>
      </c>
      <c r="J1553" s="24" t="s">
        <v>14795</v>
      </c>
      <c r="K1553" s="24" t="s">
        <v>9472</v>
      </c>
      <c r="L1553" s="24" t="s">
        <v>84</v>
      </c>
      <c r="M1553" s="15"/>
      <c r="N1553" s="15"/>
      <c r="O1553" s="15"/>
      <c r="P1553" s="15" t="s">
        <v>1033</v>
      </c>
      <c r="Q1553" s="15"/>
      <c r="R1553" s="15" t="s">
        <v>14796</v>
      </c>
      <c r="S1553" s="24" t="s">
        <v>39</v>
      </c>
      <c r="T1553" s="24" t="s">
        <v>39</v>
      </c>
      <c r="U1553" s="24" t="s">
        <v>39</v>
      </c>
      <c r="V1553" s="24" t="s">
        <v>39</v>
      </c>
      <c r="W1553" s="24"/>
      <c r="X1553" s="24"/>
      <c r="Y1553" s="15"/>
      <c r="Z1553" s="15"/>
      <c r="AA1553" s="24"/>
      <c r="AB1553" s="24"/>
      <c r="AC1553" s="24"/>
      <c r="AD1553" s="24"/>
      <c r="AE1553" s="24"/>
      <c r="AF1553" s="24"/>
      <c r="AG1553" s="24"/>
      <c r="AH1553" s="24"/>
    </row>
    <row r="1554" spans="1:34" ht="45" x14ac:dyDescent="0.25">
      <c r="A1554" s="24" t="str">
        <f>HYPERLINK("https://www.cpso.on.ca/DoctorDetails/Michael-Edward-Milo/0026452-31275","Milo, Michael Edward")</f>
        <v>Milo, Michael Edward</v>
      </c>
      <c r="B1554" s="25" t="s">
        <v>14797</v>
      </c>
      <c r="C1554" s="24" t="s">
        <v>14798</v>
      </c>
      <c r="D1554" s="24" t="s">
        <v>14799</v>
      </c>
      <c r="E1554" s="24" t="s">
        <v>29</v>
      </c>
      <c r="F1554" s="24" t="s">
        <v>30</v>
      </c>
      <c r="G1554" s="24" t="s">
        <v>31</v>
      </c>
      <c r="H1554" s="24" t="s">
        <v>2836</v>
      </c>
      <c r="I1554" s="24" t="s">
        <v>14800</v>
      </c>
      <c r="J1554" s="24" t="s">
        <v>14801</v>
      </c>
      <c r="K1554" s="24"/>
      <c r="L1554" s="24" t="s">
        <v>135</v>
      </c>
      <c r="M1554" s="15" t="s">
        <v>14802</v>
      </c>
      <c r="N1554" s="15"/>
      <c r="O1554" s="15" t="s">
        <v>4812</v>
      </c>
      <c r="P1554" s="15" t="s">
        <v>2459</v>
      </c>
      <c r="Q1554" s="15"/>
      <c r="R1554" s="15" t="s">
        <v>14803</v>
      </c>
      <c r="S1554" s="24" t="s">
        <v>71</v>
      </c>
      <c r="T1554" s="24" t="s">
        <v>39</v>
      </c>
      <c r="U1554" s="24" t="s">
        <v>39</v>
      </c>
      <c r="V1554" s="24" t="s">
        <v>39</v>
      </c>
      <c r="W1554" s="24"/>
      <c r="X1554" s="24"/>
      <c r="Y1554" s="15"/>
      <c r="Z1554" s="15"/>
      <c r="AA1554" s="24"/>
      <c r="AB1554" s="24"/>
      <c r="AC1554" s="24"/>
      <c r="AD1554" s="24"/>
      <c r="AE1554" s="24"/>
      <c r="AF1554" s="24"/>
      <c r="AG1554" s="24"/>
      <c r="AH1554" s="24"/>
    </row>
    <row r="1555" spans="1:34" ht="45" x14ac:dyDescent="0.25">
      <c r="A1555" s="24" t="str">
        <f>HYPERLINK("https://www.cpso.on.ca/DoctorDetails/Michael-Ian-Kugelmass/0021430-26218","Kugelmass, Michael Ian")</f>
        <v>Kugelmass, Michael Ian</v>
      </c>
      <c r="B1555" s="25" t="s">
        <v>14804</v>
      </c>
      <c r="C1555" s="24" t="s">
        <v>14805</v>
      </c>
      <c r="D1555" s="24" t="s">
        <v>14806</v>
      </c>
      <c r="E1555" s="24" t="s">
        <v>29</v>
      </c>
      <c r="F1555" s="24" t="s">
        <v>30</v>
      </c>
      <c r="G1555" s="24" t="s">
        <v>31</v>
      </c>
      <c r="H1555" s="24" t="s">
        <v>10799</v>
      </c>
      <c r="I1555" s="24" t="s">
        <v>14807</v>
      </c>
      <c r="J1555" s="24" t="s">
        <v>14808</v>
      </c>
      <c r="K1555" s="24" t="s">
        <v>14809</v>
      </c>
      <c r="L1555" s="24" t="s">
        <v>52</v>
      </c>
      <c r="M1555" s="15" t="s">
        <v>14810</v>
      </c>
      <c r="N1555" s="15"/>
      <c r="O1555" s="15" t="s">
        <v>14811</v>
      </c>
      <c r="P1555" s="15" t="s">
        <v>10533</v>
      </c>
      <c r="Q1555" s="15"/>
      <c r="R1555" s="15" t="s">
        <v>14812</v>
      </c>
      <c r="S1555" s="24" t="s">
        <v>39</v>
      </c>
      <c r="T1555" s="24" t="s">
        <v>39</v>
      </c>
      <c r="U1555" s="24" t="s">
        <v>39</v>
      </c>
      <c r="V1555" s="24" t="s">
        <v>39</v>
      </c>
      <c r="W1555" s="24" t="s">
        <v>14813</v>
      </c>
      <c r="X1555" s="24" t="s">
        <v>14814</v>
      </c>
      <c r="Y1555" s="15" t="s">
        <v>14815</v>
      </c>
      <c r="Z1555" s="15" t="s">
        <v>14816</v>
      </c>
      <c r="AA1555" s="24"/>
      <c r="AB1555" s="24"/>
      <c r="AC1555" s="24"/>
      <c r="AD1555" s="24"/>
      <c r="AE1555" s="24"/>
      <c r="AF1555" s="24"/>
      <c r="AG1555" s="24"/>
      <c r="AH1555" s="24"/>
    </row>
    <row r="1556" spans="1:34" ht="75" x14ac:dyDescent="0.25">
      <c r="A1556" s="24" t="str">
        <f>HYPERLINK("https://www.cpso.on.ca/DoctorDetails/Michael-James-Colleton/0143341-71284","Colleton, Michael James")</f>
        <v>Colleton, Michael James</v>
      </c>
      <c r="B1556" s="25" t="s">
        <v>14817</v>
      </c>
      <c r="C1556" s="24" t="s">
        <v>1390</v>
      </c>
      <c r="D1556" s="24" t="s">
        <v>1391</v>
      </c>
      <c r="E1556" s="24" t="s">
        <v>29</v>
      </c>
      <c r="F1556" s="24" t="s">
        <v>30</v>
      </c>
      <c r="G1556" s="24" t="s">
        <v>31</v>
      </c>
      <c r="H1556" s="24" t="s">
        <v>2366</v>
      </c>
      <c r="I1556" s="24" t="s">
        <v>14818</v>
      </c>
      <c r="J1556" s="24" t="s">
        <v>14819</v>
      </c>
      <c r="K1556" s="24" t="s">
        <v>14820</v>
      </c>
      <c r="L1556" s="24" t="s">
        <v>52</v>
      </c>
      <c r="M1556" s="15" t="s">
        <v>14821</v>
      </c>
      <c r="N1556" s="15"/>
      <c r="O1556" s="15"/>
      <c r="P1556" s="15" t="s">
        <v>1398</v>
      </c>
      <c r="Q1556" s="15" t="s">
        <v>3693</v>
      </c>
      <c r="R1556" s="15" t="s">
        <v>1400</v>
      </c>
      <c r="S1556" s="24" t="s">
        <v>39</v>
      </c>
      <c r="T1556" s="24" t="s">
        <v>39</v>
      </c>
      <c r="U1556" s="24" t="s">
        <v>39</v>
      </c>
      <c r="V1556" s="24" t="s">
        <v>39</v>
      </c>
      <c r="W1556" s="24" t="s">
        <v>14822</v>
      </c>
      <c r="X1556" s="24" t="s">
        <v>14823</v>
      </c>
      <c r="Y1556" s="15" t="s">
        <v>14824</v>
      </c>
      <c r="Z1556" s="15" t="s">
        <v>14825</v>
      </c>
      <c r="AA1556" s="24"/>
      <c r="AB1556" s="24"/>
      <c r="AC1556" s="24"/>
      <c r="AD1556" s="24"/>
      <c r="AE1556" s="24"/>
      <c r="AF1556" s="24"/>
      <c r="AG1556" s="24"/>
      <c r="AH1556" s="24"/>
    </row>
    <row r="1557" spans="1:34" ht="60" x14ac:dyDescent="0.25">
      <c r="A1557" s="24" t="str">
        <f>HYPERLINK("https://www.cpso.on.ca/DoctorDetails/Michael-James-Monaghan/0048838-62816","Monaghan, Michael James")</f>
        <v>Monaghan, Michael James</v>
      </c>
      <c r="B1557" s="25" t="s">
        <v>14826</v>
      </c>
      <c r="C1557" s="24" t="s">
        <v>14827</v>
      </c>
      <c r="D1557" s="24" t="s">
        <v>14828</v>
      </c>
      <c r="E1557" s="24" t="s">
        <v>29</v>
      </c>
      <c r="F1557" s="24" t="s">
        <v>30</v>
      </c>
      <c r="G1557" s="24" t="s">
        <v>31</v>
      </c>
      <c r="H1557" s="24" t="s">
        <v>3401</v>
      </c>
      <c r="I1557" s="24" t="s">
        <v>14829</v>
      </c>
      <c r="J1557" s="24" t="s">
        <v>3421</v>
      </c>
      <c r="K1557" s="24" t="s">
        <v>3422</v>
      </c>
      <c r="L1557" s="24" t="s">
        <v>340</v>
      </c>
      <c r="M1557" s="15"/>
      <c r="N1557" s="15"/>
      <c r="O1557" s="15"/>
      <c r="P1557" s="15" t="s">
        <v>1677</v>
      </c>
      <c r="Q1557" s="15" t="s">
        <v>14830</v>
      </c>
      <c r="R1557" s="15" t="s">
        <v>14831</v>
      </c>
      <c r="S1557" s="24" t="s">
        <v>39</v>
      </c>
      <c r="T1557" s="24" t="s">
        <v>39</v>
      </c>
      <c r="U1557" s="24" t="s">
        <v>39</v>
      </c>
      <c r="V1557" s="24" t="s">
        <v>39</v>
      </c>
      <c r="W1557" s="24"/>
      <c r="X1557" s="24"/>
      <c r="Y1557" s="15"/>
      <c r="Z1557" s="15"/>
      <c r="AA1557" s="24"/>
      <c r="AB1557" s="24"/>
      <c r="AC1557" s="24"/>
      <c r="AD1557" s="24"/>
      <c r="AE1557" s="24"/>
      <c r="AF1557" s="24"/>
      <c r="AG1557" s="24"/>
      <c r="AH1557" s="24"/>
    </row>
    <row r="1558" spans="1:34" ht="45" x14ac:dyDescent="0.25">
      <c r="A1558" s="24" t="str">
        <f>HYPERLINK("https://www.cpso.on.ca/DoctorDetails/Michael-Joseph-Kelly/0026201-31024","Kelly, Michael Joseph")</f>
        <v>Kelly, Michael Joseph</v>
      </c>
      <c r="B1558" s="25" t="s">
        <v>14832</v>
      </c>
      <c r="C1558" s="24" t="s">
        <v>14833</v>
      </c>
      <c r="D1558" s="24" t="s">
        <v>14834</v>
      </c>
      <c r="E1558" s="24" t="s">
        <v>29</v>
      </c>
      <c r="F1558" s="24" t="s">
        <v>30</v>
      </c>
      <c r="G1558" s="24" t="s">
        <v>31</v>
      </c>
      <c r="H1558" s="24" t="s">
        <v>2916</v>
      </c>
      <c r="I1558" s="24" t="s">
        <v>14835</v>
      </c>
      <c r="J1558" s="24" t="s">
        <v>14836</v>
      </c>
      <c r="K1558" s="24"/>
      <c r="L1558" s="24" t="s">
        <v>152</v>
      </c>
      <c r="M1558" s="15" t="s">
        <v>14837</v>
      </c>
      <c r="N1558" s="15"/>
      <c r="O1558" s="15" t="s">
        <v>14838</v>
      </c>
      <c r="P1558" s="15" t="s">
        <v>2250</v>
      </c>
      <c r="Q1558" s="15" t="s">
        <v>14839</v>
      </c>
      <c r="R1558" s="15" t="s">
        <v>14840</v>
      </c>
      <c r="S1558" s="24" t="s">
        <v>39</v>
      </c>
      <c r="T1558" s="24" t="s">
        <v>39</v>
      </c>
      <c r="U1558" s="24" t="s">
        <v>39</v>
      </c>
      <c r="V1558" s="24" t="s">
        <v>39</v>
      </c>
      <c r="W1558" s="24" t="s">
        <v>14841</v>
      </c>
      <c r="X1558" s="24" t="s">
        <v>14842</v>
      </c>
      <c r="Y1558" s="15"/>
      <c r="Z1558" s="15"/>
      <c r="AA1558" s="24"/>
      <c r="AB1558" s="24"/>
      <c r="AC1558" s="24"/>
      <c r="AD1558" s="24"/>
      <c r="AE1558" s="24"/>
      <c r="AF1558" s="24"/>
      <c r="AG1558" s="24"/>
      <c r="AH1558" s="24"/>
    </row>
    <row r="1559" spans="1:34" ht="90" x14ac:dyDescent="0.25">
      <c r="A1559" s="24" t="str">
        <f>HYPERLINK("https://www.cpso.on.ca/DoctorDetails/Michael-King-Shan-Cheng/0116808-69963","Cheng, Michael King Shan")</f>
        <v>Cheng, Michael King Shan</v>
      </c>
      <c r="B1559" s="25" t="s">
        <v>14843</v>
      </c>
      <c r="C1559" s="24" t="s">
        <v>2673</v>
      </c>
      <c r="D1559" s="24" t="s">
        <v>2674</v>
      </c>
      <c r="E1559" s="24" t="s">
        <v>29</v>
      </c>
      <c r="F1559" s="24" t="s">
        <v>30</v>
      </c>
      <c r="G1559" s="24" t="s">
        <v>31</v>
      </c>
      <c r="H1559" s="24" t="s">
        <v>3175</v>
      </c>
      <c r="I1559" s="24" t="s">
        <v>14844</v>
      </c>
      <c r="J1559" s="24" t="s">
        <v>5537</v>
      </c>
      <c r="K1559" s="24" t="s">
        <v>5895</v>
      </c>
      <c r="L1559" s="24" t="s">
        <v>84</v>
      </c>
      <c r="M1559" s="15"/>
      <c r="N1559" s="15"/>
      <c r="O1559" s="15" t="s">
        <v>2156</v>
      </c>
      <c r="P1559" s="15" t="s">
        <v>2678</v>
      </c>
      <c r="Q1559" s="15" t="s">
        <v>14845</v>
      </c>
      <c r="R1559" s="15" t="s">
        <v>2680</v>
      </c>
      <c r="S1559" s="24" t="s">
        <v>39</v>
      </c>
      <c r="T1559" s="24" t="s">
        <v>39</v>
      </c>
      <c r="U1559" s="24" t="s">
        <v>39</v>
      </c>
      <c r="V1559" s="24" t="s">
        <v>39</v>
      </c>
      <c r="W1559" s="24"/>
      <c r="X1559" s="24"/>
      <c r="Y1559" s="15"/>
      <c r="Z1559" s="15"/>
      <c r="AA1559" s="24"/>
      <c r="AB1559" s="24"/>
      <c r="AC1559" s="24"/>
      <c r="AD1559" s="24"/>
      <c r="AE1559" s="24"/>
      <c r="AF1559" s="24"/>
      <c r="AG1559" s="24"/>
      <c r="AH1559" s="24"/>
    </row>
    <row r="1560" spans="1:34" ht="90" x14ac:dyDescent="0.25">
      <c r="A1560" s="24" t="str">
        <f>HYPERLINK("https://www.cpso.on.ca/DoctorDetails/Michael-Kounine/0206304-80208","Kounine, Michael")</f>
        <v>Kounine, Michael</v>
      </c>
      <c r="B1560" s="25" t="s">
        <v>14846</v>
      </c>
      <c r="C1560" s="24" t="s">
        <v>14847</v>
      </c>
      <c r="D1560" s="24" t="s">
        <v>14848</v>
      </c>
      <c r="E1560" s="24" t="s">
        <v>29</v>
      </c>
      <c r="F1560" s="24" t="s">
        <v>30</v>
      </c>
      <c r="G1560" s="24" t="s">
        <v>873</v>
      </c>
      <c r="H1560" s="24" t="s">
        <v>14849</v>
      </c>
      <c r="I1560" s="24" t="s">
        <v>14850</v>
      </c>
      <c r="J1560" s="24" t="s">
        <v>14851</v>
      </c>
      <c r="K1560" s="24" t="s">
        <v>14852</v>
      </c>
      <c r="L1560" s="24" t="s">
        <v>36</v>
      </c>
      <c r="M1560" s="15" t="s">
        <v>14853</v>
      </c>
      <c r="N1560" s="15"/>
      <c r="O1560" s="15" t="s">
        <v>3590</v>
      </c>
      <c r="P1560" s="15" t="s">
        <v>5122</v>
      </c>
      <c r="Q1560" s="15"/>
      <c r="R1560" s="15" t="s">
        <v>14854</v>
      </c>
      <c r="S1560" s="24" t="s">
        <v>39</v>
      </c>
      <c r="T1560" s="24" t="s">
        <v>39</v>
      </c>
      <c r="U1560" s="24" t="s">
        <v>39</v>
      </c>
      <c r="V1560" s="24" t="s">
        <v>39</v>
      </c>
      <c r="W1560" s="24"/>
      <c r="X1560" s="24"/>
      <c r="Y1560" s="15"/>
      <c r="Z1560" s="15"/>
      <c r="AA1560" s="24"/>
      <c r="AB1560" s="24"/>
      <c r="AC1560" s="24"/>
      <c r="AD1560" s="24"/>
      <c r="AE1560" s="24"/>
      <c r="AF1560" s="24"/>
      <c r="AG1560" s="24"/>
      <c r="AH1560" s="24"/>
    </row>
    <row r="1561" spans="1:34" ht="30" x14ac:dyDescent="0.25">
      <c r="A1561" s="24" t="str">
        <f>HYPERLINK("https://www.cpso.on.ca/DoctorDetails/Michael-Krelina/0026229-31052","Krelina, Michael")</f>
        <v>Krelina, Michael</v>
      </c>
      <c r="B1561" s="25" t="s">
        <v>14855</v>
      </c>
      <c r="C1561" s="24" t="s">
        <v>5820</v>
      </c>
      <c r="D1561" s="24" t="s">
        <v>14856</v>
      </c>
      <c r="E1561" s="24" t="s">
        <v>29</v>
      </c>
      <c r="F1561" s="24" t="s">
        <v>30</v>
      </c>
      <c r="G1561" s="24" t="s">
        <v>8618</v>
      </c>
      <c r="H1561" s="24" t="s">
        <v>14857</v>
      </c>
      <c r="I1561" s="24" t="s">
        <v>14858</v>
      </c>
      <c r="J1561" s="24" t="s">
        <v>14859</v>
      </c>
      <c r="K1561" s="24" t="s">
        <v>14860</v>
      </c>
      <c r="L1561" s="24" t="s">
        <v>84</v>
      </c>
      <c r="M1561" s="15"/>
      <c r="N1561" s="15"/>
      <c r="O1561" s="15" t="s">
        <v>498</v>
      </c>
      <c r="P1561" s="15" t="s">
        <v>14861</v>
      </c>
      <c r="Q1561" s="15"/>
      <c r="R1561" s="15" t="s">
        <v>14862</v>
      </c>
      <c r="S1561" s="24" t="s">
        <v>39</v>
      </c>
      <c r="T1561" s="24" t="s">
        <v>39</v>
      </c>
      <c r="U1561" s="24" t="s">
        <v>39</v>
      </c>
      <c r="V1561" s="24" t="s">
        <v>39</v>
      </c>
      <c r="W1561" s="24"/>
      <c r="X1561" s="24"/>
      <c r="Y1561" s="15"/>
      <c r="Z1561" s="15"/>
      <c r="AA1561" s="24"/>
      <c r="AB1561" s="24"/>
      <c r="AC1561" s="24"/>
      <c r="AD1561" s="24"/>
      <c r="AE1561" s="24"/>
      <c r="AF1561" s="24"/>
      <c r="AG1561" s="24"/>
      <c r="AH1561" s="24"/>
    </row>
    <row r="1562" spans="1:34" x14ac:dyDescent="0.25">
      <c r="A1562" s="24" t="str">
        <f>HYPERLINK("https://www.cpso.on.ca/DoctorDetails/Michael-KwongKwing-Yeung/0015692-20477","Yeung, Michael Kwong-Kwing")</f>
        <v>Yeung, Michael Kwong-Kwing</v>
      </c>
      <c r="B1562" s="25" t="s">
        <v>14863</v>
      </c>
      <c r="C1562" s="24" t="s">
        <v>14864</v>
      </c>
      <c r="D1562" s="24" t="s">
        <v>14865</v>
      </c>
      <c r="E1562" s="24" t="s">
        <v>14866</v>
      </c>
      <c r="F1562" s="24" t="s">
        <v>30</v>
      </c>
      <c r="G1562" s="24" t="s">
        <v>14867</v>
      </c>
      <c r="H1562" s="24" t="s">
        <v>14868</v>
      </c>
      <c r="I1562" s="24" t="s">
        <v>14869</v>
      </c>
      <c r="J1562" s="24" t="s">
        <v>14870</v>
      </c>
      <c r="K1562" s="24" t="s">
        <v>14871</v>
      </c>
      <c r="L1562" s="24" t="s">
        <v>52</v>
      </c>
      <c r="M1562" s="15"/>
      <c r="N1562" s="15"/>
      <c r="O1562" s="15"/>
      <c r="P1562" s="15" t="s">
        <v>459</v>
      </c>
      <c r="Q1562" s="15"/>
      <c r="R1562" s="15" t="s">
        <v>14872</v>
      </c>
      <c r="S1562" s="24" t="s">
        <v>39</v>
      </c>
      <c r="T1562" s="24" t="s">
        <v>39</v>
      </c>
      <c r="U1562" s="24" t="s">
        <v>39</v>
      </c>
      <c r="V1562" s="24" t="s">
        <v>39</v>
      </c>
      <c r="W1562" s="24"/>
      <c r="X1562" s="24"/>
      <c r="Y1562" s="15"/>
      <c r="Z1562" s="15"/>
      <c r="AA1562" s="24"/>
      <c r="AB1562" s="24"/>
      <c r="AC1562" s="24"/>
      <c r="AD1562" s="24"/>
      <c r="AE1562" s="24"/>
      <c r="AF1562" s="24"/>
      <c r="AG1562" s="24"/>
      <c r="AH1562" s="24"/>
    </row>
    <row r="1563" spans="1:34" x14ac:dyDescent="0.25">
      <c r="A1563" s="24" t="str">
        <f>HYPERLINK("https://www.cpso.on.ca/DoctorDetails/Michael-Machin-Jeavons/0027827-32650","Jeavons, Michael Machin")</f>
        <v>Jeavons, Michael Machin</v>
      </c>
      <c r="B1563" s="25" t="s">
        <v>14873</v>
      </c>
      <c r="C1563" s="24" t="s">
        <v>14874</v>
      </c>
      <c r="D1563" s="24" t="s">
        <v>14875</v>
      </c>
      <c r="E1563" s="24" t="s">
        <v>29</v>
      </c>
      <c r="F1563" s="24" t="s">
        <v>30</v>
      </c>
      <c r="G1563" s="24" t="s">
        <v>31</v>
      </c>
      <c r="H1563" s="24" t="s">
        <v>14876</v>
      </c>
      <c r="I1563" s="24" t="s">
        <v>14877</v>
      </c>
      <c r="J1563" s="24" t="s">
        <v>14878</v>
      </c>
      <c r="K1563" s="24"/>
      <c r="L1563" s="24" t="s">
        <v>152</v>
      </c>
      <c r="M1563" s="15"/>
      <c r="N1563" s="15"/>
      <c r="O1563" s="15" t="s">
        <v>2315</v>
      </c>
      <c r="P1563" s="15" t="s">
        <v>4336</v>
      </c>
      <c r="Q1563" s="15"/>
      <c r="R1563" s="15" t="s">
        <v>14879</v>
      </c>
      <c r="S1563" s="24" t="s">
        <v>39</v>
      </c>
      <c r="T1563" s="24" t="s">
        <v>39</v>
      </c>
      <c r="U1563" s="24" t="s">
        <v>39</v>
      </c>
      <c r="V1563" s="24" t="s">
        <v>39</v>
      </c>
      <c r="W1563" s="24"/>
      <c r="X1563" s="24"/>
      <c r="Y1563" s="15"/>
      <c r="Z1563" s="15"/>
      <c r="AA1563" s="24"/>
      <c r="AB1563" s="24"/>
      <c r="AC1563" s="24"/>
      <c r="AD1563" s="24"/>
      <c r="AE1563" s="24"/>
      <c r="AF1563" s="24"/>
      <c r="AG1563" s="24"/>
      <c r="AH1563" s="24"/>
    </row>
    <row r="1564" spans="1:34" ht="105" x14ac:dyDescent="0.25">
      <c r="A1564" s="24" t="str">
        <f>HYPERLINK("https://www.cpso.on.ca/DoctorDetails/Michael-Mak/0265969-93878","Mak, Michael")</f>
        <v>Mak, Michael</v>
      </c>
      <c r="B1564" s="25" t="s">
        <v>14880</v>
      </c>
      <c r="C1564" s="24" t="s">
        <v>570</v>
      </c>
      <c r="D1564" s="24" t="s">
        <v>571</v>
      </c>
      <c r="E1564" s="24" t="s">
        <v>29</v>
      </c>
      <c r="F1564" s="24" t="s">
        <v>30</v>
      </c>
      <c r="G1564" s="24" t="s">
        <v>31</v>
      </c>
      <c r="H1564" s="24" t="s">
        <v>10931</v>
      </c>
      <c r="I1564" s="24" t="s">
        <v>14881</v>
      </c>
      <c r="J1564" s="24" t="s">
        <v>4115</v>
      </c>
      <c r="K1564" s="24"/>
      <c r="L1564" s="24" t="s">
        <v>135</v>
      </c>
      <c r="M1564" s="15" t="s">
        <v>14882</v>
      </c>
      <c r="N1564" s="15"/>
      <c r="O1564" s="15" t="s">
        <v>14883</v>
      </c>
      <c r="P1564" s="15" t="s">
        <v>629</v>
      </c>
      <c r="Q1564" s="15" t="s">
        <v>14884</v>
      </c>
      <c r="R1564" s="15" t="s">
        <v>1706</v>
      </c>
      <c r="S1564" s="24" t="s">
        <v>39</v>
      </c>
      <c r="T1564" s="24" t="s">
        <v>39</v>
      </c>
      <c r="U1564" s="24" t="s">
        <v>39</v>
      </c>
      <c r="V1564" s="24" t="s">
        <v>39</v>
      </c>
      <c r="W1564" s="24"/>
      <c r="X1564" s="24"/>
      <c r="Y1564" s="15"/>
      <c r="Z1564" s="15"/>
      <c r="AA1564" s="24"/>
      <c r="AB1564" s="24"/>
      <c r="AC1564" s="24"/>
      <c r="AD1564" s="24"/>
      <c r="AE1564" s="24"/>
      <c r="AF1564" s="24"/>
      <c r="AG1564" s="24"/>
      <c r="AH1564" s="24"/>
    </row>
    <row r="1565" spans="1:34" ht="409.5" x14ac:dyDescent="0.25">
      <c r="A1565" s="24" t="str">
        <f>HYPERLINK("https://www.cpso.on.ca/DoctorDetails/Michael-Neboisa-Bojkovic/0047362-61340","Bojkovic, Michael Neboisa")</f>
        <v>Bojkovic, Michael Neboisa</v>
      </c>
      <c r="B1565" s="25" t="s">
        <v>14885</v>
      </c>
      <c r="C1565" s="24" t="s">
        <v>14886</v>
      </c>
      <c r="D1565" s="24" t="s">
        <v>14887</v>
      </c>
      <c r="E1565" s="24" t="s">
        <v>29</v>
      </c>
      <c r="F1565" s="24" t="s">
        <v>30</v>
      </c>
      <c r="G1565" s="24" t="s">
        <v>5822</v>
      </c>
      <c r="H1565" s="24" t="s">
        <v>1004</v>
      </c>
      <c r="I1565" s="24" t="s">
        <v>14888</v>
      </c>
      <c r="J1565" s="24" t="s">
        <v>14889</v>
      </c>
      <c r="K1565" s="24" t="s">
        <v>14890</v>
      </c>
      <c r="L1565" s="24"/>
      <c r="M1565" s="15"/>
      <c r="N1565" s="15" t="s">
        <v>14891</v>
      </c>
      <c r="O1565" s="15"/>
      <c r="P1565" s="15" t="s">
        <v>1007</v>
      </c>
      <c r="Q1565" s="15" t="s">
        <v>14892</v>
      </c>
      <c r="R1565" s="15" t="s">
        <v>14893</v>
      </c>
      <c r="S1565" s="24" t="s">
        <v>39</v>
      </c>
      <c r="T1565" s="24" t="s">
        <v>39</v>
      </c>
      <c r="U1565" s="24" t="s">
        <v>39</v>
      </c>
      <c r="V1565" s="24" t="s">
        <v>39</v>
      </c>
      <c r="W1565" s="24"/>
      <c r="X1565" s="24"/>
      <c r="Y1565" s="15"/>
      <c r="Z1565" s="15"/>
      <c r="AA1565" s="24"/>
      <c r="AB1565" s="24"/>
      <c r="AC1565" s="24"/>
      <c r="AD1565" s="24"/>
      <c r="AE1565" s="24"/>
      <c r="AF1565" s="24"/>
      <c r="AG1565" s="24"/>
      <c r="AH1565" s="24"/>
    </row>
    <row r="1566" spans="1:34" ht="75" x14ac:dyDescent="0.25">
      <c r="A1566" s="24" t="str">
        <f>HYPERLINK("https://www.cpso.on.ca/DoctorDetails/Michael-Neszt/0273284-95437","Neszt, Michael")</f>
        <v>Neszt, Michael</v>
      </c>
      <c r="B1566" s="25" t="s">
        <v>14894</v>
      </c>
      <c r="C1566" s="24" t="s">
        <v>1266</v>
      </c>
      <c r="D1566" s="24" t="s">
        <v>967</v>
      </c>
      <c r="E1566" s="24" t="s">
        <v>29</v>
      </c>
      <c r="F1566" s="24" t="s">
        <v>30</v>
      </c>
      <c r="G1566" s="24" t="s">
        <v>813</v>
      </c>
      <c r="H1566" s="24" t="s">
        <v>14895</v>
      </c>
      <c r="I1566" s="24" t="s">
        <v>14896</v>
      </c>
      <c r="J1566" s="24" t="s">
        <v>14897</v>
      </c>
      <c r="K1566" s="24" t="s">
        <v>4720</v>
      </c>
      <c r="L1566" s="24" t="s">
        <v>52</v>
      </c>
      <c r="M1566" s="15"/>
      <c r="N1566" s="15"/>
      <c r="O1566" s="15" t="s">
        <v>271</v>
      </c>
      <c r="P1566" s="15" t="s">
        <v>973</v>
      </c>
      <c r="Q1566" s="15" t="s">
        <v>4058</v>
      </c>
      <c r="R1566" s="15" t="s">
        <v>4059</v>
      </c>
      <c r="S1566" s="24" t="s">
        <v>39</v>
      </c>
      <c r="T1566" s="24" t="s">
        <v>39</v>
      </c>
      <c r="U1566" s="24" t="s">
        <v>39</v>
      </c>
      <c r="V1566" s="24" t="s">
        <v>39</v>
      </c>
      <c r="W1566" s="24" t="s">
        <v>14898</v>
      </c>
      <c r="X1566" s="24" t="s">
        <v>14899</v>
      </c>
      <c r="Y1566" s="15" t="s">
        <v>14900</v>
      </c>
      <c r="Z1566" s="15" t="s">
        <v>14901</v>
      </c>
      <c r="AA1566" s="24"/>
      <c r="AB1566" s="24"/>
      <c r="AC1566" s="24"/>
      <c r="AD1566" s="24"/>
      <c r="AE1566" s="24"/>
      <c r="AF1566" s="24"/>
      <c r="AG1566" s="24"/>
      <c r="AH1566" s="24"/>
    </row>
    <row r="1567" spans="1:34" ht="30" x14ac:dyDescent="0.25">
      <c r="A1567" s="24" t="str">
        <f>HYPERLINK("https://www.cpso.on.ca/DoctorDetails/Michael-OMahony/0037676-51652","O'Mahony, Michael")</f>
        <v>O'Mahony, Michael</v>
      </c>
      <c r="B1567" s="25" t="s">
        <v>14902</v>
      </c>
      <c r="C1567" s="24" t="s">
        <v>14903</v>
      </c>
      <c r="D1567" s="24" t="s">
        <v>14904</v>
      </c>
      <c r="E1567" s="24" t="s">
        <v>29</v>
      </c>
      <c r="F1567" s="24" t="s">
        <v>30</v>
      </c>
      <c r="G1567" s="24" t="s">
        <v>31</v>
      </c>
      <c r="H1567" s="24" t="s">
        <v>14905</v>
      </c>
      <c r="I1567" s="24" t="s">
        <v>14906</v>
      </c>
      <c r="J1567" s="24" t="s">
        <v>14907</v>
      </c>
      <c r="K1567" s="24" t="s">
        <v>3920</v>
      </c>
      <c r="L1567" s="24" t="s">
        <v>52</v>
      </c>
      <c r="M1567" s="15" t="s">
        <v>14908</v>
      </c>
      <c r="N1567" s="15"/>
      <c r="O1567" s="15" t="s">
        <v>3921</v>
      </c>
      <c r="P1567" s="15" t="s">
        <v>745</v>
      </c>
      <c r="Q1567" s="15"/>
      <c r="R1567" s="15" t="s">
        <v>14909</v>
      </c>
      <c r="S1567" s="24" t="s">
        <v>39</v>
      </c>
      <c r="T1567" s="24" t="s">
        <v>39</v>
      </c>
      <c r="U1567" s="24" t="s">
        <v>39</v>
      </c>
      <c r="V1567" s="24" t="s">
        <v>39</v>
      </c>
      <c r="W1567" s="24" t="s">
        <v>14910</v>
      </c>
      <c r="X1567" s="24" t="s">
        <v>5774</v>
      </c>
      <c r="Y1567" s="15" t="s">
        <v>14911</v>
      </c>
      <c r="Z1567" s="15" t="s">
        <v>14912</v>
      </c>
      <c r="AA1567" s="24"/>
      <c r="AB1567" s="24"/>
      <c r="AC1567" s="24"/>
      <c r="AD1567" s="24"/>
      <c r="AE1567" s="24"/>
      <c r="AF1567" s="24"/>
      <c r="AG1567" s="24"/>
      <c r="AH1567" s="24"/>
    </row>
    <row r="1568" spans="1:34" ht="45" x14ac:dyDescent="0.25">
      <c r="A1568" s="24" t="str">
        <f>HYPERLINK("https://www.cpso.on.ca/DoctorDetails/Michael-Peter-Chan/0040731-54707","Chan, Michael Peter")</f>
        <v>Chan, Michael Peter</v>
      </c>
      <c r="B1568" s="25" t="s">
        <v>14913</v>
      </c>
      <c r="C1568" s="24" t="s">
        <v>704</v>
      </c>
      <c r="D1568" s="24" t="s">
        <v>14914</v>
      </c>
      <c r="E1568" s="24" t="s">
        <v>29</v>
      </c>
      <c r="F1568" s="24" t="s">
        <v>30</v>
      </c>
      <c r="G1568" s="24" t="s">
        <v>31</v>
      </c>
      <c r="H1568" s="24" t="s">
        <v>14915</v>
      </c>
      <c r="I1568" s="24" t="s">
        <v>14916</v>
      </c>
      <c r="J1568" s="24" t="s">
        <v>14917</v>
      </c>
      <c r="K1568" s="24" t="s">
        <v>14918</v>
      </c>
      <c r="L1568" s="24" t="s">
        <v>340</v>
      </c>
      <c r="M1568" s="15"/>
      <c r="N1568" s="15"/>
      <c r="O1568" s="15" t="s">
        <v>9648</v>
      </c>
      <c r="P1568" s="15" t="s">
        <v>3857</v>
      </c>
      <c r="Q1568" s="15"/>
      <c r="R1568" s="15" t="s">
        <v>14919</v>
      </c>
      <c r="S1568" s="24" t="s">
        <v>39</v>
      </c>
      <c r="T1568" s="24" t="s">
        <v>39</v>
      </c>
      <c r="U1568" s="24" t="s">
        <v>39</v>
      </c>
      <c r="V1568" s="24" t="s">
        <v>39</v>
      </c>
      <c r="W1568" s="24"/>
      <c r="X1568" s="24"/>
      <c r="Y1568" s="15"/>
      <c r="Z1568" s="15"/>
      <c r="AA1568" s="24"/>
      <c r="AB1568" s="24"/>
      <c r="AC1568" s="24"/>
      <c r="AD1568" s="24"/>
      <c r="AE1568" s="24"/>
      <c r="AF1568" s="24"/>
      <c r="AG1568" s="24"/>
      <c r="AH1568" s="24"/>
    </row>
    <row r="1569" spans="1:34" ht="45" x14ac:dyDescent="0.25">
      <c r="A1569" s="24" t="str">
        <f>HYPERLINK("https://www.cpso.on.ca/DoctorDetails/Michael-Stephen-Ross/0025692-30515","Ross, Michael Stephen")</f>
        <v>Ross, Michael Stephen</v>
      </c>
      <c r="B1569" s="25" t="s">
        <v>14920</v>
      </c>
      <c r="C1569" s="24" t="s">
        <v>14921</v>
      </c>
      <c r="D1569" s="24" t="s">
        <v>14922</v>
      </c>
      <c r="E1569" s="24" t="s">
        <v>29</v>
      </c>
      <c r="F1569" s="24" t="s">
        <v>30</v>
      </c>
      <c r="G1569" s="24" t="s">
        <v>31</v>
      </c>
      <c r="H1569" s="24" t="s">
        <v>7012</v>
      </c>
      <c r="I1569" s="24" t="s">
        <v>14923</v>
      </c>
      <c r="J1569" s="24" t="s">
        <v>14924</v>
      </c>
      <c r="K1569" s="24"/>
      <c r="L1569" s="24" t="s">
        <v>52</v>
      </c>
      <c r="M1569" s="15"/>
      <c r="N1569" s="15"/>
      <c r="O1569" s="15"/>
      <c r="P1569" s="15" t="s">
        <v>7327</v>
      </c>
      <c r="Q1569" s="15"/>
      <c r="R1569" s="15" t="s">
        <v>14925</v>
      </c>
      <c r="S1569" s="24" t="s">
        <v>39</v>
      </c>
      <c r="T1569" s="24" t="s">
        <v>71</v>
      </c>
      <c r="U1569" s="24" t="s">
        <v>39</v>
      </c>
      <c r="V1569" s="24" t="s">
        <v>39</v>
      </c>
      <c r="W1569" s="24"/>
      <c r="X1569" s="24"/>
      <c r="Y1569" s="15"/>
      <c r="Z1569" s="15"/>
      <c r="AA1569" s="24"/>
      <c r="AB1569" s="24"/>
      <c r="AC1569" s="24"/>
      <c r="AD1569" s="24"/>
      <c r="AE1569" s="24"/>
      <c r="AF1569" s="24"/>
      <c r="AG1569" s="24"/>
      <c r="AH1569" s="24"/>
    </row>
    <row r="1570" spans="1:34" ht="180" x14ac:dyDescent="0.25">
      <c r="A1570" s="24" t="str">
        <f>HYPERLINK("https://www.cpso.on.ca/DoctorDetails/Michael-Tseng/0193945-77766","Tseng, Michael")</f>
        <v>Tseng, Michael</v>
      </c>
      <c r="B1570" s="25" t="s">
        <v>14926</v>
      </c>
      <c r="C1570" s="24" t="s">
        <v>921</v>
      </c>
      <c r="D1570" s="24" t="s">
        <v>922</v>
      </c>
      <c r="E1570" s="24" t="s">
        <v>29</v>
      </c>
      <c r="F1570" s="24" t="s">
        <v>30</v>
      </c>
      <c r="G1570" s="24" t="s">
        <v>31</v>
      </c>
      <c r="H1570" s="24" t="s">
        <v>14927</v>
      </c>
      <c r="I1570" s="24" t="s">
        <v>14928</v>
      </c>
      <c r="J1570" s="24" t="s">
        <v>14929</v>
      </c>
      <c r="K1570" s="24" t="s">
        <v>9888</v>
      </c>
      <c r="L1570" s="24" t="s">
        <v>52</v>
      </c>
      <c r="M1570" s="15"/>
      <c r="N1570" s="15" t="s">
        <v>1370</v>
      </c>
      <c r="O1570" s="15" t="s">
        <v>14930</v>
      </c>
      <c r="P1570" s="15" t="s">
        <v>488</v>
      </c>
      <c r="Q1570" s="15" t="s">
        <v>14931</v>
      </c>
      <c r="R1570" s="15" t="s">
        <v>929</v>
      </c>
      <c r="S1570" s="24" t="s">
        <v>39</v>
      </c>
      <c r="T1570" s="24" t="s">
        <v>39</v>
      </c>
      <c r="U1570" s="24" t="s">
        <v>39</v>
      </c>
      <c r="V1570" s="24" t="s">
        <v>39</v>
      </c>
      <c r="W1570" s="24" t="s">
        <v>14932</v>
      </c>
      <c r="X1570" s="24" t="s">
        <v>9837</v>
      </c>
      <c r="Y1570" s="15" t="s">
        <v>14933</v>
      </c>
      <c r="Z1570" s="15" t="s">
        <v>14934</v>
      </c>
      <c r="AA1570" s="24"/>
      <c r="AB1570" s="24"/>
      <c r="AC1570" s="24"/>
      <c r="AD1570" s="24"/>
      <c r="AE1570" s="24"/>
      <c r="AF1570" s="24"/>
      <c r="AG1570" s="24"/>
      <c r="AH1570" s="24"/>
    </row>
    <row r="1571" spans="1:34" ht="75" x14ac:dyDescent="0.25">
      <c r="A1571" s="24" t="str">
        <f>HYPERLINK("https://www.cpso.on.ca/DoctorDetails/Michael-Uri-Wolf/0220376-83084","Wolf, Michael Uri")</f>
        <v>Wolf, Michael Uri</v>
      </c>
      <c r="B1571" s="25" t="s">
        <v>14935</v>
      </c>
      <c r="C1571" s="24" t="s">
        <v>2342</v>
      </c>
      <c r="D1571" s="24" t="s">
        <v>2343</v>
      </c>
      <c r="E1571" s="24" t="s">
        <v>29</v>
      </c>
      <c r="F1571" s="24" t="s">
        <v>30</v>
      </c>
      <c r="G1571" s="24" t="s">
        <v>31</v>
      </c>
      <c r="H1571" s="24" t="s">
        <v>12363</v>
      </c>
      <c r="I1571" s="24" t="s">
        <v>14936</v>
      </c>
      <c r="J1571" s="24" t="s">
        <v>14937</v>
      </c>
      <c r="K1571" s="24" t="s">
        <v>12853</v>
      </c>
      <c r="L1571" s="24" t="s">
        <v>52</v>
      </c>
      <c r="M1571" s="15" t="s">
        <v>14938</v>
      </c>
      <c r="N1571" s="15"/>
      <c r="O1571" s="15" t="s">
        <v>3921</v>
      </c>
      <c r="P1571" s="15" t="s">
        <v>14939</v>
      </c>
      <c r="Q1571" s="15" t="s">
        <v>2349</v>
      </c>
      <c r="R1571" s="15" t="s">
        <v>2350</v>
      </c>
      <c r="S1571" s="24" t="s">
        <v>39</v>
      </c>
      <c r="T1571" s="24" t="s">
        <v>39</v>
      </c>
      <c r="U1571" s="24" t="s">
        <v>39</v>
      </c>
      <c r="V1571" s="24" t="s">
        <v>39</v>
      </c>
      <c r="W1571" s="24" t="s">
        <v>14940</v>
      </c>
      <c r="X1571" s="24" t="s">
        <v>14941</v>
      </c>
      <c r="Y1571" s="15" t="s">
        <v>14942</v>
      </c>
      <c r="Z1571" s="15" t="s">
        <v>14943</v>
      </c>
      <c r="AA1571" s="24"/>
      <c r="AB1571" s="24"/>
      <c r="AC1571" s="24"/>
      <c r="AD1571" s="24"/>
      <c r="AE1571" s="24"/>
      <c r="AF1571" s="24"/>
      <c r="AG1571" s="24"/>
      <c r="AH1571" s="24"/>
    </row>
    <row r="1572" spans="1:34" ht="90" x14ac:dyDescent="0.25">
      <c r="A1572" s="24" t="str">
        <f>HYPERLINK("https://www.cpso.on.ca/DoctorDetails/Michael-Victor-Brown/0288168-100471","Brown, Michael Victor")</f>
        <v>Brown, Michael Victor</v>
      </c>
      <c r="B1572" s="25" t="s">
        <v>14944</v>
      </c>
      <c r="C1572" s="24" t="s">
        <v>199</v>
      </c>
      <c r="D1572" s="24" t="s">
        <v>14945</v>
      </c>
      <c r="E1572" s="24" t="s">
        <v>29</v>
      </c>
      <c r="F1572" s="24" t="s">
        <v>30</v>
      </c>
      <c r="G1572" s="24" t="s">
        <v>31</v>
      </c>
      <c r="H1572" s="24" t="s">
        <v>2992</v>
      </c>
      <c r="I1572" s="24" t="s">
        <v>14946</v>
      </c>
      <c r="J1572" s="24"/>
      <c r="K1572" s="24"/>
      <c r="L1572" s="24" t="s">
        <v>184</v>
      </c>
      <c r="M1572" s="15"/>
      <c r="N1572" s="15"/>
      <c r="O1572" s="15"/>
      <c r="P1572" s="15" t="s">
        <v>14947</v>
      </c>
      <c r="Q1572" s="15" t="s">
        <v>14948</v>
      </c>
      <c r="R1572" s="15" t="s">
        <v>14949</v>
      </c>
      <c r="S1572" s="24" t="s">
        <v>39</v>
      </c>
      <c r="T1572" s="24" t="s">
        <v>39</v>
      </c>
      <c r="U1572" s="24" t="s">
        <v>39</v>
      </c>
      <c r="V1572" s="24" t="s">
        <v>39</v>
      </c>
      <c r="W1572" s="24"/>
      <c r="X1572" s="24"/>
      <c r="Y1572" s="15"/>
      <c r="Z1572" s="15"/>
      <c r="AA1572" s="24"/>
      <c r="AB1572" s="24"/>
      <c r="AC1572" s="24"/>
      <c r="AD1572" s="24"/>
      <c r="AE1572" s="24"/>
      <c r="AF1572" s="24"/>
      <c r="AG1572" s="24"/>
      <c r="AH1572" s="24"/>
    </row>
    <row r="1573" spans="1:34" ht="75" x14ac:dyDescent="0.25">
      <c r="A1573" s="24" t="str">
        <f>HYPERLINK("https://www.cpso.on.ca/DoctorDetails/Michael-Wai-Jong-Kiang/0139739-71481","Kiang, Michael Wai Jong")</f>
        <v>Kiang, Michael Wai Jong</v>
      </c>
      <c r="B1573" s="25" t="s">
        <v>14950</v>
      </c>
      <c r="C1573" s="24" t="s">
        <v>1390</v>
      </c>
      <c r="D1573" s="24" t="s">
        <v>1391</v>
      </c>
      <c r="E1573" s="24" t="s">
        <v>29</v>
      </c>
      <c r="F1573" s="24" t="s">
        <v>30</v>
      </c>
      <c r="G1573" s="24" t="s">
        <v>31</v>
      </c>
      <c r="H1573" s="24" t="s">
        <v>1864</v>
      </c>
      <c r="I1573" s="24" t="s">
        <v>14951</v>
      </c>
      <c r="J1573" s="24" t="s">
        <v>1262</v>
      </c>
      <c r="K1573" s="24"/>
      <c r="L1573" s="24" t="s">
        <v>52</v>
      </c>
      <c r="M1573" s="15"/>
      <c r="N1573" s="15" t="s">
        <v>735</v>
      </c>
      <c r="O1573" s="15" t="s">
        <v>842</v>
      </c>
      <c r="P1573" s="15" t="s">
        <v>1398</v>
      </c>
      <c r="Q1573" s="15" t="s">
        <v>3693</v>
      </c>
      <c r="R1573" s="15" t="s">
        <v>1400</v>
      </c>
      <c r="S1573" s="24" t="s">
        <v>39</v>
      </c>
      <c r="T1573" s="24" t="s">
        <v>39</v>
      </c>
      <c r="U1573" s="24" t="s">
        <v>39</v>
      </c>
      <c r="V1573" s="24" t="s">
        <v>39</v>
      </c>
      <c r="W1573" s="24"/>
      <c r="X1573" s="24"/>
      <c r="Y1573" s="15"/>
      <c r="Z1573" s="15"/>
      <c r="AA1573" s="24"/>
      <c r="AB1573" s="24"/>
      <c r="AC1573" s="24"/>
      <c r="AD1573" s="24"/>
      <c r="AE1573" s="24"/>
      <c r="AF1573" s="24"/>
      <c r="AG1573" s="24"/>
      <c r="AH1573" s="24"/>
    </row>
    <row r="1574" spans="1:34" ht="75" x14ac:dyDescent="0.25">
      <c r="A1574" s="24" t="str">
        <f>HYPERLINK("https://www.cpso.on.ca/DoctorDetails/Michaela-Yehudit-Beder/0249981-88900","Beder, Michaela Yehudit")</f>
        <v>Beder, Michaela Yehudit</v>
      </c>
      <c r="B1574" s="25" t="s">
        <v>14952</v>
      </c>
      <c r="C1574" s="24" t="s">
        <v>14953</v>
      </c>
      <c r="D1574" s="24" t="s">
        <v>14954</v>
      </c>
      <c r="E1574" s="24" t="s">
        <v>29</v>
      </c>
      <c r="F1574" s="24" t="s">
        <v>47</v>
      </c>
      <c r="G1574" s="24" t="s">
        <v>6608</v>
      </c>
      <c r="H1574" s="24" t="s">
        <v>4878</v>
      </c>
      <c r="I1574" s="24" t="s">
        <v>14955</v>
      </c>
      <c r="J1574" s="24" t="s">
        <v>14956</v>
      </c>
      <c r="K1574" s="24" t="s">
        <v>218</v>
      </c>
      <c r="L1574" s="24" t="s">
        <v>52</v>
      </c>
      <c r="M1574" s="15"/>
      <c r="N1574" s="15"/>
      <c r="O1574" s="15" t="s">
        <v>219</v>
      </c>
      <c r="P1574" s="15" t="s">
        <v>272</v>
      </c>
      <c r="Q1574" s="15" t="s">
        <v>273</v>
      </c>
      <c r="R1574" s="15" t="s">
        <v>14957</v>
      </c>
      <c r="S1574" s="24" t="s">
        <v>39</v>
      </c>
      <c r="T1574" s="24" t="s">
        <v>39</v>
      </c>
      <c r="U1574" s="24" t="s">
        <v>39</v>
      </c>
      <c r="V1574" s="24" t="s">
        <v>39</v>
      </c>
      <c r="W1574" s="24"/>
      <c r="X1574" s="24"/>
      <c r="Y1574" s="15"/>
      <c r="Z1574" s="15"/>
      <c r="AA1574" s="24"/>
      <c r="AB1574" s="24"/>
      <c r="AC1574" s="24"/>
      <c r="AD1574" s="24"/>
      <c r="AE1574" s="24"/>
      <c r="AF1574" s="24"/>
      <c r="AG1574" s="24"/>
      <c r="AH1574" s="24"/>
    </row>
    <row r="1575" spans="1:34" ht="90" x14ac:dyDescent="0.25">
      <c r="A1575" s="24" t="str">
        <f>HYPERLINK("https://www.cpso.on.ca/DoctorDetails/Michal-Edmund-Mrozek/0020572-25360","Mrozek, Michal Edmund")</f>
        <v>Mrozek, Michal Edmund</v>
      </c>
      <c r="B1575" s="25" t="s">
        <v>14958</v>
      </c>
      <c r="C1575" s="24" t="s">
        <v>14959</v>
      </c>
      <c r="D1575" s="24" t="s">
        <v>14960</v>
      </c>
      <c r="E1575" s="24" t="s">
        <v>29</v>
      </c>
      <c r="F1575" s="24" t="s">
        <v>30</v>
      </c>
      <c r="G1575" s="24" t="s">
        <v>31</v>
      </c>
      <c r="H1575" s="24" t="s">
        <v>14961</v>
      </c>
      <c r="I1575" s="24" t="s">
        <v>14962</v>
      </c>
      <c r="J1575" s="24" t="s">
        <v>6487</v>
      </c>
      <c r="K1575" s="24" t="s">
        <v>14963</v>
      </c>
      <c r="L1575" s="24" t="s">
        <v>52</v>
      </c>
      <c r="M1575" s="15"/>
      <c r="N1575" s="15"/>
      <c r="O1575" s="15"/>
      <c r="P1575" s="15" t="s">
        <v>3299</v>
      </c>
      <c r="Q1575" s="15"/>
      <c r="R1575" s="15" t="s">
        <v>14964</v>
      </c>
      <c r="S1575" s="24" t="s">
        <v>71</v>
      </c>
      <c r="T1575" s="24" t="s">
        <v>71</v>
      </c>
      <c r="U1575" s="24" t="s">
        <v>39</v>
      </c>
      <c r="V1575" s="24" t="s">
        <v>39</v>
      </c>
      <c r="W1575" s="24"/>
      <c r="X1575" s="24"/>
      <c r="Y1575" s="15"/>
      <c r="Z1575" s="15"/>
      <c r="AA1575" s="24"/>
      <c r="AB1575" s="24"/>
      <c r="AC1575" s="24"/>
      <c r="AD1575" s="24"/>
      <c r="AE1575" s="24"/>
      <c r="AF1575" s="24"/>
      <c r="AG1575" s="24"/>
      <c r="AH1575" s="24"/>
    </row>
    <row r="1576" spans="1:34" ht="75" x14ac:dyDescent="0.25">
      <c r="A1576" s="24" t="str">
        <f>HYPERLINK("https://www.cpso.on.ca/DoctorDetails/Michal-Maciej-Siekierski/0045531-59509","Siekierski, Michal Maciej")</f>
        <v>Siekierski, Michal Maciej</v>
      </c>
      <c r="B1576" s="25" t="s">
        <v>14965</v>
      </c>
      <c r="C1576" s="24" t="s">
        <v>3282</v>
      </c>
      <c r="D1576" s="24" t="s">
        <v>14966</v>
      </c>
      <c r="E1576" s="24" t="s">
        <v>29</v>
      </c>
      <c r="F1576" s="24" t="s">
        <v>30</v>
      </c>
      <c r="G1576" s="24" t="s">
        <v>1657</v>
      </c>
      <c r="H1576" s="24" t="s">
        <v>5992</v>
      </c>
      <c r="I1576" s="24" t="s">
        <v>14967</v>
      </c>
      <c r="J1576" s="24" t="s">
        <v>574</v>
      </c>
      <c r="K1576" s="24"/>
      <c r="L1576" s="24" t="s">
        <v>184</v>
      </c>
      <c r="M1576" s="15"/>
      <c r="N1576" s="15"/>
      <c r="O1576" s="15" t="s">
        <v>4002</v>
      </c>
      <c r="P1576" s="15" t="s">
        <v>6158</v>
      </c>
      <c r="Q1576" s="15" t="s">
        <v>14968</v>
      </c>
      <c r="R1576" s="15" t="s">
        <v>14969</v>
      </c>
      <c r="S1576" s="24" t="s">
        <v>39</v>
      </c>
      <c r="T1576" s="24" t="s">
        <v>39</v>
      </c>
      <c r="U1576" s="24" t="s">
        <v>39</v>
      </c>
      <c r="V1576" s="24" t="s">
        <v>39</v>
      </c>
      <c r="W1576" s="24" t="s">
        <v>14970</v>
      </c>
      <c r="X1576" s="24" t="s">
        <v>14971</v>
      </c>
      <c r="Y1576" s="15" t="s">
        <v>14972</v>
      </c>
      <c r="Z1576" s="15" t="s">
        <v>14967</v>
      </c>
      <c r="AA1576" s="24"/>
      <c r="AB1576" s="24"/>
      <c r="AC1576" s="24"/>
      <c r="AD1576" s="24"/>
      <c r="AE1576" s="24"/>
      <c r="AF1576" s="24"/>
      <c r="AG1576" s="24"/>
      <c r="AH1576" s="24"/>
    </row>
    <row r="1577" spans="1:34" ht="30" x14ac:dyDescent="0.25">
      <c r="A1577" s="24" t="str">
        <f>HYPERLINK("https://www.cpso.on.ca/DoctorDetails/Michal-Onufry-Sapieha/0321316-113674","Sapieha, Michal Onufry")</f>
        <v>Sapieha, Michal Onufry</v>
      </c>
      <c r="B1577" s="25" t="s">
        <v>14973</v>
      </c>
      <c r="C1577" s="24" t="s">
        <v>12473</v>
      </c>
      <c r="D1577" s="24" t="s">
        <v>12474</v>
      </c>
      <c r="E1577" s="24" t="s">
        <v>29</v>
      </c>
      <c r="F1577" s="24" t="s">
        <v>30</v>
      </c>
      <c r="G1577" s="24" t="s">
        <v>1657</v>
      </c>
      <c r="H1577" s="24" t="s">
        <v>14974</v>
      </c>
      <c r="I1577" s="24" t="s">
        <v>7214</v>
      </c>
      <c r="J1577" s="24" t="s">
        <v>14975</v>
      </c>
      <c r="K1577" s="24" t="s">
        <v>14976</v>
      </c>
      <c r="L1577" s="24" t="s">
        <v>152</v>
      </c>
      <c r="M1577" s="15"/>
      <c r="N1577" s="15"/>
      <c r="O1577" s="15" t="s">
        <v>1539</v>
      </c>
      <c r="P1577" s="15" t="s">
        <v>550</v>
      </c>
      <c r="Q1577" s="15"/>
      <c r="R1577" s="15" t="s">
        <v>14977</v>
      </c>
      <c r="S1577" s="24" t="s">
        <v>39</v>
      </c>
      <c r="T1577" s="24" t="s">
        <v>39</v>
      </c>
      <c r="U1577" s="24" t="s">
        <v>39</v>
      </c>
      <c r="V1577" s="24" t="s">
        <v>39</v>
      </c>
      <c r="W1577" s="24"/>
      <c r="X1577" s="24"/>
      <c r="Y1577" s="15"/>
      <c r="Z1577" s="15"/>
      <c r="AA1577" s="24"/>
      <c r="AB1577" s="24"/>
      <c r="AC1577" s="24"/>
      <c r="AD1577" s="24"/>
      <c r="AE1577" s="24"/>
      <c r="AF1577" s="24"/>
      <c r="AG1577" s="24"/>
      <c r="AH1577" s="24"/>
    </row>
    <row r="1578" spans="1:34" ht="75" x14ac:dyDescent="0.25">
      <c r="A1578" s="24" t="str">
        <f>HYPERLINK("https://www.cpso.on.ca/DoctorDetails/Michel-Bernard-Joseph-Pigeon/0020895-25683","Pigeon, Michel Bernard Joseph")</f>
        <v>Pigeon, Michel Bernard Joseph</v>
      </c>
      <c r="B1578" s="25" t="s">
        <v>14978</v>
      </c>
      <c r="C1578" s="24" t="s">
        <v>8810</v>
      </c>
      <c r="D1578" s="24" t="s">
        <v>14979</v>
      </c>
      <c r="E1578" s="24" t="s">
        <v>29</v>
      </c>
      <c r="F1578" s="24" t="s">
        <v>30</v>
      </c>
      <c r="G1578" s="24" t="s">
        <v>813</v>
      </c>
      <c r="H1578" s="24" t="s">
        <v>14980</v>
      </c>
      <c r="I1578" s="24" t="s">
        <v>1840</v>
      </c>
      <c r="J1578" s="24" t="s">
        <v>14981</v>
      </c>
      <c r="K1578" s="24" t="s">
        <v>10403</v>
      </c>
      <c r="L1578" s="24" t="s">
        <v>36</v>
      </c>
      <c r="M1578" s="15"/>
      <c r="N1578" s="15"/>
      <c r="O1578" s="15"/>
      <c r="P1578" s="15" t="s">
        <v>14982</v>
      </c>
      <c r="Q1578" s="15" t="s">
        <v>14983</v>
      </c>
      <c r="R1578" s="15" t="s">
        <v>14984</v>
      </c>
      <c r="S1578" s="24" t="s">
        <v>39</v>
      </c>
      <c r="T1578" s="24" t="s">
        <v>71</v>
      </c>
      <c r="U1578" s="24" t="s">
        <v>39</v>
      </c>
      <c r="V1578" s="24" t="s">
        <v>39</v>
      </c>
      <c r="W1578" s="24"/>
      <c r="X1578" s="24"/>
      <c r="Y1578" s="15"/>
      <c r="Z1578" s="15"/>
      <c r="AA1578" s="24"/>
      <c r="AB1578" s="24"/>
      <c r="AC1578" s="24"/>
      <c r="AD1578" s="24"/>
      <c r="AE1578" s="24"/>
      <c r="AF1578" s="24"/>
      <c r="AG1578" s="24"/>
      <c r="AH1578" s="24"/>
    </row>
    <row r="1579" spans="1:34" ht="105" x14ac:dyDescent="0.25">
      <c r="A1579" s="24" t="str">
        <f>HYPERLINK("https://www.cpso.on.ca/DoctorDetails/Michele-Colleen-Korostil/0169331-75096","Korostil, Michele Colleen")</f>
        <v>Korostil, Michele Colleen</v>
      </c>
      <c r="B1579" s="25" t="s">
        <v>14985</v>
      </c>
      <c r="C1579" s="24" t="s">
        <v>3642</v>
      </c>
      <c r="D1579" s="24" t="s">
        <v>1234</v>
      </c>
      <c r="E1579" s="24" t="s">
        <v>29</v>
      </c>
      <c r="F1579" s="24" t="s">
        <v>47</v>
      </c>
      <c r="G1579" s="24" t="s">
        <v>31</v>
      </c>
      <c r="H1579" s="24" t="s">
        <v>4067</v>
      </c>
      <c r="I1579" s="24" t="s">
        <v>107</v>
      </c>
      <c r="J1579" s="24"/>
      <c r="K1579" s="24"/>
      <c r="L1579" s="24"/>
      <c r="M1579" s="15"/>
      <c r="N1579" s="15"/>
      <c r="O1579" s="15" t="s">
        <v>842</v>
      </c>
      <c r="P1579" s="15" t="s">
        <v>1239</v>
      </c>
      <c r="Q1579" s="15" t="s">
        <v>5042</v>
      </c>
      <c r="R1579" s="15" t="s">
        <v>3649</v>
      </c>
      <c r="S1579" s="24" t="s">
        <v>39</v>
      </c>
      <c r="T1579" s="24" t="s">
        <v>39</v>
      </c>
      <c r="U1579" s="24" t="s">
        <v>39</v>
      </c>
      <c r="V1579" s="24" t="s">
        <v>39</v>
      </c>
      <c r="W1579" s="24"/>
      <c r="X1579" s="24"/>
      <c r="Y1579" s="15"/>
      <c r="Z1579" s="15"/>
      <c r="AA1579" s="24"/>
      <c r="AB1579" s="24"/>
      <c r="AC1579" s="24"/>
      <c r="AD1579" s="24"/>
      <c r="AE1579" s="24"/>
      <c r="AF1579" s="24"/>
      <c r="AG1579" s="24"/>
      <c r="AH1579" s="24"/>
    </row>
    <row r="1580" spans="1:34" ht="75" x14ac:dyDescent="0.25">
      <c r="A1580" s="24" t="str">
        <f>HYPERLINK("https://www.cpso.on.ca/DoctorDetails/Michele-Marie-Doering/0052609-66573","Doering, Michele Marie")</f>
        <v>Doering, Michele Marie</v>
      </c>
      <c r="B1580" s="25" t="s">
        <v>14986</v>
      </c>
      <c r="C1580" s="24" t="s">
        <v>836</v>
      </c>
      <c r="D1580" s="24" t="s">
        <v>837</v>
      </c>
      <c r="E1580" s="24" t="s">
        <v>29</v>
      </c>
      <c r="F1580" s="24" t="s">
        <v>47</v>
      </c>
      <c r="G1580" s="24" t="s">
        <v>31</v>
      </c>
      <c r="H1580" s="24" t="s">
        <v>1933</v>
      </c>
      <c r="I1580" s="24" t="s">
        <v>14987</v>
      </c>
      <c r="J1580" s="24" t="s">
        <v>6636</v>
      </c>
      <c r="K1580" s="24" t="s">
        <v>1327</v>
      </c>
      <c r="L1580" s="24" t="s">
        <v>135</v>
      </c>
      <c r="M1580" s="15"/>
      <c r="N1580" s="15"/>
      <c r="O1580" s="15"/>
      <c r="P1580" s="15" t="s">
        <v>303</v>
      </c>
      <c r="Q1580" s="15" t="s">
        <v>14988</v>
      </c>
      <c r="R1580" s="15" t="s">
        <v>844</v>
      </c>
      <c r="S1580" s="24" t="s">
        <v>39</v>
      </c>
      <c r="T1580" s="24" t="s">
        <v>39</v>
      </c>
      <c r="U1580" s="24" t="s">
        <v>39</v>
      </c>
      <c r="V1580" s="24" t="s">
        <v>39</v>
      </c>
      <c r="W1580" s="24"/>
      <c r="X1580" s="24"/>
      <c r="Y1580" s="15"/>
      <c r="Z1580" s="15"/>
      <c r="AA1580" s="24"/>
      <c r="AB1580" s="24"/>
      <c r="AC1580" s="24"/>
      <c r="AD1580" s="24"/>
      <c r="AE1580" s="24"/>
      <c r="AF1580" s="24"/>
      <c r="AG1580" s="24"/>
      <c r="AH1580" s="24"/>
    </row>
    <row r="1581" spans="1:34" ht="90" x14ac:dyDescent="0.25">
      <c r="A1581" s="24" t="str">
        <f>HYPERLINK("https://www.cpso.on.ca/DoctorDetails/Michele-Marie-Tremblay/0040547-54523","Tremblay, Michele Marie")</f>
        <v>Tremblay, Michele Marie</v>
      </c>
      <c r="B1581" s="25" t="s">
        <v>14989</v>
      </c>
      <c r="C1581" s="24" t="s">
        <v>704</v>
      </c>
      <c r="D1581" s="24" t="s">
        <v>4831</v>
      </c>
      <c r="E1581" s="24" t="s">
        <v>29</v>
      </c>
      <c r="F1581" s="24" t="s">
        <v>47</v>
      </c>
      <c r="G1581" s="24" t="s">
        <v>813</v>
      </c>
      <c r="H1581" s="24" t="s">
        <v>11627</v>
      </c>
      <c r="I1581" s="24" t="s">
        <v>742</v>
      </c>
      <c r="J1581" s="24" t="s">
        <v>1612</v>
      </c>
      <c r="K1581" s="24" t="s">
        <v>1613</v>
      </c>
      <c r="L1581" s="24" t="s">
        <v>84</v>
      </c>
      <c r="M1581" s="15"/>
      <c r="N1581" s="15"/>
      <c r="O1581" s="15" t="s">
        <v>14990</v>
      </c>
      <c r="P1581" s="15" t="s">
        <v>14991</v>
      </c>
      <c r="Q1581" s="15"/>
      <c r="R1581" s="15" t="s">
        <v>14992</v>
      </c>
      <c r="S1581" s="24" t="s">
        <v>39</v>
      </c>
      <c r="T1581" s="24" t="s">
        <v>39</v>
      </c>
      <c r="U1581" s="24" t="s">
        <v>39</v>
      </c>
      <c r="V1581" s="24" t="s">
        <v>39</v>
      </c>
      <c r="W1581" s="24" t="s">
        <v>14993</v>
      </c>
      <c r="X1581" s="24" t="s">
        <v>14994</v>
      </c>
      <c r="Y1581" s="15" t="s">
        <v>14995</v>
      </c>
      <c r="Z1581" s="15" t="s">
        <v>2554</v>
      </c>
      <c r="AA1581" s="24"/>
      <c r="AB1581" s="24"/>
      <c r="AC1581" s="24"/>
      <c r="AD1581" s="24"/>
      <c r="AE1581" s="24"/>
      <c r="AF1581" s="24"/>
      <c r="AG1581" s="24"/>
      <c r="AH1581" s="24"/>
    </row>
    <row r="1582" spans="1:34" ht="75" x14ac:dyDescent="0.25">
      <c r="A1582" s="24" t="str">
        <f>HYPERLINK("https://www.cpso.on.ca/DoctorDetails/Michele-Nicole-Boyd/0116796-70160","Boyd, Michele Nicole")</f>
        <v>Boyd, Michele Nicole</v>
      </c>
      <c r="B1582" s="25" t="s">
        <v>14996</v>
      </c>
      <c r="C1582" s="24" t="s">
        <v>2673</v>
      </c>
      <c r="D1582" s="24" t="s">
        <v>2674</v>
      </c>
      <c r="E1582" s="24" t="s">
        <v>29</v>
      </c>
      <c r="F1582" s="24" t="s">
        <v>47</v>
      </c>
      <c r="G1582" s="24" t="s">
        <v>31</v>
      </c>
      <c r="H1582" s="24" t="s">
        <v>3175</v>
      </c>
      <c r="I1582" s="24" t="s">
        <v>14997</v>
      </c>
      <c r="J1582" s="24" t="s">
        <v>14998</v>
      </c>
      <c r="K1582" s="24" t="s">
        <v>14999</v>
      </c>
      <c r="L1582" s="24" t="s">
        <v>340</v>
      </c>
      <c r="M1582" s="15"/>
      <c r="N1582" s="15"/>
      <c r="O1582" s="15" t="s">
        <v>1914</v>
      </c>
      <c r="P1582" s="15" t="s">
        <v>2678</v>
      </c>
      <c r="Q1582" s="15" t="s">
        <v>15000</v>
      </c>
      <c r="R1582" s="15" t="s">
        <v>2680</v>
      </c>
      <c r="S1582" s="24" t="s">
        <v>39</v>
      </c>
      <c r="T1582" s="24" t="s">
        <v>39</v>
      </c>
      <c r="U1582" s="24" t="s">
        <v>39</v>
      </c>
      <c r="V1582" s="24" t="s">
        <v>39</v>
      </c>
      <c r="W1582" s="24" t="s">
        <v>15001</v>
      </c>
      <c r="X1582" s="24" t="s">
        <v>15002</v>
      </c>
      <c r="Y1582" s="15" t="s">
        <v>15003</v>
      </c>
      <c r="Z1582" s="15" t="s">
        <v>15004</v>
      </c>
      <c r="AA1582" s="24"/>
      <c r="AB1582" s="24"/>
      <c r="AC1582" s="24"/>
      <c r="AD1582" s="24"/>
      <c r="AE1582" s="24"/>
      <c r="AF1582" s="24"/>
      <c r="AG1582" s="24"/>
      <c r="AH1582" s="24"/>
    </row>
    <row r="1583" spans="1:34" ht="135" x14ac:dyDescent="0.25">
      <c r="A1583" s="24" t="str">
        <f>HYPERLINK("https://www.cpso.on.ca/DoctorDetails/Michelle-Alexandra-Marlborough/0273339-95104","Marlborough, Michelle Alexandra")</f>
        <v>Marlborough, Michelle Alexandra</v>
      </c>
      <c r="B1583" s="25" t="s">
        <v>15005</v>
      </c>
      <c r="C1583" s="24" t="s">
        <v>15006</v>
      </c>
      <c r="D1583" s="24" t="s">
        <v>15007</v>
      </c>
      <c r="E1583" s="24" t="s">
        <v>29</v>
      </c>
      <c r="F1583" s="24" t="s">
        <v>47</v>
      </c>
      <c r="G1583" s="24" t="s">
        <v>31</v>
      </c>
      <c r="H1583" s="24" t="s">
        <v>4476</v>
      </c>
      <c r="I1583" s="24" t="s">
        <v>15008</v>
      </c>
      <c r="J1583" s="24" t="s">
        <v>11103</v>
      </c>
      <c r="K1583" s="24"/>
      <c r="L1583" s="24" t="s">
        <v>135</v>
      </c>
      <c r="M1583" s="15"/>
      <c r="N1583" s="15"/>
      <c r="O1583" s="15"/>
      <c r="P1583" s="15" t="s">
        <v>15009</v>
      </c>
      <c r="Q1583" s="15" t="s">
        <v>15010</v>
      </c>
      <c r="R1583" s="15" t="s">
        <v>15011</v>
      </c>
      <c r="S1583" s="24" t="s">
        <v>39</v>
      </c>
      <c r="T1583" s="24" t="s">
        <v>39</v>
      </c>
      <c r="U1583" s="24" t="s">
        <v>39</v>
      </c>
      <c r="V1583" s="24" t="s">
        <v>39</v>
      </c>
      <c r="W1583" s="24"/>
      <c r="X1583" s="24"/>
      <c r="Y1583" s="15"/>
      <c r="Z1583" s="15"/>
      <c r="AA1583" s="24"/>
      <c r="AB1583" s="24"/>
      <c r="AC1583" s="24"/>
      <c r="AD1583" s="24"/>
      <c r="AE1583" s="24"/>
      <c r="AF1583" s="24"/>
      <c r="AG1583" s="24"/>
      <c r="AH1583" s="24"/>
    </row>
    <row r="1584" spans="1:34" ht="105" x14ac:dyDescent="0.25">
      <c r="A1584" s="24" t="str">
        <f>HYPERLINK("https://www.cpso.on.ca/DoctorDetails/Michelle-Ann-Venantius/0232713-84304","Venantius, Michelle Ann")</f>
        <v>Venantius, Michelle Ann</v>
      </c>
      <c r="B1584" s="25" t="s">
        <v>15012</v>
      </c>
      <c r="C1584" s="24" t="s">
        <v>15013</v>
      </c>
      <c r="D1584" s="24" t="s">
        <v>15014</v>
      </c>
      <c r="E1584" s="24" t="s">
        <v>29</v>
      </c>
      <c r="F1584" s="24" t="s">
        <v>47</v>
      </c>
      <c r="G1584" s="24" t="s">
        <v>31</v>
      </c>
      <c r="H1584" s="24" t="s">
        <v>12042</v>
      </c>
      <c r="I1584" s="24" t="s">
        <v>15015</v>
      </c>
      <c r="J1584" s="24" t="s">
        <v>12887</v>
      </c>
      <c r="K1584" s="24" t="s">
        <v>15016</v>
      </c>
      <c r="L1584" s="24" t="s">
        <v>184</v>
      </c>
      <c r="M1584" s="15" t="s">
        <v>15017</v>
      </c>
      <c r="N1584" s="15"/>
      <c r="O1584" s="15" t="s">
        <v>4363</v>
      </c>
      <c r="P1584" s="15" t="s">
        <v>2105</v>
      </c>
      <c r="Q1584" s="15" t="s">
        <v>15018</v>
      </c>
      <c r="R1584" s="15" t="s">
        <v>15019</v>
      </c>
      <c r="S1584" s="24" t="s">
        <v>39</v>
      </c>
      <c r="T1584" s="24" t="s">
        <v>39</v>
      </c>
      <c r="U1584" s="24" t="s">
        <v>39</v>
      </c>
      <c r="V1584" s="24" t="s">
        <v>39</v>
      </c>
      <c r="W1584" s="24" t="s">
        <v>15020</v>
      </c>
      <c r="X1584" s="24" t="s">
        <v>15021</v>
      </c>
      <c r="Y1584" s="15" t="s">
        <v>15022</v>
      </c>
      <c r="Z1584" s="15" t="s">
        <v>15023</v>
      </c>
      <c r="AA1584" s="24" t="s">
        <v>15024</v>
      </c>
      <c r="AB1584" s="24" t="s">
        <v>7469</v>
      </c>
      <c r="AC1584" s="24" t="s">
        <v>15022</v>
      </c>
      <c r="AD1584" s="24" t="s">
        <v>15025</v>
      </c>
      <c r="AE1584" s="24"/>
      <c r="AF1584" s="24"/>
      <c r="AG1584" s="24"/>
      <c r="AH1584" s="24"/>
    </row>
    <row r="1585" spans="1:34" ht="75" x14ac:dyDescent="0.25">
      <c r="A1585" s="24" t="str">
        <f>HYPERLINK("https://www.cpso.on.ca/DoctorDetails/Michelle-Anne-Carlier/0139309-71240","Carlier, Michelle Anne")</f>
        <v>Carlier, Michelle Anne</v>
      </c>
      <c r="B1585" s="25" t="s">
        <v>15026</v>
      </c>
      <c r="C1585" s="24" t="s">
        <v>15027</v>
      </c>
      <c r="D1585" s="24" t="s">
        <v>15028</v>
      </c>
      <c r="E1585" s="24" t="s">
        <v>29</v>
      </c>
      <c r="F1585" s="24" t="s">
        <v>47</v>
      </c>
      <c r="G1585" s="24" t="s">
        <v>31</v>
      </c>
      <c r="H1585" s="24" t="s">
        <v>242</v>
      </c>
      <c r="I1585" s="24" t="s">
        <v>15029</v>
      </c>
      <c r="J1585" s="24" t="s">
        <v>15030</v>
      </c>
      <c r="K1585" s="24" t="s">
        <v>15031</v>
      </c>
      <c r="L1585" s="24" t="s">
        <v>52</v>
      </c>
      <c r="M1585" s="15"/>
      <c r="N1585" s="15"/>
      <c r="O1585" s="15" t="s">
        <v>1867</v>
      </c>
      <c r="P1585" s="15" t="s">
        <v>1398</v>
      </c>
      <c r="Q1585" s="15" t="s">
        <v>3693</v>
      </c>
      <c r="R1585" s="15" t="s">
        <v>15032</v>
      </c>
      <c r="S1585" s="24" t="s">
        <v>39</v>
      </c>
      <c r="T1585" s="24" t="s">
        <v>39</v>
      </c>
      <c r="U1585" s="24" t="s">
        <v>39</v>
      </c>
      <c r="V1585" s="24" t="s">
        <v>39</v>
      </c>
      <c r="W1585" s="24" t="s">
        <v>15033</v>
      </c>
      <c r="X1585" s="24" t="s">
        <v>8959</v>
      </c>
      <c r="Y1585" s="15" t="s">
        <v>15034</v>
      </c>
      <c r="Z1585" s="15" t="s">
        <v>15035</v>
      </c>
      <c r="AA1585" s="24"/>
      <c r="AB1585" s="24"/>
      <c r="AC1585" s="24"/>
      <c r="AD1585" s="24"/>
      <c r="AE1585" s="24"/>
      <c r="AF1585" s="24"/>
      <c r="AG1585" s="24"/>
      <c r="AH1585" s="24"/>
    </row>
    <row r="1586" spans="1:34" ht="75" x14ac:dyDescent="0.25">
      <c r="A1586" s="24" t="str">
        <f>HYPERLINK("https://www.cpso.on.ca/DoctorDetails/Michelle-Anne-Ngo/0242424-86553","Ngo, Michelle Anne")</f>
        <v>Ngo, Michelle Anne</v>
      </c>
      <c r="B1586" s="25" t="s">
        <v>15036</v>
      </c>
      <c r="C1586" s="24" t="s">
        <v>1115</v>
      </c>
      <c r="D1586" s="24" t="s">
        <v>1594</v>
      </c>
      <c r="E1586" s="24" t="s">
        <v>29</v>
      </c>
      <c r="F1586" s="24" t="s">
        <v>47</v>
      </c>
      <c r="G1586" s="24" t="s">
        <v>31</v>
      </c>
      <c r="H1586" s="24" t="s">
        <v>2714</v>
      </c>
      <c r="I1586" s="24" t="s">
        <v>15037</v>
      </c>
      <c r="J1586" s="24" t="s">
        <v>9551</v>
      </c>
      <c r="K1586" s="24"/>
      <c r="L1586" s="24" t="s">
        <v>135</v>
      </c>
      <c r="M1586" s="15"/>
      <c r="N1586" s="15"/>
      <c r="O1586" s="15" t="s">
        <v>913</v>
      </c>
      <c r="P1586" s="15" t="s">
        <v>1074</v>
      </c>
      <c r="Q1586" s="15" t="s">
        <v>2719</v>
      </c>
      <c r="R1586" s="15" t="s">
        <v>1602</v>
      </c>
      <c r="S1586" s="24" t="s">
        <v>39</v>
      </c>
      <c r="T1586" s="24" t="s">
        <v>39</v>
      </c>
      <c r="U1586" s="24" t="s">
        <v>39</v>
      </c>
      <c r="V1586" s="24" t="s">
        <v>39</v>
      </c>
      <c r="W1586" s="24" t="s">
        <v>2720</v>
      </c>
      <c r="X1586" s="24" t="s">
        <v>2721</v>
      </c>
      <c r="Y1586" s="15" t="s">
        <v>2722</v>
      </c>
      <c r="Z1586" s="15" t="s">
        <v>2723</v>
      </c>
      <c r="AA1586" s="24"/>
      <c r="AB1586" s="24"/>
      <c r="AC1586" s="24"/>
      <c r="AD1586" s="24"/>
      <c r="AE1586" s="24"/>
      <c r="AF1586" s="24"/>
      <c r="AG1586" s="24"/>
      <c r="AH1586" s="24"/>
    </row>
    <row r="1587" spans="1:34" ht="30" x14ac:dyDescent="0.25">
      <c r="A1587" s="24" t="str">
        <f>HYPERLINK("https://www.cpso.on.ca/DoctorDetails/Michelle-Bonnie-Clarke/0048440-62418","Clarke, Michelle Bonnie")</f>
        <v>Clarke, Michelle Bonnie</v>
      </c>
      <c r="B1587" s="25" t="s">
        <v>15038</v>
      </c>
      <c r="C1587" s="24" t="s">
        <v>1954</v>
      </c>
      <c r="D1587" s="24" t="s">
        <v>15039</v>
      </c>
      <c r="E1587" s="24" t="s">
        <v>29</v>
      </c>
      <c r="F1587" s="24" t="s">
        <v>47</v>
      </c>
      <c r="G1587" s="24" t="s">
        <v>31</v>
      </c>
      <c r="H1587" s="24" t="s">
        <v>6276</v>
      </c>
      <c r="I1587" s="24" t="s">
        <v>15040</v>
      </c>
      <c r="J1587" s="24" t="s">
        <v>15041</v>
      </c>
      <c r="K1587" s="24" t="s">
        <v>15042</v>
      </c>
      <c r="L1587" s="24" t="s">
        <v>52</v>
      </c>
      <c r="M1587" s="15"/>
      <c r="N1587" s="15"/>
      <c r="O1587" s="15"/>
      <c r="P1587" s="15" t="s">
        <v>2042</v>
      </c>
      <c r="Q1587" s="15" t="s">
        <v>8938</v>
      </c>
      <c r="R1587" s="15" t="s">
        <v>15043</v>
      </c>
      <c r="S1587" s="24" t="s">
        <v>39</v>
      </c>
      <c r="T1587" s="24" t="s">
        <v>39</v>
      </c>
      <c r="U1587" s="24" t="s">
        <v>39</v>
      </c>
      <c r="V1587" s="24" t="s">
        <v>39</v>
      </c>
      <c r="W1587" s="24"/>
      <c r="X1587" s="24"/>
      <c r="Y1587" s="15"/>
      <c r="Z1587" s="15"/>
      <c r="AA1587" s="24"/>
      <c r="AB1587" s="24"/>
      <c r="AC1587" s="24"/>
      <c r="AD1587" s="24"/>
      <c r="AE1587" s="24"/>
      <c r="AF1587" s="24"/>
      <c r="AG1587" s="24"/>
      <c r="AH1587" s="24"/>
    </row>
    <row r="1588" spans="1:34" x14ac:dyDescent="0.25">
      <c r="A1588" s="24" t="str">
        <f>HYPERLINK("https://www.cpso.on.ca/DoctorDetails/Michelle-Catherine-Cicalo/0326693-117080","Cicalo, Michelle Catherine")</f>
        <v>Cicalo, Michelle Catherine</v>
      </c>
      <c r="B1588" s="25" t="s">
        <v>15044</v>
      </c>
      <c r="C1588" s="24" t="s">
        <v>15045</v>
      </c>
      <c r="D1588" s="24" t="s">
        <v>15046</v>
      </c>
      <c r="E1588" s="24" t="s">
        <v>29</v>
      </c>
      <c r="F1588" s="24" t="s">
        <v>47</v>
      </c>
      <c r="G1588" s="24" t="s">
        <v>31</v>
      </c>
      <c r="H1588" s="24" t="s">
        <v>1386</v>
      </c>
      <c r="I1588" s="24" t="s">
        <v>107</v>
      </c>
      <c r="J1588" s="24"/>
      <c r="K1588" s="24"/>
      <c r="L1588" s="24"/>
      <c r="M1588" s="15"/>
      <c r="N1588" s="15"/>
      <c r="O1588" s="15"/>
      <c r="P1588" s="15" t="s">
        <v>550</v>
      </c>
      <c r="Q1588" s="15"/>
      <c r="R1588" s="15" t="s">
        <v>15047</v>
      </c>
      <c r="S1588" s="24" t="s">
        <v>39</v>
      </c>
      <c r="T1588" s="24" t="s">
        <v>39</v>
      </c>
      <c r="U1588" s="24" t="s">
        <v>39</v>
      </c>
      <c r="V1588" s="24" t="s">
        <v>39</v>
      </c>
      <c r="W1588" s="24"/>
      <c r="X1588" s="24"/>
      <c r="Y1588" s="15"/>
      <c r="Z1588" s="15"/>
      <c r="AA1588" s="24"/>
      <c r="AB1588" s="24"/>
      <c r="AC1588" s="24"/>
      <c r="AD1588" s="24"/>
      <c r="AE1588" s="24"/>
      <c r="AF1588" s="24"/>
      <c r="AG1588" s="24"/>
      <c r="AH1588" s="24"/>
    </row>
    <row r="1589" spans="1:34" ht="105" x14ac:dyDescent="0.25">
      <c r="A1589" s="24" t="str">
        <f>HYPERLINK("https://www.cpso.on.ca/DoctorDetails/Michelle-Diedra-Mathias/0242867-86764","Mathias, Michelle Diedra")</f>
        <v>Mathias, Michelle Diedra</v>
      </c>
      <c r="B1589" s="25" t="s">
        <v>15048</v>
      </c>
      <c r="C1589" s="24" t="s">
        <v>1115</v>
      </c>
      <c r="D1589" s="24" t="s">
        <v>1594</v>
      </c>
      <c r="E1589" s="24" t="s">
        <v>29</v>
      </c>
      <c r="F1589" s="24" t="s">
        <v>47</v>
      </c>
      <c r="G1589" s="24" t="s">
        <v>813</v>
      </c>
      <c r="H1589" s="24" t="s">
        <v>4717</v>
      </c>
      <c r="I1589" s="24" t="s">
        <v>15049</v>
      </c>
      <c r="J1589" s="24" t="s">
        <v>992</v>
      </c>
      <c r="K1589" s="24"/>
      <c r="L1589" s="24" t="s">
        <v>84</v>
      </c>
      <c r="M1589" s="15"/>
      <c r="N1589" s="15"/>
      <c r="O1589" s="15" t="s">
        <v>498</v>
      </c>
      <c r="P1589" s="15" t="s">
        <v>1074</v>
      </c>
      <c r="Q1589" s="15" t="s">
        <v>15050</v>
      </c>
      <c r="R1589" s="15" t="s">
        <v>1602</v>
      </c>
      <c r="S1589" s="24" t="s">
        <v>39</v>
      </c>
      <c r="T1589" s="24" t="s">
        <v>39</v>
      </c>
      <c r="U1589" s="24" t="s">
        <v>39</v>
      </c>
      <c r="V1589" s="24" t="s">
        <v>39</v>
      </c>
      <c r="W1589" s="24" t="s">
        <v>15051</v>
      </c>
      <c r="X1589" s="24" t="s">
        <v>15052</v>
      </c>
      <c r="Y1589" s="15" t="s">
        <v>15053</v>
      </c>
      <c r="Z1589" s="15" t="s">
        <v>15054</v>
      </c>
      <c r="AA1589" s="24"/>
      <c r="AB1589" s="24"/>
      <c r="AC1589" s="24"/>
      <c r="AD1589" s="24"/>
      <c r="AE1589" s="24"/>
      <c r="AF1589" s="24"/>
      <c r="AG1589" s="24"/>
      <c r="AH1589" s="24"/>
    </row>
    <row r="1590" spans="1:34" ht="30" x14ac:dyDescent="0.25">
      <c r="A1590" s="24" t="str">
        <f>HYPERLINK("https://www.cpso.on.ca/DoctorDetails/Michelle-Marie-Pearce/0049854-63832","Pearce, Michelle Marie")</f>
        <v>Pearce, Michelle Marie</v>
      </c>
      <c r="B1590" s="25" t="s">
        <v>15055</v>
      </c>
      <c r="C1590" s="24" t="s">
        <v>10222</v>
      </c>
      <c r="D1590" s="24" t="s">
        <v>15056</v>
      </c>
      <c r="E1590" s="24" t="s">
        <v>29</v>
      </c>
      <c r="F1590" s="24" t="s">
        <v>47</v>
      </c>
      <c r="G1590" s="24" t="s">
        <v>31</v>
      </c>
      <c r="H1590" s="24" t="s">
        <v>2038</v>
      </c>
      <c r="I1590" s="24" t="s">
        <v>15057</v>
      </c>
      <c r="J1590" s="24" t="s">
        <v>6278</v>
      </c>
      <c r="K1590" s="24" t="s">
        <v>6279</v>
      </c>
      <c r="L1590" s="24" t="s">
        <v>52</v>
      </c>
      <c r="M1590" s="15"/>
      <c r="N1590" s="15"/>
      <c r="O1590" s="15"/>
      <c r="P1590" s="15" t="s">
        <v>15058</v>
      </c>
      <c r="Q1590" s="15" t="s">
        <v>15059</v>
      </c>
      <c r="R1590" s="15" t="s">
        <v>15060</v>
      </c>
      <c r="S1590" s="24" t="s">
        <v>39</v>
      </c>
      <c r="T1590" s="24" t="s">
        <v>39</v>
      </c>
      <c r="U1590" s="24" t="s">
        <v>39</v>
      </c>
      <c r="V1590" s="24" t="s">
        <v>39</v>
      </c>
      <c r="W1590" s="24"/>
      <c r="X1590" s="24"/>
      <c r="Y1590" s="15"/>
      <c r="Z1590" s="15"/>
      <c r="AA1590" s="24"/>
      <c r="AB1590" s="24"/>
      <c r="AC1590" s="24"/>
      <c r="AD1590" s="24"/>
      <c r="AE1590" s="24"/>
      <c r="AF1590" s="24"/>
      <c r="AG1590" s="24"/>
      <c r="AH1590" s="24"/>
    </row>
    <row r="1591" spans="1:34" ht="105" x14ac:dyDescent="0.25">
      <c r="A1591" s="24" t="str">
        <f>HYPERLINK("https://www.cpso.on.ca/DoctorDetails/Michelle-Theresa-Marshall/0052805-66769","Marshall, Michelle Theresa")</f>
        <v>Marshall, Michelle Theresa</v>
      </c>
      <c r="B1591" s="25" t="s">
        <v>15061</v>
      </c>
      <c r="C1591" s="24" t="s">
        <v>15062</v>
      </c>
      <c r="D1591" s="24" t="s">
        <v>15063</v>
      </c>
      <c r="E1591" s="24" t="s">
        <v>29</v>
      </c>
      <c r="F1591" s="24" t="s">
        <v>47</v>
      </c>
      <c r="G1591" s="24" t="s">
        <v>31</v>
      </c>
      <c r="H1591" s="24" t="s">
        <v>4768</v>
      </c>
      <c r="I1591" s="24" t="s">
        <v>8965</v>
      </c>
      <c r="J1591" s="24" t="s">
        <v>15064</v>
      </c>
      <c r="K1591" s="24" t="s">
        <v>1598</v>
      </c>
      <c r="L1591" s="24" t="s">
        <v>52</v>
      </c>
      <c r="M1591" s="15"/>
      <c r="N1591" s="15"/>
      <c r="O1591" s="15" t="s">
        <v>271</v>
      </c>
      <c r="P1591" s="15" t="s">
        <v>15065</v>
      </c>
      <c r="Q1591" s="15" t="s">
        <v>15066</v>
      </c>
      <c r="R1591" s="15" t="s">
        <v>15067</v>
      </c>
      <c r="S1591" s="24" t="s">
        <v>39</v>
      </c>
      <c r="T1591" s="24" t="s">
        <v>39</v>
      </c>
      <c r="U1591" s="24" t="s">
        <v>39</v>
      </c>
      <c r="V1591" s="24" t="s">
        <v>39</v>
      </c>
      <c r="W1591" s="24" t="s">
        <v>15068</v>
      </c>
      <c r="X1591" s="24" t="s">
        <v>15069</v>
      </c>
      <c r="Y1591" s="15" t="s">
        <v>15070</v>
      </c>
      <c r="Z1591" s="15" t="s">
        <v>15071</v>
      </c>
      <c r="AA1591" s="24"/>
      <c r="AB1591" s="24"/>
      <c r="AC1591" s="24"/>
      <c r="AD1591" s="24"/>
      <c r="AE1591" s="24"/>
      <c r="AF1591" s="24"/>
      <c r="AG1591" s="24"/>
      <c r="AH1591" s="24"/>
    </row>
    <row r="1592" spans="1:34" ht="30" x14ac:dyDescent="0.25">
      <c r="A1592" s="24" t="str">
        <f>HYPERLINK("https://www.cpso.on.ca/DoctorDetails/Mikhail-Epelbaum/0028977-33800","Epelbaum, Mikhail")</f>
        <v>Epelbaum, Mikhail</v>
      </c>
      <c r="B1592" s="25" t="s">
        <v>15072</v>
      </c>
      <c r="C1592" s="24" t="s">
        <v>15073</v>
      </c>
      <c r="D1592" s="24" t="s">
        <v>15074</v>
      </c>
      <c r="E1592" s="24" t="s">
        <v>29</v>
      </c>
      <c r="F1592" s="24" t="s">
        <v>30</v>
      </c>
      <c r="G1592" s="24" t="s">
        <v>1647</v>
      </c>
      <c r="H1592" s="24" t="s">
        <v>15075</v>
      </c>
      <c r="I1592" s="24" t="s">
        <v>15076</v>
      </c>
      <c r="J1592" s="24" t="s">
        <v>15077</v>
      </c>
      <c r="K1592" s="24" t="s">
        <v>15078</v>
      </c>
      <c r="L1592" s="24" t="s">
        <v>184</v>
      </c>
      <c r="M1592" s="15"/>
      <c r="N1592" s="15"/>
      <c r="O1592" s="15"/>
      <c r="P1592" s="15" t="s">
        <v>785</v>
      </c>
      <c r="Q1592" s="15"/>
      <c r="R1592" s="15" t="s">
        <v>15079</v>
      </c>
      <c r="S1592" s="24" t="s">
        <v>39</v>
      </c>
      <c r="T1592" s="24" t="s">
        <v>39</v>
      </c>
      <c r="U1592" s="24" t="s">
        <v>39</v>
      </c>
      <c r="V1592" s="24" t="s">
        <v>39</v>
      </c>
      <c r="W1592" s="24" t="s">
        <v>15080</v>
      </c>
      <c r="X1592" s="24" t="s">
        <v>15081</v>
      </c>
      <c r="Y1592" s="15" t="s">
        <v>15082</v>
      </c>
      <c r="Z1592" s="15" t="s">
        <v>15083</v>
      </c>
      <c r="AA1592" s="24"/>
      <c r="AB1592" s="24"/>
      <c r="AC1592" s="24"/>
      <c r="AD1592" s="24"/>
      <c r="AE1592" s="24"/>
      <c r="AF1592" s="24"/>
      <c r="AG1592" s="24"/>
      <c r="AH1592" s="24"/>
    </row>
    <row r="1593" spans="1:34" ht="90" x14ac:dyDescent="0.25">
      <c r="A1593" s="24" t="str">
        <f>HYPERLINK("https://www.cpso.on.ca/DoctorDetails/Milena-Anna-Gosk/0289661-101795","Gosk, Milena Anna")</f>
        <v>Gosk, Milena Anna</v>
      </c>
      <c r="B1593" s="25" t="s">
        <v>15084</v>
      </c>
      <c r="C1593" s="24" t="s">
        <v>266</v>
      </c>
      <c r="D1593" s="24" t="s">
        <v>200</v>
      </c>
      <c r="E1593" s="24" t="s">
        <v>29</v>
      </c>
      <c r="F1593" s="24" t="s">
        <v>47</v>
      </c>
      <c r="G1593" s="24" t="s">
        <v>1657</v>
      </c>
      <c r="H1593" s="24" t="s">
        <v>15085</v>
      </c>
      <c r="I1593" s="24" t="s">
        <v>15086</v>
      </c>
      <c r="J1593" s="24"/>
      <c r="K1593" s="24"/>
      <c r="L1593" s="24" t="s">
        <v>52</v>
      </c>
      <c r="M1593" s="15"/>
      <c r="N1593" s="15"/>
      <c r="O1593" s="15"/>
      <c r="P1593" s="15" t="s">
        <v>205</v>
      </c>
      <c r="Q1593" s="15" t="s">
        <v>15087</v>
      </c>
      <c r="R1593" s="15" t="s">
        <v>15088</v>
      </c>
      <c r="S1593" s="24" t="s">
        <v>39</v>
      </c>
      <c r="T1593" s="24" t="s">
        <v>39</v>
      </c>
      <c r="U1593" s="24" t="s">
        <v>39</v>
      </c>
      <c r="V1593" s="24" t="s">
        <v>39</v>
      </c>
      <c r="W1593" s="24"/>
      <c r="X1593" s="24"/>
      <c r="Y1593" s="15"/>
      <c r="Z1593" s="15"/>
      <c r="AA1593" s="24"/>
      <c r="AB1593" s="24"/>
      <c r="AC1593" s="24"/>
      <c r="AD1593" s="24"/>
      <c r="AE1593" s="24"/>
      <c r="AF1593" s="24"/>
      <c r="AG1593" s="24"/>
      <c r="AH1593" s="24"/>
    </row>
    <row r="1594" spans="1:34" ht="105" x14ac:dyDescent="0.25">
      <c r="A1594" s="24" t="str">
        <f>HYPERLINK("https://www.cpso.on.ca/DoctorDetails/Milena-Rogan-Ducic/0272900-96196","Rogan Ducic, Milena")</f>
        <v>Rogan Ducic, Milena</v>
      </c>
      <c r="B1594" s="25" t="s">
        <v>15089</v>
      </c>
      <c r="C1594" s="24" t="s">
        <v>1266</v>
      </c>
      <c r="D1594" s="24" t="s">
        <v>4534</v>
      </c>
      <c r="E1594" s="24" t="s">
        <v>15090</v>
      </c>
      <c r="F1594" s="24" t="s">
        <v>47</v>
      </c>
      <c r="G1594" s="24" t="s">
        <v>5822</v>
      </c>
      <c r="H1594" s="24" t="s">
        <v>15091</v>
      </c>
      <c r="I1594" s="24" t="s">
        <v>15092</v>
      </c>
      <c r="J1594" s="24" t="s">
        <v>15093</v>
      </c>
      <c r="K1594" s="24"/>
      <c r="L1594" s="24" t="s">
        <v>84</v>
      </c>
      <c r="M1594" s="15"/>
      <c r="N1594" s="15"/>
      <c r="O1594" s="15" t="s">
        <v>12221</v>
      </c>
      <c r="P1594" s="15" t="s">
        <v>973</v>
      </c>
      <c r="Q1594" s="15" t="s">
        <v>15094</v>
      </c>
      <c r="R1594" s="15" t="s">
        <v>15095</v>
      </c>
      <c r="S1594" s="24" t="s">
        <v>39</v>
      </c>
      <c r="T1594" s="24" t="s">
        <v>39</v>
      </c>
      <c r="U1594" s="24" t="s">
        <v>39</v>
      </c>
      <c r="V1594" s="24" t="s">
        <v>39</v>
      </c>
      <c r="W1594" s="24"/>
      <c r="X1594" s="24"/>
      <c r="Y1594" s="15"/>
      <c r="Z1594" s="15"/>
      <c r="AA1594" s="24"/>
      <c r="AB1594" s="24"/>
      <c r="AC1594" s="24"/>
      <c r="AD1594" s="24"/>
      <c r="AE1594" s="24"/>
      <c r="AF1594" s="24"/>
      <c r="AG1594" s="24"/>
      <c r="AH1594" s="24"/>
    </row>
    <row r="1595" spans="1:34" ht="30" x14ac:dyDescent="0.25">
      <c r="A1595" s="24" t="str">
        <f>HYPERLINK("https://www.cpso.on.ca/DoctorDetails/Miles-Cohen/0039933-53909","Cohen, Miles")</f>
        <v>Cohen, Miles</v>
      </c>
      <c r="B1595" s="25" t="s">
        <v>15096</v>
      </c>
      <c r="C1595" s="24" t="s">
        <v>3450</v>
      </c>
      <c r="D1595" s="24" t="s">
        <v>8884</v>
      </c>
      <c r="E1595" s="24" t="s">
        <v>29</v>
      </c>
      <c r="F1595" s="24" t="s">
        <v>30</v>
      </c>
      <c r="G1595" s="24" t="s">
        <v>31</v>
      </c>
      <c r="H1595" s="24" t="s">
        <v>15097</v>
      </c>
      <c r="I1595" s="24" t="s">
        <v>15098</v>
      </c>
      <c r="J1595" s="24" t="s">
        <v>15099</v>
      </c>
      <c r="K1595" s="24"/>
      <c r="L1595" s="24" t="s">
        <v>52</v>
      </c>
      <c r="M1595" s="15"/>
      <c r="N1595" s="15"/>
      <c r="O1595" s="15"/>
      <c r="P1595" s="15" t="s">
        <v>868</v>
      </c>
      <c r="Q1595" s="15"/>
      <c r="R1595" s="15" t="s">
        <v>8891</v>
      </c>
      <c r="S1595" s="24" t="s">
        <v>39</v>
      </c>
      <c r="T1595" s="24" t="s">
        <v>39</v>
      </c>
      <c r="U1595" s="24" t="s">
        <v>39</v>
      </c>
      <c r="V1595" s="24" t="s">
        <v>39</v>
      </c>
      <c r="W1595" s="24"/>
      <c r="X1595" s="24"/>
      <c r="Y1595" s="15"/>
      <c r="Z1595" s="15"/>
      <c r="AA1595" s="24"/>
      <c r="AB1595" s="24"/>
      <c r="AC1595" s="24"/>
      <c r="AD1595" s="24"/>
      <c r="AE1595" s="24"/>
      <c r="AF1595" s="24"/>
      <c r="AG1595" s="24"/>
      <c r="AH1595" s="24"/>
    </row>
    <row r="1596" spans="1:34" ht="105" x14ac:dyDescent="0.25">
      <c r="A1596" s="24" t="str">
        <f>HYPERLINK("https://www.cpso.on.ca/DoctorDetails/Mili-Singh-Ryan/0223734-82635","Ryan, Mili Singh")</f>
        <v>Ryan, Mili Singh</v>
      </c>
      <c r="B1596" s="25" t="s">
        <v>15100</v>
      </c>
      <c r="C1596" s="24" t="s">
        <v>2342</v>
      </c>
      <c r="D1596" s="24" t="s">
        <v>15101</v>
      </c>
      <c r="E1596" s="24" t="s">
        <v>29</v>
      </c>
      <c r="F1596" s="24" t="s">
        <v>47</v>
      </c>
      <c r="G1596" s="24" t="s">
        <v>31</v>
      </c>
      <c r="H1596" s="24" t="s">
        <v>11326</v>
      </c>
      <c r="I1596" s="24" t="s">
        <v>15102</v>
      </c>
      <c r="J1596" s="24" t="s">
        <v>15103</v>
      </c>
      <c r="K1596" s="24"/>
      <c r="L1596" s="24" t="s">
        <v>135</v>
      </c>
      <c r="M1596" s="15"/>
      <c r="N1596" s="15"/>
      <c r="O1596" s="15"/>
      <c r="P1596" s="15" t="s">
        <v>15104</v>
      </c>
      <c r="Q1596" s="15" t="s">
        <v>15105</v>
      </c>
      <c r="R1596" s="15" t="s">
        <v>15106</v>
      </c>
      <c r="S1596" s="24" t="s">
        <v>39</v>
      </c>
      <c r="T1596" s="24" t="s">
        <v>39</v>
      </c>
      <c r="U1596" s="24" t="s">
        <v>39</v>
      </c>
      <c r="V1596" s="24" t="s">
        <v>39</v>
      </c>
      <c r="W1596" s="24" t="s">
        <v>15107</v>
      </c>
      <c r="X1596" s="24" t="s">
        <v>4325</v>
      </c>
      <c r="Y1596" s="15" t="s">
        <v>15108</v>
      </c>
      <c r="Z1596" s="15" t="s">
        <v>15109</v>
      </c>
      <c r="AA1596" s="24"/>
      <c r="AB1596" s="24"/>
      <c r="AC1596" s="24"/>
      <c r="AD1596" s="24"/>
      <c r="AE1596" s="24"/>
      <c r="AF1596" s="24"/>
      <c r="AG1596" s="24"/>
      <c r="AH1596" s="24"/>
    </row>
    <row r="1597" spans="1:34" ht="150" x14ac:dyDescent="0.25">
      <c r="A1597" s="24" t="str">
        <f>HYPERLINK("https://www.cpso.on.ca/DoctorDetails/Millie-Mary-Margaret-Paupst/0048719-62697","Paupst, Millie Mary Margaret")</f>
        <v>Paupst, Millie Mary Margaret</v>
      </c>
      <c r="B1597" s="25" t="s">
        <v>15110</v>
      </c>
      <c r="C1597" s="24" t="s">
        <v>14847</v>
      </c>
      <c r="D1597" s="24" t="s">
        <v>14848</v>
      </c>
      <c r="E1597" s="24" t="s">
        <v>29</v>
      </c>
      <c r="F1597" s="24" t="s">
        <v>47</v>
      </c>
      <c r="G1597" s="24" t="s">
        <v>31</v>
      </c>
      <c r="H1597" s="24" t="s">
        <v>1956</v>
      </c>
      <c r="I1597" s="24" t="s">
        <v>15111</v>
      </c>
      <c r="J1597" s="24" t="s">
        <v>15112</v>
      </c>
      <c r="K1597" s="24" t="s">
        <v>15113</v>
      </c>
      <c r="L1597" s="24" t="s">
        <v>52</v>
      </c>
      <c r="M1597" s="15"/>
      <c r="N1597" s="15"/>
      <c r="O1597" s="15" t="s">
        <v>232</v>
      </c>
      <c r="P1597" s="15" t="s">
        <v>5168</v>
      </c>
      <c r="Q1597" s="15" t="s">
        <v>15114</v>
      </c>
      <c r="R1597" s="15" t="s">
        <v>15115</v>
      </c>
      <c r="S1597" s="24" t="s">
        <v>39</v>
      </c>
      <c r="T1597" s="24" t="s">
        <v>39</v>
      </c>
      <c r="U1597" s="24" t="s">
        <v>39</v>
      </c>
      <c r="V1597" s="24" t="s">
        <v>39</v>
      </c>
      <c r="W1597" s="24"/>
      <c r="X1597" s="24"/>
      <c r="Y1597" s="15"/>
      <c r="Z1597" s="15"/>
      <c r="AA1597" s="24"/>
      <c r="AB1597" s="24"/>
      <c r="AC1597" s="24"/>
      <c r="AD1597" s="24"/>
      <c r="AE1597" s="24"/>
      <c r="AF1597" s="24"/>
      <c r="AG1597" s="24"/>
      <c r="AH1597" s="24"/>
    </row>
    <row r="1598" spans="1:34" ht="75" x14ac:dyDescent="0.25">
      <c r="A1598" s="24" t="str">
        <f>HYPERLINK("https://www.cpso.on.ca/DoctorDetails/Milorad-Vukovic/0221450-82353","Vukovic, Milorad")</f>
        <v>Vukovic, Milorad</v>
      </c>
      <c r="B1598" s="25" t="s">
        <v>15116</v>
      </c>
      <c r="C1598" s="24" t="s">
        <v>15117</v>
      </c>
      <c r="D1598" s="24" t="s">
        <v>15118</v>
      </c>
      <c r="E1598" s="24" t="s">
        <v>29</v>
      </c>
      <c r="F1598" s="24" t="s">
        <v>30</v>
      </c>
      <c r="G1598" s="24" t="s">
        <v>15119</v>
      </c>
      <c r="H1598" s="24" t="s">
        <v>15120</v>
      </c>
      <c r="I1598" s="24" t="s">
        <v>15121</v>
      </c>
      <c r="J1598" s="24" t="s">
        <v>2506</v>
      </c>
      <c r="K1598" s="24"/>
      <c r="L1598" s="24" t="s">
        <v>52</v>
      </c>
      <c r="M1598" s="15"/>
      <c r="N1598" s="15"/>
      <c r="O1598" s="15" t="s">
        <v>958</v>
      </c>
      <c r="P1598" s="15" t="s">
        <v>1239</v>
      </c>
      <c r="Q1598" s="15"/>
      <c r="R1598" s="15" t="s">
        <v>15122</v>
      </c>
      <c r="S1598" s="24" t="s">
        <v>39</v>
      </c>
      <c r="T1598" s="24" t="s">
        <v>39</v>
      </c>
      <c r="U1598" s="24" t="s">
        <v>39</v>
      </c>
      <c r="V1598" s="24" t="s">
        <v>39</v>
      </c>
      <c r="W1598" s="24" t="s">
        <v>15123</v>
      </c>
      <c r="X1598" s="24" t="s">
        <v>7682</v>
      </c>
      <c r="Y1598" s="15" t="s">
        <v>15124</v>
      </c>
      <c r="Z1598" s="15" t="s">
        <v>15125</v>
      </c>
      <c r="AA1598" s="24"/>
      <c r="AB1598" s="24"/>
      <c r="AC1598" s="24"/>
      <c r="AD1598" s="24"/>
      <c r="AE1598" s="24"/>
      <c r="AF1598" s="24"/>
      <c r="AG1598" s="24"/>
      <c r="AH1598" s="24"/>
    </row>
    <row r="1599" spans="1:34" ht="75" x14ac:dyDescent="0.25">
      <c r="A1599" s="24" t="str">
        <f>HYPERLINK("https://www.cpso.on.ca/DoctorDetails/Mimi-Mah/0132214-70308","Mah, Mimi")</f>
        <v>Mah, Mimi</v>
      </c>
      <c r="B1599" s="25" t="s">
        <v>15126</v>
      </c>
      <c r="C1599" s="24" t="s">
        <v>15127</v>
      </c>
      <c r="D1599" s="24" t="s">
        <v>15128</v>
      </c>
      <c r="E1599" s="24" t="s">
        <v>29</v>
      </c>
      <c r="F1599" s="24" t="s">
        <v>47</v>
      </c>
      <c r="G1599" s="24" t="s">
        <v>31</v>
      </c>
      <c r="H1599" s="24" t="s">
        <v>14006</v>
      </c>
      <c r="I1599" s="24" t="s">
        <v>15129</v>
      </c>
      <c r="J1599" s="24" t="s">
        <v>2928</v>
      </c>
      <c r="K1599" s="24"/>
      <c r="L1599" s="24" t="s">
        <v>84</v>
      </c>
      <c r="M1599" s="15"/>
      <c r="N1599" s="15"/>
      <c r="O1599" s="15" t="s">
        <v>498</v>
      </c>
      <c r="P1599" s="15" t="s">
        <v>2678</v>
      </c>
      <c r="Q1599" s="15" t="s">
        <v>1112</v>
      </c>
      <c r="R1599" s="15" t="s">
        <v>15130</v>
      </c>
      <c r="S1599" s="24" t="s">
        <v>39</v>
      </c>
      <c r="T1599" s="24" t="s">
        <v>39</v>
      </c>
      <c r="U1599" s="24" t="s">
        <v>39</v>
      </c>
      <c r="V1599" s="24" t="s">
        <v>39</v>
      </c>
      <c r="W1599" s="24"/>
      <c r="X1599" s="24"/>
      <c r="Y1599" s="15"/>
      <c r="Z1599" s="15"/>
      <c r="AA1599" s="24"/>
      <c r="AB1599" s="24"/>
      <c r="AC1599" s="24"/>
      <c r="AD1599" s="24"/>
      <c r="AE1599" s="24"/>
      <c r="AF1599" s="24"/>
      <c r="AG1599" s="24"/>
      <c r="AH1599" s="24"/>
    </row>
    <row r="1600" spans="1:34" ht="90" x14ac:dyDescent="0.25">
      <c r="A1600" s="24" t="str">
        <f>HYPERLINK("https://www.cpso.on.ca/DoctorDetails/Minella-Francisca-DeSouza/0158890-73470","DeSouza, Minella Francisca")</f>
        <v>DeSouza, Minella Francisca</v>
      </c>
      <c r="B1600" s="25" t="s">
        <v>15131</v>
      </c>
      <c r="C1600" s="24" t="s">
        <v>15132</v>
      </c>
      <c r="D1600" s="24" t="s">
        <v>15133</v>
      </c>
      <c r="E1600" s="24" t="s">
        <v>29</v>
      </c>
      <c r="F1600" s="24" t="s">
        <v>47</v>
      </c>
      <c r="G1600" s="24" t="s">
        <v>31</v>
      </c>
      <c r="H1600" s="24" t="s">
        <v>15134</v>
      </c>
      <c r="I1600" s="24" t="s">
        <v>15135</v>
      </c>
      <c r="J1600" s="24" t="s">
        <v>15136</v>
      </c>
      <c r="K1600" s="24"/>
      <c r="L1600" s="24" t="s">
        <v>52</v>
      </c>
      <c r="M1600" s="15"/>
      <c r="N1600" s="15"/>
      <c r="O1600" s="15"/>
      <c r="P1600" s="15" t="s">
        <v>5168</v>
      </c>
      <c r="Q1600" s="15" t="s">
        <v>15137</v>
      </c>
      <c r="R1600" s="15" t="s">
        <v>15138</v>
      </c>
      <c r="S1600" s="24" t="s">
        <v>39</v>
      </c>
      <c r="T1600" s="24" t="s">
        <v>39</v>
      </c>
      <c r="U1600" s="24" t="s">
        <v>39</v>
      </c>
      <c r="V1600" s="24" t="s">
        <v>39</v>
      </c>
      <c r="W1600" s="24" t="s">
        <v>15139</v>
      </c>
      <c r="X1600" s="24" t="s">
        <v>11871</v>
      </c>
      <c r="Y1600" s="15" t="s">
        <v>15140</v>
      </c>
      <c r="Z1600" s="15" t="s">
        <v>15141</v>
      </c>
      <c r="AA1600" s="24"/>
      <c r="AB1600" s="24"/>
      <c r="AC1600" s="24"/>
      <c r="AD1600" s="24"/>
      <c r="AE1600" s="24"/>
      <c r="AF1600" s="24"/>
      <c r="AG1600" s="24"/>
      <c r="AH1600" s="24"/>
    </row>
    <row r="1601" spans="1:34" ht="30" x14ac:dyDescent="0.25">
      <c r="A1601" s="24" t="str">
        <f>HYPERLINK("https://www.cpso.on.ca/DoctorDetails/Minoo-Mahmoudi/0305687-107913","Mahmoudi, Minoo")</f>
        <v>Mahmoudi, Minoo</v>
      </c>
      <c r="B1601" s="25" t="s">
        <v>15142</v>
      </c>
      <c r="C1601" s="24" t="s">
        <v>15143</v>
      </c>
      <c r="D1601" s="24" t="s">
        <v>15144</v>
      </c>
      <c r="E1601" s="24" t="s">
        <v>29</v>
      </c>
      <c r="F1601" s="24" t="s">
        <v>47</v>
      </c>
      <c r="G1601" s="24" t="s">
        <v>522</v>
      </c>
      <c r="H1601" s="24" t="s">
        <v>15145</v>
      </c>
      <c r="I1601" s="24" t="s">
        <v>15146</v>
      </c>
      <c r="J1601" s="24" t="s">
        <v>15147</v>
      </c>
      <c r="K1601" s="24" t="s">
        <v>6244</v>
      </c>
      <c r="L1601" s="24" t="s">
        <v>52</v>
      </c>
      <c r="M1601" s="15"/>
      <c r="N1601" s="15"/>
      <c r="O1601" s="15"/>
      <c r="P1601" s="15" t="s">
        <v>15148</v>
      </c>
      <c r="Q1601" s="15"/>
      <c r="R1601" s="15" t="s">
        <v>15149</v>
      </c>
      <c r="S1601" s="24" t="s">
        <v>39</v>
      </c>
      <c r="T1601" s="24" t="s">
        <v>39</v>
      </c>
      <c r="U1601" s="24" t="s">
        <v>39</v>
      </c>
      <c r="V1601" s="24" t="s">
        <v>39</v>
      </c>
      <c r="W1601" s="24" t="s">
        <v>15150</v>
      </c>
      <c r="X1601" s="24" t="s">
        <v>15151</v>
      </c>
      <c r="Y1601" s="15" t="s">
        <v>15152</v>
      </c>
      <c r="Z1601" s="15" t="s">
        <v>15153</v>
      </c>
      <c r="AA1601" s="24"/>
      <c r="AB1601" s="24"/>
      <c r="AC1601" s="24"/>
      <c r="AD1601" s="24"/>
      <c r="AE1601" s="24"/>
      <c r="AF1601" s="24"/>
      <c r="AG1601" s="24"/>
      <c r="AH1601" s="24"/>
    </row>
    <row r="1602" spans="1:34" ht="90" x14ac:dyDescent="0.25">
      <c r="A1602" s="24" t="str">
        <f>HYPERLINK("https://www.cpso.on.ca/DoctorDetails/Miqdad-Hussain-Bohra/0269954-95280","Bohra, Miqdad Hussain")</f>
        <v>Bohra, Miqdad Hussain</v>
      </c>
      <c r="B1602" s="25" t="s">
        <v>15154</v>
      </c>
      <c r="C1602" s="24" t="s">
        <v>15155</v>
      </c>
      <c r="D1602" s="24" t="s">
        <v>15156</v>
      </c>
      <c r="E1602" s="24" t="s">
        <v>29</v>
      </c>
      <c r="F1602" s="24" t="s">
        <v>30</v>
      </c>
      <c r="G1602" s="24" t="s">
        <v>79</v>
      </c>
      <c r="H1602" s="24" t="s">
        <v>15157</v>
      </c>
      <c r="I1602" s="24" t="s">
        <v>15158</v>
      </c>
      <c r="J1602" s="24" t="s">
        <v>15159</v>
      </c>
      <c r="K1602" s="24"/>
      <c r="L1602" s="24" t="s">
        <v>36</v>
      </c>
      <c r="M1602" s="15" t="s">
        <v>15160</v>
      </c>
      <c r="N1602" s="15" t="s">
        <v>15161</v>
      </c>
      <c r="O1602" s="15" t="s">
        <v>15162</v>
      </c>
      <c r="P1602" s="15" t="s">
        <v>682</v>
      </c>
      <c r="Q1602" s="15" t="s">
        <v>15163</v>
      </c>
      <c r="R1602" s="15" t="s">
        <v>15164</v>
      </c>
      <c r="S1602" s="24" t="s">
        <v>39</v>
      </c>
      <c r="T1602" s="24" t="s">
        <v>39</v>
      </c>
      <c r="U1602" s="24" t="s">
        <v>39</v>
      </c>
      <c r="V1602" s="24" t="s">
        <v>39</v>
      </c>
      <c r="W1602" s="24" t="s">
        <v>4252</v>
      </c>
      <c r="X1602" s="24" t="s">
        <v>4253</v>
      </c>
      <c r="Y1602" s="15" t="s">
        <v>4254</v>
      </c>
      <c r="Z1602" s="15" t="s">
        <v>4255</v>
      </c>
      <c r="AA1602" s="24"/>
      <c r="AB1602" s="24"/>
      <c r="AC1602" s="24"/>
      <c r="AD1602" s="24"/>
      <c r="AE1602" s="24"/>
      <c r="AF1602" s="24"/>
      <c r="AG1602" s="24"/>
      <c r="AH1602" s="24"/>
    </row>
    <row r="1603" spans="1:34" ht="45" x14ac:dyDescent="0.25">
      <c r="A1603" s="24" t="str">
        <f>HYPERLINK("https://www.cpso.on.ca/DoctorDetails/Mir-Nadeem-Mazhar/0253196-90168","Mazhar, Mir Nadeem")</f>
        <v>Mazhar, Mir Nadeem</v>
      </c>
      <c r="B1603" s="25" t="s">
        <v>15165</v>
      </c>
      <c r="C1603" s="24" t="s">
        <v>15166</v>
      </c>
      <c r="D1603" s="24" t="s">
        <v>15167</v>
      </c>
      <c r="E1603" s="24" t="s">
        <v>29</v>
      </c>
      <c r="F1603" s="24" t="s">
        <v>30</v>
      </c>
      <c r="G1603" s="24" t="s">
        <v>1445</v>
      </c>
      <c r="H1603" s="24" t="s">
        <v>15168</v>
      </c>
      <c r="I1603" s="24" t="s">
        <v>15169</v>
      </c>
      <c r="J1603" s="24" t="s">
        <v>15170</v>
      </c>
      <c r="K1603" s="24" t="s">
        <v>15171</v>
      </c>
      <c r="L1603" s="24" t="s">
        <v>340</v>
      </c>
      <c r="M1603" s="15"/>
      <c r="N1603" s="15" t="s">
        <v>15172</v>
      </c>
      <c r="O1603" s="15" t="s">
        <v>15173</v>
      </c>
      <c r="P1603" s="15" t="s">
        <v>2827</v>
      </c>
      <c r="Q1603" s="15"/>
      <c r="R1603" s="15" t="s">
        <v>15174</v>
      </c>
      <c r="S1603" s="24" t="s">
        <v>39</v>
      </c>
      <c r="T1603" s="24" t="s">
        <v>39</v>
      </c>
      <c r="U1603" s="24" t="s">
        <v>39</v>
      </c>
      <c r="V1603" s="24" t="s">
        <v>39</v>
      </c>
      <c r="W1603" s="24" t="s">
        <v>15175</v>
      </c>
      <c r="X1603" s="24" t="s">
        <v>15176</v>
      </c>
      <c r="Y1603" s="15" t="s">
        <v>15177</v>
      </c>
      <c r="Z1603" s="15" t="s">
        <v>15178</v>
      </c>
      <c r="AA1603" s="24" t="s">
        <v>15179</v>
      </c>
      <c r="AB1603" s="24" t="s">
        <v>15180</v>
      </c>
      <c r="AC1603" s="24" t="s">
        <v>15177</v>
      </c>
      <c r="AD1603" s="15" t="s">
        <v>15178</v>
      </c>
      <c r="AE1603" s="24"/>
      <c r="AF1603" s="24"/>
      <c r="AG1603" s="24"/>
      <c r="AH1603" s="24"/>
    </row>
    <row r="1604" spans="1:34" ht="90" x14ac:dyDescent="0.25">
      <c r="A1604" s="24" t="str">
        <f>HYPERLINK("https://www.cpso.on.ca/DoctorDetails/Mirela-Silvia-Maria-Bucur/0198749-78734","Bucur, Mirela Silvia Maria")</f>
        <v>Bucur, Mirela Silvia Maria</v>
      </c>
      <c r="B1604" s="25" t="s">
        <v>15181</v>
      </c>
      <c r="C1604" s="24" t="s">
        <v>15182</v>
      </c>
      <c r="D1604" s="24" t="s">
        <v>15183</v>
      </c>
      <c r="E1604" s="24" t="s">
        <v>29</v>
      </c>
      <c r="F1604" s="24" t="s">
        <v>47</v>
      </c>
      <c r="G1604" s="24" t="s">
        <v>15184</v>
      </c>
      <c r="H1604" s="24" t="s">
        <v>15185</v>
      </c>
      <c r="I1604" s="24" t="s">
        <v>15186</v>
      </c>
      <c r="J1604" s="24" t="s">
        <v>15187</v>
      </c>
      <c r="K1604" s="24" t="s">
        <v>15188</v>
      </c>
      <c r="L1604" s="24" t="s">
        <v>152</v>
      </c>
      <c r="M1604" s="15"/>
      <c r="N1604" s="15"/>
      <c r="O1604" s="15" t="s">
        <v>11795</v>
      </c>
      <c r="P1604" s="15" t="s">
        <v>7574</v>
      </c>
      <c r="Q1604" s="15" t="s">
        <v>15189</v>
      </c>
      <c r="R1604" s="15" t="s">
        <v>15190</v>
      </c>
      <c r="S1604" s="24" t="s">
        <v>39</v>
      </c>
      <c r="T1604" s="24" t="s">
        <v>39</v>
      </c>
      <c r="U1604" s="24" t="s">
        <v>39</v>
      </c>
      <c r="V1604" s="24" t="s">
        <v>39</v>
      </c>
      <c r="W1604" s="24" t="s">
        <v>15191</v>
      </c>
      <c r="X1604" s="24" t="s">
        <v>15192</v>
      </c>
      <c r="Y1604" s="15" t="s">
        <v>15193</v>
      </c>
      <c r="Z1604" s="15" t="s">
        <v>15194</v>
      </c>
      <c r="AA1604" s="24"/>
      <c r="AB1604" s="24"/>
      <c r="AC1604" s="24"/>
      <c r="AD1604" s="24"/>
      <c r="AE1604" s="24"/>
      <c r="AF1604" s="24"/>
      <c r="AG1604" s="24"/>
      <c r="AH1604" s="24"/>
    </row>
    <row r="1605" spans="1:34" ht="90" x14ac:dyDescent="0.25">
      <c r="A1605" s="24" t="str">
        <f>HYPERLINK("https://www.cpso.on.ca/DoctorDetails/Miriam-Rachel-Spinner/0029958-41935","Spinner, Miriam Rachel")</f>
        <v>Spinner, Miriam Rachel</v>
      </c>
      <c r="B1605" s="25" t="s">
        <v>15195</v>
      </c>
      <c r="C1605" s="24" t="s">
        <v>15196</v>
      </c>
      <c r="D1605" s="24" t="s">
        <v>15197</v>
      </c>
      <c r="E1605" s="24" t="s">
        <v>29</v>
      </c>
      <c r="F1605" s="24" t="s">
        <v>47</v>
      </c>
      <c r="G1605" s="24" t="s">
        <v>31</v>
      </c>
      <c r="H1605" s="24" t="s">
        <v>15198</v>
      </c>
      <c r="I1605" s="24" t="s">
        <v>15199</v>
      </c>
      <c r="J1605" s="24" t="s">
        <v>15200</v>
      </c>
      <c r="K1605" s="24"/>
      <c r="L1605" s="24" t="s">
        <v>184</v>
      </c>
      <c r="M1605" s="15"/>
      <c r="N1605" s="15" t="s">
        <v>15201</v>
      </c>
      <c r="O1605" s="15" t="s">
        <v>879</v>
      </c>
      <c r="P1605" s="15" t="s">
        <v>745</v>
      </c>
      <c r="Q1605" s="15"/>
      <c r="R1605" s="15" t="s">
        <v>15202</v>
      </c>
      <c r="S1605" s="24" t="s">
        <v>39</v>
      </c>
      <c r="T1605" s="24" t="s">
        <v>39</v>
      </c>
      <c r="U1605" s="24" t="s">
        <v>39</v>
      </c>
      <c r="V1605" s="24" t="s">
        <v>39</v>
      </c>
      <c r="W1605" s="24"/>
      <c r="X1605" s="24"/>
      <c r="Y1605" s="15"/>
      <c r="Z1605" s="15"/>
      <c r="AA1605" s="24"/>
      <c r="AB1605" s="24"/>
      <c r="AC1605" s="24"/>
      <c r="AD1605" s="24"/>
      <c r="AE1605" s="24"/>
      <c r="AF1605" s="24"/>
      <c r="AG1605" s="24"/>
      <c r="AH1605" s="24"/>
    </row>
    <row r="1606" spans="1:34" ht="45" x14ac:dyDescent="0.25">
      <c r="A1606" s="24" t="str">
        <f>HYPERLINK("https://www.cpso.on.ca/DoctorDetails/Miriam-Rita-Byrne/0036351-50327","Byrne, Miriam Rita")</f>
        <v>Byrne, Miriam Rita</v>
      </c>
      <c r="B1606" s="25" t="s">
        <v>15203</v>
      </c>
      <c r="C1606" s="24" t="s">
        <v>15204</v>
      </c>
      <c r="D1606" s="24" t="s">
        <v>15205</v>
      </c>
      <c r="E1606" s="24" t="s">
        <v>29</v>
      </c>
      <c r="F1606" s="24" t="s">
        <v>47</v>
      </c>
      <c r="G1606" s="24" t="s">
        <v>31</v>
      </c>
      <c r="H1606" s="24" t="s">
        <v>1091</v>
      </c>
      <c r="I1606" s="24" t="s">
        <v>15206</v>
      </c>
      <c r="J1606" s="24" t="s">
        <v>15207</v>
      </c>
      <c r="K1606" s="24"/>
      <c r="L1606" s="24" t="s">
        <v>52</v>
      </c>
      <c r="M1606" s="15" t="s">
        <v>15208</v>
      </c>
      <c r="N1606" s="15"/>
      <c r="O1606" s="15"/>
      <c r="P1606" s="15" t="s">
        <v>8291</v>
      </c>
      <c r="Q1606" s="15"/>
      <c r="R1606" s="15" t="s">
        <v>15209</v>
      </c>
      <c r="S1606" s="24" t="s">
        <v>39</v>
      </c>
      <c r="T1606" s="24" t="s">
        <v>39</v>
      </c>
      <c r="U1606" s="24" t="s">
        <v>39</v>
      </c>
      <c r="V1606" s="24" t="s">
        <v>39</v>
      </c>
      <c r="W1606" s="24"/>
      <c r="X1606" s="24"/>
      <c r="Y1606" s="15"/>
      <c r="Z1606" s="15"/>
      <c r="AA1606" s="24"/>
      <c r="AB1606" s="24"/>
      <c r="AC1606" s="24"/>
      <c r="AD1606" s="24"/>
      <c r="AE1606" s="24"/>
      <c r="AF1606" s="24"/>
      <c r="AG1606" s="24"/>
      <c r="AH1606" s="24"/>
    </row>
    <row r="1607" spans="1:34" ht="45" x14ac:dyDescent="0.25">
      <c r="A1607" s="24" t="str">
        <f>HYPERLINK("https://www.cpso.on.ca/DoctorDetails/Miriam-Shuchman/0052021-66000","Shuchman, Miriam")</f>
        <v>Shuchman, Miriam</v>
      </c>
      <c r="B1607" s="25" t="s">
        <v>15210</v>
      </c>
      <c r="C1607" s="24" t="s">
        <v>15211</v>
      </c>
      <c r="D1607" s="24" t="s">
        <v>15212</v>
      </c>
      <c r="E1607" s="24" t="s">
        <v>29</v>
      </c>
      <c r="F1607" s="24" t="s">
        <v>47</v>
      </c>
      <c r="G1607" s="24" t="s">
        <v>31</v>
      </c>
      <c r="H1607" s="24" t="s">
        <v>15213</v>
      </c>
      <c r="I1607" s="24" t="s">
        <v>15214</v>
      </c>
      <c r="J1607" s="24" t="s">
        <v>8712</v>
      </c>
      <c r="K1607" s="24" t="s">
        <v>15215</v>
      </c>
      <c r="L1607" s="24" t="s">
        <v>52</v>
      </c>
      <c r="M1607" s="15"/>
      <c r="N1607" s="15"/>
      <c r="O1607" s="15"/>
      <c r="P1607" s="15" t="s">
        <v>15216</v>
      </c>
      <c r="Q1607" s="15" t="s">
        <v>15217</v>
      </c>
      <c r="R1607" s="15" t="s">
        <v>15218</v>
      </c>
      <c r="S1607" s="24" t="s">
        <v>71</v>
      </c>
      <c r="T1607" s="24" t="s">
        <v>39</v>
      </c>
      <c r="U1607" s="24" t="s">
        <v>39</v>
      </c>
      <c r="V1607" s="24" t="s">
        <v>39</v>
      </c>
      <c r="W1607" s="24"/>
      <c r="X1607" s="24"/>
      <c r="Y1607" s="15"/>
      <c r="Z1607" s="15"/>
      <c r="AA1607" s="24"/>
      <c r="AB1607" s="24"/>
      <c r="AC1607" s="24"/>
      <c r="AD1607" s="24"/>
      <c r="AE1607" s="24"/>
      <c r="AF1607" s="24"/>
      <c r="AG1607" s="24"/>
      <c r="AH1607" s="24"/>
    </row>
    <row r="1608" spans="1:34" ht="30" x14ac:dyDescent="0.25">
      <c r="A1608" s="24" t="str">
        <f>HYPERLINK("https://www.cpso.on.ca/DoctorDetails/Mirjana-Besir/0044144-58122","Besir, Mirjana")</f>
        <v>Besir, Mirjana</v>
      </c>
      <c r="B1608" s="25" t="s">
        <v>15219</v>
      </c>
      <c r="C1608" s="24" t="s">
        <v>3161</v>
      </c>
      <c r="D1608" s="24" t="s">
        <v>1028</v>
      </c>
      <c r="E1608" s="24" t="s">
        <v>29</v>
      </c>
      <c r="F1608" s="24" t="s">
        <v>47</v>
      </c>
      <c r="G1608" s="24" t="s">
        <v>5822</v>
      </c>
      <c r="H1608" s="24" t="s">
        <v>15220</v>
      </c>
      <c r="I1608" s="24" t="s">
        <v>15221</v>
      </c>
      <c r="J1608" s="24" t="s">
        <v>15222</v>
      </c>
      <c r="K1608" s="24" t="s">
        <v>15223</v>
      </c>
      <c r="L1608" s="24" t="s">
        <v>52</v>
      </c>
      <c r="M1608" s="15" t="s">
        <v>15224</v>
      </c>
      <c r="N1608" s="15"/>
      <c r="O1608" s="15"/>
      <c r="P1608" s="15" t="s">
        <v>3433</v>
      </c>
      <c r="Q1608" s="15" t="s">
        <v>6019</v>
      </c>
      <c r="R1608" s="15" t="s">
        <v>15225</v>
      </c>
      <c r="S1608" s="24" t="s">
        <v>39</v>
      </c>
      <c r="T1608" s="24" t="s">
        <v>39</v>
      </c>
      <c r="U1608" s="24" t="s">
        <v>39</v>
      </c>
      <c r="V1608" s="24" t="s">
        <v>39</v>
      </c>
      <c r="W1608" s="24" t="s">
        <v>15226</v>
      </c>
      <c r="X1608" s="24" t="s">
        <v>3810</v>
      </c>
      <c r="Y1608" s="15" t="s">
        <v>15227</v>
      </c>
      <c r="Z1608" s="15" t="s">
        <v>15228</v>
      </c>
      <c r="AA1608" s="24"/>
      <c r="AB1608" s="24"/>
      <c r="AC1608" s="24"/>
      <c r="AD1608" s="24"/>
      <c r="AE1608" s="24"/>
      <c r="AF1608" s="24"/>
      <c r="AG1608" s="24"/>
      <c r="AH1608" s="24"/>
    </row>
    <row r="1609" spans="1:34" ht="60" x14ac:dyDescent="0.25">
      <c r="A1609" s="24" t="str">
        <f>HYPERLINK("https://www.cpso.on.ca/DoctorDetails/Miroslava-StinguBaxter/0284862-99623","Stingu-Baxter, Miroslava")</f>
        <v>Stingu-Baxter, Miroslava</v>
      </c>
      <c r="B1609" s="25" t="s">
        <v>15229</v>
      </c>
      <c r="C1609" s="24" t="s">
        <v>15230</v>
      </c>
      <c r="D1609" s="24" t="s">
        <v>15231</v>
      </c>
      <c r="E1609" s="24" t="s">
        <v>29</v>
      </c>
      <c r="F1609" s="24" t="s">
        <v>47</v>
      </c>
      <c r="G1609" s="24" t="s">
        <v>15232</v>
      </c>
      <c r="H1609" s="24" t="s">
        <v>15233</v>
      </c>
      <c r="I1609" s="24" t="s">
        <v>15234</v>
      </c>
      <c r="J1609" s="24" t="s">
        <v>15235</v>
      </c>
      <c r="K1609" s="24"/>
      <c r="L1609" s="24"/>
      <c r="M1609" s="15"/>
      <c r="N1609" s="15" t="s">
        <v>1370</v>
      </c>
      <c r="O1609" s="15"/>
      <c r="P1609" s="15" t="s">
        <v>425</v>
      </c>
      <c r="Q1609" s="15" t="s">
        <v>15236</v>
      </c>
      <c r="R1609" s="15" t="s">
        <v>15237</v>
      </c>
      <c r="S1609" s="24" t="s">
        <v>39</v>
      </c>
      <c r="T1609" s="24" t="s">
        <v>39</v>
      </c>
      <c r="U1609" s="24" t="s">
        <v>39</v>
      </c>
      <c r="V1609" s="24" t="s">
        <v>39</v>
      </c>
      <c r="W1609" s="24"/>
      <c r="X1609" s="24"/>
      <c r="Y1609" s="15"/>
      <c r="Z1609" s="15"/>
      <c r="AA1609" s="24"/>
      <c r="AB1609" s="24"/>
      <c r="AC1609" s="24"/>
      <c r="AD1609" s="24"/>
      <c r="AE1609" s="24"/>
      <c r="AF1609" s="24"/>
      <c r="AG1609" s="24"/>
      <c r="AH1609" s="24"/>
    </row>
    <row r="1610" spans="1:34" ht="90" x14ac:dyDescent="0.25">
      <c r="A1610" s="24" t="str">
        <f>HYPERLINK("https://www.cpso.on.ca/DoctorDetails/Misha-Annie-Hartfeil/0280925-97779","Hartfeil, Misha Annie")</f>
        <v>Hartfeil, Misha Annie</v>
      </c>
      <c r="B1610" s="25" t="s">
        <v>15238</v>
      </c>
      <c r="C1610" s="24" t="s">
        <v>544</v>
      </c>
      <c r="D1610" s="24" t="s">
        <v>12505</v>
      </c>
      <c r="E1610" s="24" t="s">
        <v>29</v>
      </c>
      <c r="F1610" s="24" t="s">
        <v>47</v>
      </c>
      <c r="G1610" s="24" t="s">
        <v>31</v>
      </c>
      <c r="H1610" s="24" t="s">
        <v>15239</v>
      </c>
      <c r="I1610" s="24" t="s">
        <v>15240</v>
      </c>
      <c r="J1610" s="24"/>
      <c r="K1610" s="24"/>
      <c r="L1610" s="24" t="s">
        <v>36</v>
      </c>
      <c r="M1610" s="15"/>
      <c r="N1610" s="15"/>
      <c r="O1610" s="15"/>
      <c r="P1610" s="15" t="s">
        <v>550</v>
      </c>
      <c r="Q1610" s="15" t="s">
        <v>9861</v>
      </c>
      <c r="R1610" s="15" t="s">
        <v>12508</v>
      </c>
      <c r="S1610" s="24" t="s">
        <v>39</v>
      </c>
      <c r="T1610" s="24" t="s">
        <v>39</v>
      </c>
      <c r="U1610" s="24" t="s">
        <v>39</v>
      </c>
      <c r="V1610" s="24" t="s">
        <v>39</v>
      </c>
      <c r="W1610" s="24"/>
      <c r="X1610" s="24"/>
      <c r="Y1610" s="15"/>
      <c r="Z1610" s="15"/>
      <c r="AA1610" s="24"/>
      <c r="AB1610" s="24"/>
      <c r="AC1610" s="24"/>
      <c r="AD1610" s="24"/>
      <c r="AE1610" s="24"/>
      <c r="AF1610" s="24"/>
      <c r="AG1610" s="24"/>
      <c r="AH1610" s="24"/>
    </row>
    <row r="1611" spans="1:34" ht="30" x14ac:dyDescent="0.25">
      <c r="A1611" s="24" t="str">
        <f>HYPERLINK("https://www.cpso.on.ca/DoctorDetails/Mitesh-Patel/0281668-98744","Patel, Mitesh")</f>
        <v>Patel, Mitesh</v>
      </c>
      <c r="B1611" s="25" t="s">
        <v>15241</v>
      </c>
      <c r="C1611" s="24" t="s">
        <v>544</v>
      </c>
      <c r="D1611" s="24" t="s">
        <v>15242</v>
      </c>
      <c r="E1611" s="24" t="s">
        <v>29</v>
      </c>
      <c r="F1611" s="24" t="s">
        <v>30</v>
      </c>
      <c r="G1611" s="24" t="s">
        <v>31</v>
      </c>
      <c r="H1611" s="24" t="s">
        <v>15243</v>
      </c>
      <c r="I1611" s="24" t="s">
        <v>15244</v>
      </c>
      <c r="J1611" s="24" t="s">
        <v>1262</v>
      </c>
      <c r="K1611" s="24"/>
      <c r="L1611" s="24" t="s">
        <v>52</v>
      </c>
      <c r="M1611" s="15"/>
      <c r="N1611" s="15"/>
      <c r="O1611" s="15" t="s">
        <v>1703</v>
      </c>
      <c r="P1611" s="15" t="s">
        <v>15245</v>
      </c>
      <c r="Q1611" s="15" t="s">
        <v>15246</v>
      </c>
      <c r="R1611" s="15" t="s">
        <v>15247</v>
      </c>
      <c r="S1611" s="24" t="s">
        <v>39</v>
      </c>
      <c r="T1611" s="24" t="s">
        <v>39</v>
      </c>
      <c r="U1611" s="24" t="s">
        <v>39</v>
      </c>
      <c r="V1611" s="24" t="s">
        <v>39</v>
      </c>
      <c r="W1611" s="24" t="s">
        <v>15248</v>
      </c>
      <c r="X1611" s="24" t="s">
        <v>15249</v>
      </c>
      <c r="Y1611" s="15" t="s">
        <v>15250</v>
      </c>
      <c r="Z1611" s="15" t="s">
        <v>15251</v>
      </c>
      <c r="AA1611" s="24"/>
      <c r="AB1611" s="24"/>
      <c r="AC1611" s="24"/>
      <c r="AD1611" s="24"/>
      <c r="AE1611" s="24"/>
      <c r="AF1611" s="24"/>
      <c r="AG1611" s="24"/>
      <c r="AH1611" s="24"/>
    </row>
    <row r="1612" spans="1:34" ht="90" x14ac:dyDescent="0.25">
      <c r="A1612" s="24" t="str">
        <f>HYPERLINK("https://www.cpso.on.ca/DoctorDetails/Mitra-Monir-Abbasi/0267043-94101","Monir Abbasi, Mitra")</f>
        <v>Monir Abbasi, Mitra</v>
      </c>
      <c r="B1612" s="25" t="s">
        <v>15252</v>
      </c>
      <c r="C1612" s="24" t="s">
        <v>570</v>
      </c>
      <c r="D1612" s="24" t="s">
        <v>571</v>
      </c>
      <c r="E1612" s="24" t="s">
        <v>29</v>
      </c>
      <c r="F1612" s="24" t="s">
        <v>47</v>
      </c>
      <c r="G1612" s="24" t="s">
        <v>522</v>
      </c>
      <c r="H1612" s="24" t="s">
        <v>15253</v>
      </c>
      <c r="I1612" s="24" t="s">
        <v>13040</v>
      </c>
      <c r="J1612" s="24" t="s">
        <v>15254</v>
      </c>
      <c r="K1612" s="24" t="s">
        <v>5105</v>
      </c>
      <c r="L1612" s="24" t="s">
        <v>36</v>
      </c>
      <c r="M1612" s="15"/>
      <c r="N1612" s="15"/>
      <c r="O1612" s="15" t="s">
        <v>972</v>
      </c>
      <c r="P1612" s="15" t="s">
        <v>629</v>
      </c>
      <c r="Q1612" s="15" t="s">
        <v>15255</v>
      </c>
      <c r="R1612" s="15" t="s">
        <v>2691</v>
      </c>
      <c r="S1612" s="24" t="s">
        <v>39</v>
      </c>
      <c r="T1612" s="24" t="s">
        <v>39</v>
      </c>
      <c r="U1612" s="24" t="s">
        <v>39</v>
      </c>
      <c r="V1612" s="24" t="s">
        <v>39</v>
      </c>
      <c r="W1612" s="24" t="s">
        <v>15256</v>
      </c>
      <c r="X1612" s="24" t="s">
        <v>15257</v>
      </c>
      <c r="Y1612" s="15" t="s">
        <v>15258</v>
      </c>
      <c r="Z1612" s="15" t="s">
        <v>15259</v>
      </c>
      <c r="AA1612" s="24"/>
      <c r="AB1612" s="24"/>
      <c r="AC1612" s="24"/>
      <c r="AD1612" s="24"/>
      <c r="AE1612" s="24"/>
      <c r="AF1612" s="24"/>
      <c r="AG1612" s="24"/>
      <c r="AH1612" s="24"/>
    </row>
    <row r="1613" spans="1:34" ht="105" x14ac:dyDescent="0.25">
      <c r="A1613" s="24" t="str">
        <f>HYPERLINK("https://www.cpso.on.ca/DoctorDetails/Mohamad-Elfakhani/0265687-93505","Elfakhani, Mohamad")</f>
        <v>Elfakhani, Mohamad</v>
      </c>
      <c r="B1613" s="25" t="s">
        <v>15260</v>
      </c>
      <c r="C1613" s="24" t="s">
        <v>15261</v>
      </c>
      <c r="D1613" s="24" t="s">
        <v>571</v>
      </c>
      <c r="E1613" s="24" t="s">
        <v>15262</v>
      </c>
      <c r="F1613" s="24" t="s">
        <v>30</v>
      </c>
      <c r="G1613" s="24" t="s">
        <v>105</v>
      </c>
      <c r="H1613" s="24" t="s">
        <v>15263</v>
      </c>
      <c r="I1613" s="24" t="s">
        <v>15264</v>
      </c>
      <c r="J1613" s="24" t="s">
        <v>15265</v>
      </c>
      <c r="K1613" s="24" t="s">
        <v>15266</v>
      </c>
      <c r="L1613" s="24" t="s">
        <v>135</v>
      </c>
      <c r="M1613" s="15"/>
      <c r="N1613" s="15"/>
      <c r="O1613" s="15" t="s">
        <v>913</v>
      </c>
      <c r="P1613" s="15" t="s">
        <v>629</v>
      </c>
      <c r="Q1613" s="15" t="s">
        <v>15267</v>
      </c>
      <c r="R1613" s="15" t="s">
        <v>15268</v>
      </c>
      <c r="S1613" s="24" t="s">
        <v>39</v>
      </c>
      <c r="T1613" s="24" t="s">
        <v>39</v>
      </c>
      <c r="U1613" s="24" t="s">
        <v>39</v>
      </c>
      <c r="V1613" s="24" t="s">
        <v>39</v>
      </c>
      <c r="W1613" s="24" t="s">
        <v>15269</v>
      </c>
      <c r="X1613" s="24" t="s">
        <v>1499</v>
      </c>
      <c r="Y1613" s="15" t="s">
        <v>15270</v>
      </c>
      <c r="Z1613" s="15" t="s">
        <v>15271</v>
      </c>
      <c r="AA1613" s="24"/>
      <c r="AB1613" s="24"/>
      <c r="AC1613" s="24"/>
      <c r="AD1613" s="24"/>
      <c r="AE1613" s="24"/>
      <c r="AF1613" s="24"/>
      <c r="AG1613" s="24"/>
      <c r="AH1613" s="24"/>
    </row>
    <row r="1614" spans="1:34" ht="105" x14ac:dyDescent="0.25">
      <c r="A1614" s="24" t="str">
        <f>HYPERLINK("https://www.cpso.on.ca/DoctorDetails/Mohammad-Ahsan-Habib/0250363-89169","Habib, Mohammad Ahsan")</f>
        <v>Habib, Mohammad Ahsan</v>
      </c>
      <c r="B1614" s="25" t="s">
        <v>15272</v>
      </c>
      <c r="C1614" s="24" t="s">
        <v>15273</v>
      </c>
      <c r="D1614" s="24" t="s">
        <v>15274</v>
      </c>
      <c r="E1614" s="24" t="s">
        <v>29</v>
      </c>
      <c r="F1614" s="24" t="s">
        <v>30</v>
      </c>
      <c r="G1614" s="24" t="s">
        <v>31</v>
      </c>
      <c r="H1614" s="24" t="s">
        <v>15275</v>
      </c>
      <c r="I1614" s="24" t="s">
        <v>15276</v>
      </c>
      <c r="J1614" s="24" t="s">
        <v>15277</v>
      </c>
      <c r="K1614" s="24"/>
      <c r="L1614" s="24" t="s">
        <v>340</v>
      </c>
      <c r="M1614" s="15"/>
      <c r="N1614" s="15"/>
      <c r="O1614" s="15" t="s">
        <v>1914</v>
      </c>
      <c r="P1614" s="15" t="s">
        <v>381</v>
      </c>
      <c r="Q1614" s="15" t="s">
        <v>15278</v>
      </c>
      <c r="R1614" s="15" t="s">
        <v>15279</v>
      </c>
      <c r="S1614" s="24" t="s">
        <v>39</v>
      </c>
      <c r="T1614" s="24" t="s">
        <v>39</v>
      </c>
      <c r="U1614" s="24" t="s">
        <v>39</v>
      </c>
      <c r="V1614" s="24" t="s">
        <v>39</v>
      </c>
      <c r="W1614" s="24"/>
      <c r="X1614" s="24"/>
      <c r="Y1614" s="15"/>
      <c r="Z1614" s="15"/>
      <c r="AA1614" s="24"/>
      <c r="AB1614" s="24"/>
      <c r="AC1614" s="24"/>
      <c r="AD1614" s="24"/>
      <c r="AE1614" s="24"/>
      <c r="AF1614" s="24"/>
      <c r="AG1614" s="24"/>
      <c r="AH1614" s="24"/>
    </row>
    <row r="1615" spans="1:34" ht="30" x14ac:dyDescent="0.25">
      <c r="A1615" s="24" t="str">
        <f>HYPERLINK("https://www.cpso.on.ca/DoctorDetails/Mohammad-Khalid-Sohail/0039723-53699","Sohail, Mohammad Khalid")</f>
        <v>Sohail, Mohammad Khalid</v>
      </c>
      <c r="B1615" s="25" t="s">
        <v>15280</v>
      </c>
      <c r="C1615" s="24" t="s">
        <v>15281</v>
      </c>
      <c r="D1615" s="24" t="s">
        <v>15282</v>
      </c>
      <c r="E1615" s="24" t="s">
        <v>29</v>
      </c>
      <c r="F1615" s="24" t="s">
        <v>30</v>
      </c>
      <c r="G1615" s="24" t="s">
        <v>1445</v>
      </c>
      <c r="H1615" s="24" t="s">
        <v>15283</v>
      </c>
      <c r="I1615" s="24" t="s">
        <v>15284</v>
      </c>
      <c r="J1615" s="24" t="s">
        <v>15285</v>
      </c>
      <c r="K1615" s="24" t="s">
        <v>15286</v>
      </c>
      <c r="L1615" s="24" t="s">
        <v>36</v>
      </c>
      <c r="M1615" s="15"/>
      <c r="N1615" s="15"/>
      <c r="O1615" s="15"/>
      <c r="P1615" s="15" t="s">
        <v>745</v>
      </c>
      <c r="Q1615" s="15"/>
      <c r="R1615" s="15" t="s">
        <v>15287</v>
      </c>
      <c r="S1615" s="24" t="s">
        <v>39</v>
      </c>
      <c r="T1615" s="24" t="s">
        <v>39</v>
      </c>
      <c r="U1615" s="24" t="s">
        <v>39</v>
      </c>
      <c r="V1615" s="24" t="s">
        <v>39</v>
      </c>
      <c r="W1615" s="24" t="s">
        <v>15288</v>
      </c>
      <c r="X1615" s="24" t="s">
        <v>10634</v>
      </c>
      <c r="Y1615" s="15" t="s">
        <v>15289</v>
      </c>
      <c r="Z1615" s="15" t="s">
        <v>15290</v>
      </c>
      <c r="AA1615" s="24"/>
      <c r="AB1615" s="24"/>
      <c r="AC1615" s="24"/>
      <c r="AD1615" s="24"/>
      <c r="AE1615" s="24"/>
      <c r="AF1615" s="24"/>
      <c r="AG1615" s="24"/>
      <c r="AH1615" s="24"/>
    </row>
    <row r="1616" spans="1:34" ht="75" x14ac:dyDescent="0.25">
      <c r="A1616" s="24" t="str">
        <f>HYPERLINK("https://www.cpso.on.ca/DoctorDetails/Mohammad-Saleem/0231064-85375","Saleem, Mohammad")</f>
        <v>Saleem, Mohammad</v>
      </c>
      <c r="B1616" s="25" t="s">
        <v>15291</v>
      </c>
      <c r="C1616" s="24" t="s">
        <v>15292</v>
      </c>
      <c r="D1616" s="24" t="s">
        <v>15293</v>
      </c>
      <c r="E1616" s="24" t="s">
        <v>29</v>
      </c>
      <c r="F1616" s="24" t="s">
        <v>30</v>
      </c>
      <c r="G1616" s="24" t="s">
        <v>2425</v>
      </c>
      <c r="H1616" s="24" t="s">
        <v>15294</v>
      </c>
      <c r="I1616" s="24" t="s">
        <v>15295</v>
      </c>
      <c r="J1616" s="24" t="s">
        <v>15296</v>
      </c>
      <c r="K1616" s="24" t="s">
        <v>15297</v>
      </c>
      <c r="L1616" s="24" t="s">
        <v>152</v>
      </c>
      <c r="M1616" s="15"/>
      <c r="N1616" s="15"/>
      <c r="O1616" s="15"/>
      <c r="P1616" s="15" t="s">
        <v>7800</v>
      </c>
      <c r="Q1616" s="15"/>
      <c r="R1616" s="15" t="s">
        <v>15298</v>
      </c>
      <c r="S1616" s="24" t="s">
        <v>39</v>
      </c>
      <c r="T1616" s="24" t="s">
        <v>39</v>
      </c>
      <c r="U1616" s="24" t="s">
        <v>39</v>
      </c>
      <c r="V1616" s="24" t="s">
        <v>39</v>
      </c>
      <c r="W1616" s="24" t="s">
        <v>15299</v>
      </c>
      <c r="X1616" s="24" t="s">
        <v>15300</v>
      </c>
      <c r="Y1616" s="15" t="s">
        <v>15301</v>
      </c>
      <c r="Z1616" s="15" t="s">
        <v>15302</v>
      </c>
      <c r="AA1616" s="24"/>
      <c r="AB1616" s="24"/>
      <c r="AC1616" s="24"/>
      <c r="AD1616" s="24"/>
      <c r="AE1616" s="24"/>
      <c r="AF1616" s="24"/>
      <c r="AG1616" s="24"/>
      <c r="AH1616" s="24"/>
    </row>
    <row r="1617" spans="1:34" ht="120" x14ac:dyDescent="0.25">
      <c r="A1617" s="24" t="str">
        <f>HYPERLINK("https://www.cpso.on.ca/DoctorDetails/Mohammad-T-M-S-Alsuwaidan/0219684-82361","Alsuwaidan, Mohammad T M S")</f>
        <v>Alsuwaidan, Mohammad T M S</v>
      </c>
      <c r="B1617" s="25" t="s">
        <v>15303</v>
      </c>
      <c r="C1617" s="24" t="s">
        <v>9830</v>
      </c>
      <c r="D1617" s="24" t="s">
        <v>2343</v>
      </c>
      <c r="E1617" s="24" t="s">
        <v>29</v>
      </c>
      <c r="F1617" s="24" t="s">
        <v>30</v>
      </c>
      <c r="G1617" s="24" t="s">
        <v>105</v>
      </c>
      <c r="H1617" s="24" t="s">
        <v>15304</v>
      </c>
      <c r="I1617" s="24" t="s">
        <v>15305</v>
      </c>
      <c r="J1617" s="24" t="s">
        <v>15306</v>
      </c>
      <c r="K1617" s="24"/>
      <c r="L1617" s="24" t="s">
        <v>52</v>
      </c>
      <c r="M1617" s="15"/>
      <c r="N1617" s="15"/>
      <c r="O1617" s="15" t="s">
        <v>1867</v>
      </c>
      <c r="P1617" s="15" t="s">
        <v>2348</v>
      </c>
      <c r="Q1617" s="15" t="s">
        <v>15307</v>
      </c>
      <c r="R1617" s="15" t="s">
        <v>15308</v>
      </c>
      <c r="S1617" s="24" t="s">
        <v>39</v>
      </c>
      <c r="T1617" s="24" t="s">
        <v>39</v>
      </c>
      <c r="U1617" s="24" t="s">
        <v>39</v>
      </c>
      <c r="V1617" s="24" t="s">
        <v>39</v>
      </c>
      <c r="W1617" s="24"/>
      <c r="X1617" s="24"/>
      <c r="Y1617" s="15"/>
      <c r="Z1617" s="15"/>
      <c r="AA1617" s="24"/>
      <c r="AB1617" s="24"/>
      <c r="AC1617" s="24"/>
      <c r="AD1617" s="24"/>
      <c r="AE1617" s="24"/>
      <c r="AF1617" s="24"/>
      <c r="AG1617" s="24"/>
      <c r="AH1617" s="24"/>
    </row>
    <row r="1618" spans="1:34" ht="60" x14ac:dyDescent="0.25">
      <c r="A1618" s="24" t="str">
        <f>HYPERLINK("https://www.cpso.on.ca/DoctorDetails/Mohammed-Abdel-Latif-Mahmoud-Mohammed-El-Saidi/0227599-86623","El Saidi, Mohammed Abdel Latif Mahmoud Mohammed")</f>
        <v>El Saidi, Mohammed Abdel Latif Mahmoud Mohammed</v>
      </c>
      <c r="B1618" s="25" t="s">
        <v>15309</v>
      </c>
      <c r="C1618" s="24" t="s">
        <v>15310</v>
      </c>
      <c r="D1618" s="24" t="s">
        <v>15311</v>
      </c>
      <c r="E1618" s="24" t="s">
        <v>29</v>
      </c>
      <c r="F1618" s="24" t="s">
        <v>30</v>
      </c>
      <c r="G1618" s="24" t="s">
        <v>105</v>
      </c>
      <c r="H1618" s="24" t="s">
        <v>15312</v>
      </c>
      <c r="I1618" s="24" t="s">
        <v>15313</v>
      </c>
      <c r="J1618" s="24" t="s">
        <v>15314</v>
      </c>
      <c r="K1618" s="24" t="s">
        <v>15315</v>
      </c>
      <c r="L1618" s="24" t="s">
        <v>36</v>
      </c>
      <c r="M1618" s="15" t="s">
        <v>15316</v>
      </c>
      <c r="N1618" s="15"/>
      <c r="O1618" s="15" t="s">
        <v>1662</v>
      </c>
      <c r="P1618" s="15" t="s">
        <v>154</v>
      </c>
      <c r="Q1618" s="15" t="s">
        <v>15317</v>
      </c>
      <c r="R1618" s="15" t="s">
        <v>15318</v>
      </c>
      <c r="S1618" s="24" t="s">
        <v>39</v>
      </c>
      <c r="T1618" s="24" t="s">
        <v>39</v>
      </c>
      <c r="U1618" s="24" t="s">
        <v>39</v>
      </c>
      <c r="V1618" s="24" t="s">
        <v>39</v>
      </c>
      <c r="W1618" s="24" t="s">
        <v>15319</v>
      </c>
      <c r="X1618" s="24" t="s">
        <v>15320</v>
      </c>
      <c r="Y1618" s="15" t="s">
        <v>15321</v>
      </c>
      <c r="Z1618" s="15" t="s">
        <v>15322</v>
      </c>
      <c r="AA1618" s="24"/>
      <c r="AB1618" s="24"/>
      <c r="AC1618" s="24"/>
      <c r="AD1618" s="24"/>
      <c r="AE1618" s="24"/>
      <c r="AF1618" s="24"/>
      <c r="AG1618" s="24"/>
      <c r="AH1618" s="24"/>
    </row>
    <row r="1619" spans="1:34" ht="135" x14ac:dyDescent="0.25">
      <c r="A1619" s="24" t="str">
        <f>HYPERLINK("https://www.cpso.on.ca/DoctorDetails/Mohammed-Ali-Warsi/0201445-79488","Warsi, Mohammed Ali")</f>
        <v>Warsi, Mohammed Ali</v>
      </c>
      <c r="B1619" s="25" t="s">
        <v>15323</v>
      </c>
      <c r="C1619" s="24" t="s">
        <v>871</v>
      </c>
      <c r="D1619" s="24" t="s">
        <v>872</v>
      </c>
      <c r="E1619" s="24" t="s">
        <v>29</v>
      </c>
      <c r="F1619" s="24" t="s">
        <v>30</v>
      </c>
      <c r="G1619" s="24" t="s">
        <v>1445</v>
      </c>
      <c r="H1619" s="24" t="s">
        <v>1475</v>
      </c>
      <c r="I1619" s="24" t="s">
        <v>15324</v>
      </c>
      <c r="J1619" s="24" t="s">
        <v>15325</v>
      </c>
      <c r="K1619" s="24"/>
      <c r="L1619" s="24" t="s">
        <v>184</v>
      </c>
      <c r="M1619" s="15" t="s">
        <v>15326</v>
      </c>
      <c r="N1619" s="15"/>
      <c r="O1619" s="15" t="s">
        <v>15327</v>
      </c>
      <c r="P1619" s="15" t="s">
        <v>880</v>
      </c>
      <c r="Q1619" s="15" t="s">
        <v>15328</v>
      </c>
      <c r="R1619" s="15" t="s">
        <v>882</v>
      </c>
      <c r="S1619" s="24" t="s">
        <v>39</v>
      </c>
      <c r="T1619" s="24" t="s">
        <v>39</v>
      </c>
      <c r="U1619" s="24" t="s">
        <v>39</v>
      </c>
      <c r="V1619" s="24" t="s">
        <v>39</v>
      </c>
      <c r="W1619" s="24" t="s">
        <v>15329</v>
      </c>
      <c r="X1619" s="24" t="s">
        <v>15330</v>
      </c>
      <c r="Y1619" s="15" t="s">
        <v>15331</v>
      </c>
      <c r="Z1619" s="15" t="s">
        <v>15332</v>
      </c>
      <c r="AA1619" s="24"/>
      <c r="AB1619" s="24"/>
      <c r="AC1619" s="24"/>
      <c r="AD1619" s="24"/>
      <c r="AE1619" s="24"/>
      <c r="AF1619" s="24"/>
      <c r="AG1619" s="24"/>
      <c r="AH1619" s="24"/>
    </row>
    <row r="1620" spans="1:34" ht="75" x14ac:dyDescent="0.25">
      <c r="A1620" s="24" t="str">
        <f>HYPERLINK("https://www.cpso.on.ca/DoctorDetails/Mohammed-Farhan-Iqbal-Hussain/0261244-92558","Hussain, Mohammed Farhan Iqbal")</f>
        <v>Hussain, Mohammed Farhan Iqbal</v>
      </c>
      <c r="B1620" s="25" t="s">
        <v>15333</v>
      </c>
      <c r="C1620" s="24" t="s">
        <v>15334</v>
      </c>
      <c r="D1620" s="24" t="s">
        <v>15335</v>
      </c>
      <c r="E1620" s="24" t="s">
        <v>29</v>
      </c>
      <c r="F1620" s="24" t="s">
        <v>30</v>
      </c>
      <c r="G1620" s="24" t="s">
        <v>61</v>
      </c>
      <c r="H1620" s="24" t="s">
        <v>15336</v>
      </c>
      <c r="I1620" s="24" t="s">
        <v>15337</v>
      </c>
      <c r="J1620" s="24" t="s">
        <v>15338</v>
      </c>
      <c r="K1620" s="24" t="s">
        <v>2798</v>
      </c>
      <c r="L1620" s="24" t="s">
        <v>52</v>
      </c>
      <c r="M1620" s="15"/>
      <c r="N1620" s="15" t="s">
        <v>14601</v>
      </c>
      <c r="O1620" s="15" t="s">
        <v>6490</v>
      </c>
      <c r="P1620" s="15" t="s">
        <v>15339</v>
      </c>
      <c r="Q1620" s="15"/>
      <c r="R1620" s="15" t="s">
        <v>15340</v>
      </c>
      <c r="S1620" s="24" t="s">
        <v>71</v>
      </c>
      <c r="T1620" s="24" t="s">
        <v>39</v>
      </c>
      <c r="U1620" s="24" t="s">
        <v>39</v>
      </c>
      <c r="V1620" s="24" t="s">
        <v>39</v>
      </c>
      <c r="W1620" s="24" t="s">
        <v>15341</v>
      </c>
      <c r="X1620" s="24" t="s">
        <v>15342</v>
      </c>
      <c r="Y1620" s="15" t="s">
        <v>15343</v>
      </c>
      <c r="Z1620" s="15" t="s">
        <v>15344</v>
      </c>
      <c r="AA1620" s="24"/>
      <c r="AB1620" s="24"/>
      <c r="AC1620" s="24"/>
      <c r="AD1620" s="24"/>
      <c r="AE1620" s="24"/>
      <c r="AF1620" s="24"/>
      <c r="AG1620" s="24"/>
      <c r="AH1620" s="24"/>
    </row>
    <row r="1621" spans="1:34" ht="135" x14ac:dyDescent="0.25">
      <c r="A1621" s="24" t="str">
        <f>HYPERLINK("https://www.cpso.on.ca/DoctorDetails/Mohammed-Hamzah-Salih-AlNakhli/0205408-80201","Al-Nakhli, Mohammed Hamzah Salih")</f>
        <v>Al-Nakhli, Mohammed Hamzah Salih</v>
      </c>
      <c r="B1621" s="25" t="s">
        <v>15345</v>
      </c>
      <c r="C1621" s="24" t="s">
        <v>15346</v>
      </c>
      <c r="D1621" s="24" t="s">
        <v>15347</v>
      </c>
      <c r="E1621" s="24" t="s">
        <v>29</v>
      </c>
      <c r="F1621" s="24" t="s">
        <v>30</v>
      </c>
      <c r="G1621" s="24" t="s">
        <v>105</v>
      </c>
      <c r="H1621" s="24" t="s">
        <v>15348</v>
      </c>
      <c r="I1621" s="24" t="s">
        <v>107</v>
      </c>
      <c r="J1621" s="24"/>
      <c r="K1621" s="24"/>
      <c r="L1621" s="24"/>
      <c r="M1621" s="15"/>
      <c r="N1621" s="15"/>
      <c r="O1621" s="15"/>
      <c r="P1621" s="15" t="s">
        <v>15349</v>
      </c>
      <c r="Q1621" s="15" t="s">
        <v>15350</v>
      </c>
      <c r="R1621" s="15" t="s">
        <v>15351</v>
      </c>
      <c r="S1621" s="24" t="s">
        <v>39</v>
      </c>
      <c r="T1621" s="24" t="s">
        <v>39</v>
      </c>
      <c r="U1621" s="24" t="s">
        <v>39</v>
      </c>
      <c r="V1621" s="24" t="s">
        <v>39</v>
      </c>
      <c r="W1621" s="24" t="s">
        <v>15352</v>
      </c>
      <c r="X1621" s="24" t="s">
        <v>1078</v>
      </c>
      <c r="Y1621" s="15" t="s">
        <v>15353</v>
      </c>
      <c r="Z1621" s="15" t="s">
        <v>3997</v>
      </c>
      <c r="AA1621" s="24"/>
      <c r="AB1621" s="24"/>
      <c r="AC1621" s="24"/>
      <c r="AD1621" s="24"/>
      <c r="AE1621" s="24"/>
      <c r="AF1621" s="24"/>
      <c r="AG1621" s="24"/>
      <c r="AH1621" s="24"/>
    </row>
    <row r="1622" spans="1:34" ht="90" x14ac:dyDescent="0.25">
      <c r="A1622" s="24" t="str">
        <f>HYPERLINK("https://www.cpso.on.ca/DoctorDetails/Mohammed-Sayeed-Ahmed/0284684-99979","Ahmed, Mohammed Sayeed")</f>
        <v>Ahmed, Mohammed Sayeed</v>
      </c>
      <c r="B1622" s="25" t="s">
        <v>15354</v>
      </c>
      <c r="C1622" s="24" t="s">
        <v>15355</v>
      </c>
      <c r="D1622" s="24" t="s">
        <v>15356</v>
      </c>
      <c r="E1622" s="24" t="s">
        <v>29</v>
      </c>
      <c r="F1622" s="24" t="s">
        <v>30</v>
      </c>
      <c r="G1622" s="24" t="s">
        <v>15357</v>
      </c>
      <c r="H1622" s="24" t="s">
        <v>15358</v>
      </c>
      <c r="I1622" s="24" t="s">
        <v>15359</v>
      </c>
      <c r="J1622" s="24" t="s">
        <v>15360</v>
      </c>
      <c r="K1622" s="24"/>
      <c r="L1622" s="24" t="s">
        <v>36</v>
      </c>
      <c r="M1622" s="15" t="s">
        <v>15361</v>
      </c>
      <c r="N1622" s="15" t="s">
        <v>10174</v>
      </c>
      <c r="O1622" s="15"/>
      <c r="P1622" s="15" t="s">
        <v>37</v>
      </c>
      <c r="Q1622" s="15"/>
      <c r="R1622" s="15" t="s">
        <v>15362</v>
      </c>
      <c r="S1622" s="24" t="s">
        <v>71</v>
      </c>
      <c r="T1622" s="24" t="s">
        <v>39</v>
      </c>
      <c r="U1622" s="24" t="s">
        <v>39</v>
      </c>
      <c r="V1622" s="24" t="s">
        <v>39</v>
      </c>
      <c r="W1622" s="24" t="s">
        <v>15363</v>
      </c>
      <c r="X1622" s="24" t="s">
        <v>15364</v>
      </c>
      <c r="Y1622" s="15" t="s">
        <v>15365</v>
      </c>
      <c r="Z1622" s="15" t="s">
        <v>15366</v>
      </c>
      <c r="AA1622" s="24"/>
      <c r="AB1622" s="24"/>
      <c r="AC1622" s="24"/>
      <c r="AD1622" s="24"/>
      <c r="AE1622" s="24"/>
      <c r="AF1622" s="24"/>
      <c r="AG1622" s="24"/>
      <c r="AH1622" s="24"/>
    </row>
    <row r="1623" spans="1:34" ht="150" x14ac:dyDescent="0.25">
      <c r="A1623" s="24" t="str">
        <f>HYPERLINK("https://www.cpso.on.ca/DoctorDetails/Mohini-Mangar/0046570-60548","Mangar, Mohini")</f>
        <v>Mangar, Mohini</v>
      </c>
      <c r="B1623" s="25" t="s">
        <v>15367</v>
      </c>
      <c r="C1623" s="24" t="s">
        <v>15368</v>
      </c>
      <c r="D1623" s="24" t="s">
        <v>15369</v>
      </c>
      <c r="E1623" s="24" t="s">
        <v>29</v>
      </c>
      <c r="F1623" s="24" t="s">
        <v>47</v>
      </c>
      <c r="G1623" s="24" t="s">
        <v>31</v>
      </c>
      <c r="H1623" s="24" t="s">
        <v>6204</v>
      </c>
      <c r="I1623" s="24" t="s">
        <v>15370</v>
      </c>
      <c r="J1623" s="24" t="s">
        <v>15371</v>
      </c>
      <c r="K1623" s="24"/>
      <c r="L1623" s="24" t="s">
        <v>184</v>
      </c>
      <c r="M1623" s="15" t="s">
        <v>15372</v>
      </c>
      <c r="N1623" s="15"/>
      <c r="O1623" s="15" t="s">
        <v>2169</v>
      </c>
      <c r="P1623" s="15" t="s">
        <v>1239</v>
      </c>
      <c r="Q1623" s="15" t="s">
        <v>15373</v>
      </c>
      <c r="R1623" s="15" t="s">
        <v>15374</v>
      </c>
      <c r="S1623" s="24" t="s">
        <v>39</v>
      </c>
      <c r="T1623" s="24" t="s">
        <v>39</v>
      </c>
      <c r="U1623" s="24" t="s">
        <v>39</v>
      </c>
      <c r="V1623" s="24" t="s">
        <v>39</v>
      </c>
      <c r="W1623" s="24"/>
      <c r="X1623" s="24"/>
      <c r="Y1623" s="15"/>
      <c r="Z1623" s="15"/>
      <c r="AA1623" s="24"/>
      <c r="AB1623" s="24"/>
      <c r="AC1623" s="24"/>
      <c r="AD1623" s="24"/>
      <c r="AE1623" s="24"/>
      <c r="AF1623" s="24"/>
      <c r="AG1623" s="24"/>
      <c r="AH1623" s="24"/>
    </row>
    <row r="1624" spans="1:34" ht="135" x14ac:dyDescent="0.25">
      <c r="A1624" s="24" t="str">
        <f>HYPERLINK("https://www.cpso.on.ca/DoctorDetails/Mojgan-Mottaghian/0231162-84843","Mottaghian, Mojgan")</f>
        <v>Mottaghian, Mojgan</v>
      </c>
      <c r="B1624" s="25" t="s">
        <v>15375</v>
      </c>
      <c r="C1624" s="24" t="s">
        <v>647</v>
      </c>
      <c r="D1624" s="24" t="s">
        <v>1594</v>
      </c>
      <c r="E1624" s="24" t="s">
        <v>29</v>
      </c>
      <c r="F1624" s="24" t="s">
        <v>47</v>
      </c>
      <c r="G1624" s="24" t="s">
        <v>2579</v>
      </c>
      <c r="H1624" s="24" t="s">
        <v>15376</v>
      </c>
      <c r="I1624" s="24" t="s">
        <v>15377</v>
      </c>
      <c r="J1624" s="24" t="s">
        <v>15378</v>
      </c>
      <c r="K1624" s="24"/>
      <c r="L1624" s="24" t="s">
        <v>36</v>
      </c>
      <c r="M1624" s="15"/>
      <c r="N1624" s="15"/>
      <c r="O1624" s="15" t="s">
        <v>867</v>
      </c>
      <c r="P1624" s="15" t="s">
        <v>1074</v>
      </c>
      <c r="Q1624" s="15" t="s">
        <v>15379</v>
      </c>
      <c r="R1624" s="15" t="s">
        <v>15380</v>
      </c>
      <c r="S1624" s="24" t="s">
        <v>39</v>
      </c>
      <c r="T1624" s="24" t="s">
        <v>39</v>
      </c>
      <c r="U1624" s="24" t="s">
        <v>39</v>
      </c>
      <c r="V1624" s="24" t="s">
        <v>39</v>
      </c>
      <c r="W1624" s="24" t="s">
        <v>15381</v>
      </c>
      <c r="X1624" s="24" t="s">
        <v>15382</v>
      </c>
      <c r="Y1624" s="15" t="s">
        <v>15383</v>
      </c>
      <c r="Z1624" s="15" t="s">
        <v>15384</v>
      </c>
      <c r="AA1624" s="24"/>
      <c r="AB1624" s="24"/>
      <c r="AC1624" s="24"/>
      <c r="AD1624" s="24"/>
      <c r="AE1624" s="24"/>
      <c r="AF1624" s="24"/>
      <c r="AG1624" s="24"/>
      <c r="AH1624" s="24"/>
    </row>
    <row r="1625" spans="1:34" ht="60" x14ac:dyDescent="0.25">
      <c r="A1625" s="24" t="str">
        <f>HYPERLINK("https://www.cpso.on.ca/DoctorDetails/Mojgan-Zare-Parsi/0042202-56180","Zare Parsi, Mojgan")</f>
        <v>Zare Parsi, Mojgan</v>
      </c>
      <c r="B1625" s="25" t="s">
        <v>15385</v>
      </c>
      <c r="C1625" s="24" t="s">
        <v>801</v>
      </c>
      <c r="D1625" s="24" t="s">
        <v>15386</v>
      </c>
      <c r="E1625" s="24" t="s">
        <v>29</v>
      </c>
      <c r="F1625" s="24" t="s">
        <v>47</v>
      </c>
      <c r="G1625" s="24" t="s">
        <v>522</v>
      </c>
      <c r="H1625" s="24" t="s">
        <v>15387</v>
      </c>
      <c r="I1625" s="24" t="s">
        <v>15388</v>
      </c>
      <c r="J1625" s="24" t="s">
        <v>11238</v>
      </c>
      <c r="K1625" s="24"/>
      <c r="L1625" s="24" t="s">
        <v>52</v>
      </c>
      <c r="M1625" s="15" t="s">
        <v>15389</v>
      </c>
      <c r="N1625" s="15"/>
      <c r="O1625" s="15"/>
      <c r="P1625" s="15" t="s">
        <v>6227</v>
      </c>
      <c r="Q1625" s="15" t="s">
        <v>6291</v>
      </c>
      <c r="R1625" s="15" t="s">
        <v>15390</v>
      </c>
      <c r="S1625" s="24" t="s">
        <v>39</v>
      </c>
      <c r="T1625" s="24" t="s">
        <v>39</v>
      </c>
      <c r="U1625" s="24" t="s">
        <v>39</v>
      </c>
      <c r="V1625" s="24" t="s">
        <v>39</v>
      </c>
      <c r="W1625" s="24" t="s">
        <v>15391</v>
      </c>
      <c r="X1625" s="24" t="s">
        <v>15392</v>
      </c>
      <c r="Y1625" s="15" t="s">
        <v>15393</v>
      </c>
      <c r="Z1625" s="15" t="s">
        <v>15394</v>
      </c>
      <c r="AA1625" s="24" t="s">
        <v>15395</v>
      </c>
      <c r="AB1625" s="24" t="s">
        <v>15396</v>
      </c>
      <c r="AC1625" s="24" t="s">
        <v>15397</v>
      </c>
      <c r="AD1625" s="24" t="s">
        <v>15398</v>
      </c>
      <c r="AE1625" s="24"/>
      <c r="AF1625" s="24"/>
      <c r="AG1625" s="24"/>
      <c r="AH1625" s="24"/>
    </row>
    <row r="1626" spans="1:34" ht="60" x14ac:dyDescent="0.25">
      <c r="A1626" s="24" t="str">
        <f>HYPERLINK("https://www.cpso.on.ca/DoctorDetails/Molyn-Leszcz/0027593-32416","Leszcz, Molyn")</f>
        <v>Leszcz, Molyn</v>
      </c>
      <c r="B1626" s="25" t="s">
        <v>15399</v>
      </c>
      <c r="C1626" s="24" t="s">
        <v>15400</v>
      </c>
      <c r="D1626" s="24" t="s">
        <v>15401</v>
      </c>
      <c r="E1626" s="24" t="s">
        <v>29</v>
      </c>
      <c r="F1626" s="24" t="s">
        <v>30</v>
      </c>
      <c r="G1626" s="24" t="s">
        <v>252</v>
      </c>
      <c r="H1626" s="24" t="s">
        <v>11232</v>
      </c>
      <c r="I1626" s="24" t="s">
        <v>15402</v>
      </c>
      <c r="J1626" s="24" t="s">
        <v>15403</v>
      </c>
      <c r="K1626" s="24" t="s">
        <v>1528</v>
      </c>
      <c r="L1626" s="24" t="s">
        <v>52</v>
      </c>
      <c r="M1626" s="15" t="s">
        <v>15404</v>
      </c>
      <c r="N1626" s="15"/>
      <c r="O1626" s="15" t="s">
        <v>15405</v>
      </c>
      <c r="P1626" s="15" t="s">
        <v>541</v>
      </c>
      <c r="Q1626" s="15"/>
      <c r="R1626" s="15" t="s">
        <v>15406</v>
      </c>
      <c r="S1626" s="24" t="s">
        <v>39</v>
      </c>
      <c r="T1626" s="24" t="s">
        <v>39</v>
      </c>
      <c r="U1626" s="24" t="s">
        <v>39</v>
      </c>
      <c r="V1626" s="24" t="s">
        <v>39</v>
      </c>
      <c r="W1626" s="24" t="s">
        <v>15407</v>
      </c>
      <c r="X1626" s="24" t="s">
        <v>15408</v>
      </c>
      <c r="Y1626" s="15" t="s">
        <v>15409</v>
      </c>
      <c r="Z1626" s="15" t="s">
        <v>15410</v>
      </c>
      <c r="AA1626" s="24"/>
      <c r="AB1626" s="24"/>
      <c r="AC1626" s="24"/>
      <c r="AD1626" s="24"/>
      <c r="AE1626" s="24"/>
      <c r="AF1626" s="24"/>
      <c r="AG1626" s="24"/>
      <c r="AH1626" s="24"/>
    </row>
    <row r="1627" spans="1:34" ht="120" x14ac:dyDescent="0.25">
      <c r="A1627" s="24" t="str">
        <f>HYPERLINK("https://www.cpso.on.ca/DoctorDetails/Mona-Gupta/0057438-69026","Gupta, Mona")</f>
        <v>Gupta, Mona</v>
      </c>
      <c r="B1627" s="25" t="s">
        <v>15411</v>
      </c>
      <c r="C1627" s="24" t="s">
        <v>15412</v>
      </c>
      <c r="D1627" s="24" t="s">
        <v>15413</v>
      </c>
      <c r="E1627" s="24" t="s">
        <v>29</v>
      </c>
      <c r="F1627" s="24" t="s">
        <v>47</v>
      </c>
      <c r="G1627" s="24" t="s">
        <v>813</v>
      </c>
      <c r="H1627" s="24" t="s">
        <v>15414</v>
      </c>
      <c r="I1627" s="24" t="s">
        <v>15415</v>
      </c>
      <c r="J1627" s="24" t="s">
        <v>15416</v>
      </c>
      <c r="K1627" s="24"/>
      <c r="L1627" s="24"/>
      <c r="M1627" s="15"/>
      <c r="N1627" s="15" t="s">
        <v>710</v>
      </c>
      <c r="O1627" s="15"/>
      <c r="P1627" s="15" t="s">
        <v>13373</v>
      </c>
      <c r="Q1627" s="15" t="s">
        <v>15417</v>
      </c>
      <c r="R1627" s="15" t="s">
        <v>15418</v>
      </c>
      <c r="S1627" s="24" t="s">
        <v>39</v>
      </c>
      <c r="T1627" s="24" t="s">
        <v>39</v>
      </c>
      <c r="U1627" s="24" t="s">
        <v>39</v>
      </c>
      <c r="V1627" s="24" t="s">
        <v>39</v>
      </c>
      <c r="W1627" s="24"/>
      <c r="X1627" s="24"/>
      <c r="Y1627" s="15"/>
      <c r="Z1627" s="15"/>
      <c r="AA1627" s="24"/>
      <c r="AB1627" s="24"/>
      <c r="AC1627" s="24"/>
      <c r="AD1627" s="24"/>
      <c r="AE1627" s="24"/>
      <c r="AF1627" s="24"/>
      <c r="AG1627" s="24"/>
      <c r="AH1627" s="24"/>
    </row>
    <row r="1628" spans="1:34" ht="30" x14ac:dyDescent="0.25">
      <c r="A1628" s="24" t="str">
        <f>HYPERLINK("https://www.cpso.on.ca/DoctorDetails/Mona-Morad-Girgis/0019508-24295","Girgis, Mona Morad")</f>
        <v>Girgis, Mona Morad</v>
      </c>
      <c r="B1628" s="25" t="s">
        <v>15419</v>
      </c>
      <c r="C1628" s="24" t="s">
        <v>15420</v>
      </c>
      <c r="D1628" s="24" t="s">
        <v>15421</v>
      </c>
      <c r="E1628" s="24" t="s">
        <v>29</v>
      </c>
      <c r="F1628" s="24" t="s">
        <v>47</v>
      </c>
      <c r="G1628" s="24" t="s">
        <v>105</v>
      </c>
      <c r="H1628" s="24" t="s">
        <v>15422</v>
      </c>
      <c r="I1628" s="24" t="s">
        <v>15423</v>
      </c>
      <c r="J1628" s="24" t="s">
        <v>15424</v>
      </c>
      <c r="K1628" s="24" t="s">
        <v>12612</v>
      </c>
      <c r="L1628" s="24" t="s">
        <v>52</v>
      </c>
      <c r="M1628" s="15" t="s">
        <v>15425</v>
      </c>
      <c r="N1628" s="15"/>
      <c r="O1628" s="15"/>
      <c r="P1628" s="15" t="s">
        <v>6465</v>
      </c>
      <c r="Q1628" s="15"/>
      <c r="R1628" s="15" t="s">
        <v>15426</v>
      </c>
      <c r="S1628" s="24" t="s">
        <v>39</v>
      </c>
      <c r="T1628" s="24" t="s">
        <v>39</v>
      </c>
      <c r="U1628" s="24" t="s">
        <v>39</v>
      </c>
      <c r="V1628" s="24" t="s">
        <v>39</v>
      </c>
      <c r="W1628" s="24" t="s">
        <v>15427</v>
      </c>
      <c r="X1628" s="24" t="s">
        <v>15428</v>
      </c>
      <c r="Y1628" s="15" t="s">
        <v>15429</v>
      </c>
      <c r="Z1628" s="15" t="s">
        <v>15430</v>
      </c>
      <c r="AA1628" s="24"/>
      <c r="AB1628" s="24"/>
      <c r="AC1628" s="24"/>
      <c r="AD1628" s="24"/>
      <c r="AE1628" s="24"/>
      <c r="AF1628" s="24"/>
      <c r="AG1628" s="24"/>
      <c r="AH1628" s="24"/>
    </row>
    <row r="1629" spans="1:34" ht="75" x14ac:dyDescent="0.25">
      <c r="A1629" s="24" t="str">
        <f>HYPERLINK("https://www.cpso.on.ca/DoctorDetails/Monica-Arrina-Choi/0242612-86940","Choi, Monica Arrina")</f>
        <v>Choi, Monica Arrina</v>
      </c>
      <c r="B1629" s="25" t="s">
        <v>15431</v>
      </c>
      <c r="C1629" s="24" t="s">
        <v>15432</v>
      </c>
      <c r="D1629" s="24" t="s">
        <v>15433</v>
      </c>
      <c r="E1629" s="24" t="s">
        <v>29</v>
      </c>
      <c r="F1629" s="24" t="s">
        <v>47</v>
      </c>
      <c r="G1629" s="24" t="s">
        <v>31</v>
      </c>
      <c r="H1629" s="24" t="s">
        <v>4973</v>
      </c>
      <c r="I1629" s="24" t="s">
        <v>15434</v>
      </c>
      <c r="J1629" s="24" t="s">
        <v>15435</v>
      </c>
      <c r="K1629" s="24"/>
      <c r="L1629" s="24" t="s">
        <v>52</v>
      </c>
      <c r="M1629" s="15" t="s">
        <v>15436</v>
      </c>
      <c r="N1629" s="15"/>
      <c r="O1629" s="15" t="s">
        <v>9081</v>
      </c>
      <c r="P1629" s="15" t="s">
        <v>1074</v>
      </c>
      <c r="Q1629" s="15" t="s">
        <v>15437</v>
      </c>
      <c r="R1629" s="15" t="s">
        <v>15438</v>
      </c>
      <c r="S1629" s="24" t="s">
        <v>39</v>
      </c>
      <c r="T1629" s="24" t="s">
        <v>39</v>
      </c>
      <c r="U1629" s="24" t="s">
        <v>39</v>
      </c>
      <c r="V1629" s="24" t="s">
        <v>39</v>
      </c>
      <c r="W1629" s="24" t="s">
        <v>15439</v>
      </c>
      <c r="X1629" s="24" t="s">
        <v>917</v>
      </c>
      <c r="Y1629" s="15" t="s">
        <v>15440</v>
      </c>
      <c r="Z1629" s="15" t="s">
        <v>15441</v>
      </c>
      <c r="AA1629" s="24"/>
      <c r="AB1629" s="24"/>
      <c r="AC1629" s="24"/>
      <c r="AD1629" s="24"/>
      <c r="AE1629" s="24"/>
      <c r="AF1629" s="24"/>
      <c r="AG1629" s="24"/>
      <c r="AH1629" s="24"/>
    </row>
    <row r="1630" spans="1:34" ht="120" x14ac:dyDescent="0.25">
      <c r="A1630" s="24" t="str">
        <f>HYPERLINK("https://www.cpso.on.ca/DoctorDetails/Monica-Celina-Paradiso/0197553-94871","Paradiso, Monica Celina")</f>
        <v>Paradiso, Monica Celina</v>
      </c>
      <c r="B1630" s="25" t="s">
        <v>15442</v>
      </c>
      <c r="C1630" s="24" t="s">
        <v>15443</v>
      </c>
      <c r="D1630" s="24" t="s">
        <v>15444</v>
      </c>
      <c r="E1630" s="24" t="s">
        <v>29</v>
      </c>
      <c r="F1630" s="24" t="s">
        <v>47</v>
      </c>
      <c r="G1630" s="24" t="s">
        <v>115</v>
      </c>
      <c r="H1630" s="24" t="s">
        <v>15445</v>
      </c>
      <c r="I1630" s="24" t="s">
        <v>15446</v>
      </c>
      <c r="J1630" s="24" t="s">
        <v>15447</v>
      </c>
      <c r="K1630" s="24" t="s">
        <v>15448</v>
      </c>
      <c r="L1630" s="24" t="s">
        <v>52</v>
      </c>
      <c r="M1630" s="15"/>
      <c r="N1630" s="15"/>
      <c r="O1630" s="15"/>
      <c r="P1630" s="15" t="s">
        <v>3308</v>
      </c>
      <c r="Q1630" s="15" t="s">
        <v>15449</v>
      </c>
      <c r="R1630" s="15" t="s">
        <v>15450</v>
      </c>
      <c r="S1630" s="24" t="s">
        <v>71</v>
      </c>
      <c r="T1630" s="24" t="s">
        <v>39</v>
      </c>
      <c r="U1630" s="24" t="s">
        <v>39</v>
      </c>
      <c r="V1630" s="24" t="s">
        <v>39</v>
      </c>
      <c r="W1630" s="24"/>
      <c r="X1630" s="24"/>
      <c r="Y1630" s="15"/>
      <c r="Z1630" s="15"/>
      <c r="AA1630" s="24"/>
      <c r="AB1630" s="24"/>
      <c r="AC1630" s="24"/>
      <c r="AD1630" s="24"/>
      <c r="AE1630" s="24"/>
      <c r="AF1630" s="24"/>
      <c r="AG1630" s="24"/>
      <c r="AH1630" s="24"/>
    </row>
    <row r="1631" spans="1:34" ht="30" x14ac:dyDescent="0.25">
      <c r="A1631" s="24" t="str">
        <f>HYPERLINK("https://www.cpso.on.ca/DoctorDetails/Monica-Kathleen-Morris/0037269-51245","Morris, Monica Kathleen")</f>
        <v>Morris, Monica Kathleen</v>
      </c>
      <c r="B1631" s="25" t="s">
        <v>15451</v>
      </c>
      <c r="C1631" s="24" t="s">
        <v>3676</v>
      </c>
      <c r="D1631" s="24" t="s">
        <v>7959</v>
      </c>
      <c r="E1631" s="24" t="s">
        <v>29</v>
      </c>
      <c r="F1631" s="24" t="s">
        <v>47</v>
      </c>
      <c r="G1631" s="24" t="s">
        <v>31</v>
      </c>
      <c r="H1631" s="24" t="s">
        <v>1874</v>
      </c>
      <c r="I1631" s="24" t="s">
        <v>15452</v>
      </c>
      <c r="J1631" s="24" t="s">
        <v>15453</v>
      </c>
      <c r="K1631" s="24" t="s">
        <v>15454</v>
      </c>
      <c r="L1631" s="24" t="s">
        <v>52</v>
      </c>
      <c r="M1631" s="15" t="s">
        <v>15455</v>
      </c>
      <c r="N1631" s="15"/>
      <c r="O1631" s="15"/>
      <c r="P1631" s="15" t="s">
        <v>2864</v>
      </c>
      <c r="Q1631" s="15"/>
      <c r="R1631" s="15" t="s">
        <v>15456</v>
      </c>
      <c r="S1631" s="24" t="s">
        <v>39</v>
      </c>
      <c r="T1631" s="24" t="s">
        <v>39</v>
      </c>
      <c r="U1631" s="24" t="s">
        <v>39</v>
      </c>
      <c r="V1631" s="24" t="s">
        <v>39</v>
      </c>
      <c r="W1631" s="24"/>
      <c r="X1631" s="24"/>
      <c r="Y1631" s="15"/>
      <c r="Z1631" s="15"/>
      <c r="AA1631" s="24"/>
      <c r="AB1631" s="24"/>
      <c r="AC1631" s="24"/>
      <c r="AD1631" s="24"/>
      <c r="AE1631" s="24"/>
      <c r="AF1631" s="24"/>
      <c r="AG1631" s="24"/>
      <c r="AH1631" s="24"/>
    </row>
    <row r="1632" spans="1:34" ht="135" x14ac:dyDescent="0.25">
      <c r="A1632" s="24" t="str">
        <f>HYPERLINK("https://www.cpso.on.ca/DoctorDetails/Monica-Zavaloni-Scalco/0187893-77623","Scalco, Monica Zavaloni")</f>
        <v>Scalco, Monica Zavaloni</v>
      </c>
      <c r="B1632" s="25" t="s">
        <v>15457</v>
      </c>
      <c r="C1632" s="24" t="s">
        <v>1432</v>
      </c>
      <c r="D1632" s="24" t="s">
        <v>1433</v>
      </c>
      <c r="E1632" s="24" t="s">
        <v>29</v>
      </c>
      <c r="F1632" s="24" t="s">
        <v>47</v>
      </c>
      <c r="G1632" s="24" t="s">
        <v>468</v>
      </c>
      <c r="H1632" s="24" t="s">
        <v>4614</v>
      </c>
      <c r="I1632" s="24" t="s">
        <v>15458</v>
      </c>
      <c r="J1632" s="24" t="s">
        <v>15459</v>
      </c>
      <c r="K1632" s="24" t="s">
        <v>15460</v>
      </c>
      <c r="L1632" s="24" t="s">
        <v>52</v>
      </c>
      <c r="M1632" s="15"/>
      <c r="N1632" s="15"/>
      <c r="O1632" s="15" t="s">
        <v>1867</v>
      </c>
      <c r="P1632" s="15" t="s">
        <v>15461</v>
      </c>
      <c r="Q1632" s="15" t="s">
        <v>15462</v>
      </c>
      <c r="R1632" s="15" t="s">
        <v>15463</v>
      </c>
      <c r="S1632" s="24" t="s">
        <v>39</v>
      </c>
      <c r="T1632" s="24" t="s">
        <v>39</v>
      </c>
      <c r="U1632" s="24" t="s">
        <v>39</v>
      </c>
      <c r="V1632" s="24" t="s">
        <v>39</v>
      </c>
      <c r="W1632" s="24"/>
      <c r="X1632" s="24"/>
      <c r="Y1632" s="15"/>
      <c r="Z1632" s="15"/>
      <c r="AA1632" s="24"/>
      <c r="AB1632" s="24"/>
      <c r="AC1632" s="24"/>
      <c r="AD1632" s="24"/>
      <c r="AE1632" s="24"/>
      <c r="AF1632" s="24"/>
      <c r="AG1632" s="24"/>
      <c r="AH1632" s="24"/>
    </row>
    <row r="1633" spans="1:34" ht="120" x14ac:dyDescent="0.25">
      <c r="A1633" s="24" t="str">
        <f>HYPERLINK("https://www.cpso.on.ca/DoctorDetails/Monidipa-Ravi/0250295-88775","Ravi, Monidipa")</f>
        <v>Ravi, Monidipa</v>
      </c>
      <c r="B1633" s="25" t="s">
        <v>15464</v>
      </c>
      <c r="C1633" s="24" t="s">
        <v>15465</v>
      </c>
      <c r="D1633" s="24" t="s">
        <v>15466</v>
      </c>
      <c r="E1633" s="24" t="s">
        <v>15467</v>
      </c>
      <c r="F1633" s="24" t="s">
        <v>47</v>
      </c>
      <c r="G1633" s="24" t="s">
        <v>8438</v>
      </c>
      <c r="H1633" s="24" t="s">
        <v>3864</v>
      </c>
      <c r="I1633" s="24" t="s">
        <v>15468</v>
      </c>
      <c r="J1633" s="24" t="s">
        <v>14490</v>
      </c>
      <c r="K1633" s="24"/>
      <c r="L1633" s="24" t="s">
        <v>52</v>
      </c>
      <c r="M1633" s="15"/>
      <c r="N1633" s="15"/>
      <c r="O1633" s="15" t="s">
        <v>15469</v>
      </c>
      <c r="P1633" s="15" t="s">
        <v>15470</v>
      </c>
      <c r="Q1633" s="15" t="s">
        <v>15471</v>
      </c>
      <c r="R1633" s="15" t="s">
        <v>15472</v>
      </c>
      <c r="S1633" s="24" t="s">
        <v>39</v>
      </c>
      <c r="T1633" s="24" t="s">
        <v>39</v>
      </c>
      <c r="U1633" s="24" t="s">
        <v>39</v>
      </c>
      <c r="V1633" s="24" t="s">
        <v>39</v>
      </c>
      <c r="W1633" s="24" t="s">
        <v>15473</v>
      </c>
      <c r="X1633" s="24" t="s">
        <v>15474</v>
      </c>
      <c r="Y1633" s="15" t="s">
        <v>15475</v>
      </c>
      <c r="Z1633" s="15" t="s">
        <v>15476</v>
      </c>
      <c r="AA1633" s="24"/>
      <c r="AB1633" s="24"/>
      <c r="AC1633" s="24"/>
      <c r="AD1633" s="24"/>
      <c r="AE1633" s="24"/>
      <c r="AF1633" s="24"/>
      <c r="AG1633" s="24"/>
      <c r="AH1633" s="24"/>
    </row>
    <row r="1634" spans="1:34" ht="30" x14ac:dyDescent="0.25">
      <c r="A1634" s="24" t="str">
        <f>HYPERLINK("https://www.cpso.on.ca/DoctorDetails/Monte-Howell-Bail/0041055-55031","Bail, Monte Howell")</f>
        <v>Bail, Monte Howell</v>
      </c>
      <c r="B1634" s="25" t="s">
        <v>15477</v>
      </c>
      <c r="C1634" s="24" t="s">
        <v>15478</v>
      </c>
      <c r="D1634" s="24" t="s">
        <v>15479</v>
      </c>
      <c r="E1634" s="24" t="s">
        <v>29</v>
      </c>
      <c r="F1634" s="24" t="s">
        <v>30</v>
      </c>
      <c r="G1634" s="24" t="s">
        <v>31</v>
      </c>
      <c r="H1634" s="24" t="s">
        <v>15480</v>
      </c>
      <c r="I1634" s="24" t="s">
        <v>15481</v>
      </c>
      <c r="J1634" s="24" t="s">
        <v>15482</v>
      </c>
      <c r="K1634" s="24" t="s">
        <v>15483</v>
      </c>
      <c r="L1634" s="24" t="s">
        <v>52</v>
      </c>
      <c r="M1634" s="15"/>
      <c r="N1634" s="15"/>
      <c r="O1634" s="15" t="s">
        <v>15484</v>
      </c>
      <c r="P1634" s="15" t="s">
        <v>5402</v>
      </c>
      <c r="Q1634" s="15" t="s">
        <v>5261</v>
      </c>
      <c r="R1634" s="15" t="s">
        <v>15485</v>
      </c>
      <c r="S1634" s="24" t="s">
        <v>39</v>
      </c>
      <c r="T1634" s="24" t="s">
        <v>39</v>
      </c>
      <c r="U1634" s="24" t="s">
        <v>39</v>
      </c>
      <c r="V1634" s="24" t="s">
        <v>39</v>
      </c>
      <c r="W1634" s="24"/>
      <c r="X1634" s="24"/>
      <c r="Y1634" s="15"/>
      <c r="Z1634" s="15"/>
      <c r="AA1634" s="24"/>
      <c r="AB1634" s="24"/>
      <c r="AC1634" s="24"/>
      <c r="AD1634" s="24"/>
      <c r="AE1634" s="24"/>
      <c r="AF1634" s="24"/>
      <c r="AG1634" s="24"/>
      <c r="AH1634" s="24"/>
    </row>
    <row r="1635" spans="1:34" x14ac:dyDescent="0.25">
      <c r="A1635" s="24" t="str">
        <f>HYPERLINK("https://www.cpso.on.ca/DoctorDetails/Mortimer-Mamelak/0019498-24285","Mamelak, Mortimer")</f>
        <v>Mamelak, Mortimer</v>
      </c>
      <c r="B1635" s="25" t="s">
        <v>15486</v>
      </c>
      <c r="C1635" s="24" t="s">
        <v>15487</v>
      </c>
      <c r="D1635" s="24" t="s">
        <v>15488</v>
      </c>
      <c r="E1635" s="24" t="s">
        <v>29</v>
      </c>
      <c r="F1635" s="24" t="s">
        <v>30</v>
      </c>
      <c r="G1635" s="24" t="s">
        <v>31</v>
      </c>
      <c r="H1635" s="24" t="s">
        <v>15489</v>
      </c>
      <c r="I1635" s="24" t="s">
        <v>15490</v>
      </c>
      <c r="J1635" s="24" t="s">
        <v>15491</v>
      </c>
      <c r="K1635" s="24" t="s">
        <v>15492</v>
      </c>
      <c r="L1635" s="24" t="s">
        <v>52</v>
      </c>
      <c r="M1635" s="15" t="s">
        <v>15493</v>
      </c>
      <c r="N1635" s="15"/>
      <c r="O1635" s="15" t="s">
        <v>3921</v>
      </c>
      <c r="P1635" s="15" t="s">
        <v>4894</v>
      </c>
      <c r="Q1635" s="15"/>
      <c r="R1635" s="15" t="s">
        <v>15494</v>
      </c>
      <c r="S1635" s="24" t="s">
        <v>39</v>
      </c>
      <c r="T1635" s="24" t="s">
        <v>39</v>
      </c>
      <c r="U1635" s="24" t="s">
        <v>39</v>
      </c>
      <c r="V1635" s="24" t="s">
        <v>39</v>
      </c>
      <c r="W1635" s="24"/>
      <c r="X1635" s="24"/>
      <c r="Y1635" s="15"/>
      <c r="Z1635" s="15"/>
      <c r="AA1635" s="24"/>
      <c r="AB1635" s="24"/>
      <c r="AC1635" s="24"/>
      <c r="AD1635" s="24"/>
      <c r="AE1635" s="24"/>
      <c r="AF1635" s="24"/>
      <c r="AG1635" s="24"/>
      <c r="AH1635" s="24"/>
    </row>
    <row r="1636" spans="1:34" x14ac:dyDescent="0.25">
      <c r="A1636" s="24" t="str">
        <f>HYPERLINK("https://www.cpso.on.ca/DoctorDetails/Morton-Beiser/0050708-64687","Beiser, Morton")</f>
        <v>Beiser, Morton</v>
      </c>
      <c r="B1636" s="25" t="s">
        <v>15495</v>
      </c>
      <c r="C1636" s="24" t="s">
        <v>15496</v>
      </c>
      <c r="D1636" s="24" t="s">
        <v>15497</v>
      </c>
      <c r="E1636" s="24" t="s">
        <v>29</v>
      </c>
      <c r="F1636" s="24" t="s">
        <v>30</v>
      </c>
      <c r="G1636" s="24" t="s">
        <v>31</v>
      </c>
      <c r="H1636" s="24" t="s">
        <v>8115</v>
      </c>
      <c r="I1636" s="24" t="s">
        <v>15498</v>
      </c>
      <c r="J1636" s="24" t="s">
        <v>15499</v>
      </c>
      <c r="K1636" s="24"/>
      <c r="L1636" s="24" t="s">
        <v>52</v>
      </c>
      <c r="M1636" s="15"/>
      <c r="N1636" s="15"/>
      <c r="O1636" s="15" t="s">
        <v>219</v>
      </c>
      <c r="P1636" s="15" t="s">
        <v>15500</v>
      </c>
      <c r="Q1636" s="15"/>
      <c r="R1636" s="15" t="s">
        <v>15501</v>
      </c>
      <c r="S1636" s="24" t="s">
        <v>39</v>
      </c>
      <c r="T1636" s="24" t="s">
        <v>39</v>
      </c>
      <c r="U1636" s="24" t="s">
        <v>39</v>
      </c>
      <c r="V1636" s="24" t="s">
        <v>39</v>
      </c>
      <c r="W1636" s="24"/>
      <c r="X1636" s="24"/>
      <c r="Y1636" s="15"/>
      <c r="Z1636" s="15"/>
      <c r="AA1636" s="24"/>
      <c r="AB1636" s="24"/>
      <c r="AC1636" s="24"/>
      <c r="AD1636" s="24"/>
      <c r="AE1636" s="24"/>
      <c r="AF1636" s="24"/>
      <c r="AG1636" s="24"/>
      <c r="AH1636" s="24"/>
    </row>
    <row r="1637" spans="1:34" ht="75" x14ac:dyDescent="0.25">
      <c r="A1637" s="24" t="str">
        <f>HYPERLINK("https://www.cpso.on.ca/DoctorDetails/Moshieve-Febin-Edwin/0307733-108701","Edwin, Moshieve Febin")</f>
        <v>Edwin, Moshieve Febin</v>
      </c>
      <c r="B1637" s="25" t="s">
        <v>15502</v>
      </c>
      <c r="C1637" s="24" t="s">
        <v>15503</v>
      </c>
      <c r="D1637" s="24" t="s">
        <v>15504</v>
      </c>
      <c r="E1637" s="24" t="s">
        <v>29</v>
      </c>
      <c r="F1637" s="24" t="s">
        <v>30</v>
      </c>
      <c r="G1637" s="24" t="s">
        <v>31</v>
      </c>
      <c r="H1637" s="24" t="s">
        <v>15505</v>
      </c>
      <c r="I1637" s="24" t="s">
        <v>15506</v>
      </c>
      <c r="J1637" s="24" t="s">
        <v>992</v>
      </c>
      <c r="K1637" s="24"/>
      <c r="L1637" s="24" t="s">
        <v>84</v>
      </c>
      <c r="M1637" s="15"/>
      <c r="N1637" s="15"/>
      <c r="O1637" s="15"/>
      <c r="P1637" s="15" t="s">
        <v>3512</v>
      </c>
      <c r="Q1637" s="15"/>
      <c r="R1637" s="15" t="s">
        <v>15507</v>
      </c>
      <c r="S1637" s="24" t="s">
        <v>39</v>
      </c>
      <c r="T1637" s="24" t="s">
        <v>39</v>
      </c>
      <c r="U1637" s="24" t="s">
        <v>39</v>
      </c>
      <c r="V1637" s="24" t="s">
        <v>39</v>
      </c>
      <c r="W1637" s="24" t="s">
        <v>15508</v>
      </c>
      <c r="X1637" s="24" t="s">
        <v>15509</v>
      </c>
      <c r="Y1637" s="15" t="s">
        <v>15510</v>
      </c>
      <c r="Z1637" s="15" t="s">
        <v>15511</v>
      </c>
      <c r="AA1637" s="24"/>
      <c r="AB1637" s="24"/>
      <c r="AC1637" s="24"/>
      <c r="AD1637" s="24"/>
      <c r="AE1637" s="24"/>
      <c r="AF1637" s="24"/>
      <c r="AG1637" s="24"/>
      <c r="AH1637" s="24"/>
    </row>
    <row r="1638" spans="1:34" ht="45" x14ac:dyDescent="0.25">
      <c r="A1638" s="24" t="str">
        <f>HYPERLINK("https://www.cpso.on.ca/DoctorDetails/Mostafa-Showraki/0050439-64418","Showraki, Mostafa")</f>
        <v>Showraki, Mostafa</v>
      </c>
      <c r="B1638" s="25" t="s">
        <v>15512</v>
      </c>
      <c r="C1638" s="24" t="s">
        <v>15513</v>
      </c>
      <c r="D1638" s="24" t="s">
        <v>15514</v>
      </c>
      <c r="E1638" s="24" t="s">
        <v>29</v>
      </c>
      <c r="F1638" s="24" t="s">
        <v>30</v>
      </c>
      <c r="G1638" s="24" t="s">
        <v>2579</v>
      </c>
      <c r="H1638" s="24" t="s">
        <v>15515</v>
      </c>
      <c r="I1638" s="24" t="s">
        <v>15516</v>
      </c>
      <c r="J1638" s="24" t="s">
        <v>15517</v>
      </c>
      <c r="K1638" s="24" t="s">
        <v>15518</v>
      </c>
      <c r="L1638" s="24" t="s">
        <v>36</v>
      </c>
      <c r="M1638" s="15" t="s">
        <v>15519</v>
      </c>
      <c r="N1638" s="15"/>
      <c r="O1638" s="15"/>
      <c r="P1638" s="15" t="s">
        <v>9163</v>
      </c>
      <c r="Q1638" s="15"/>
      <c r="R1638" s="15" t="s">
        <v>15520</v>
      </c>
      <c r="S1638" s="24" t="s">
        <v>39</v>
      </c>
      <c r="T1638" s="24" t="s">
        <v>39</v>
      </c>
      <c r="U1638" s="24" t="s">
        <v>39</v>
      </c>
      <c r="V1638" s="24" t="s">
        <v>39</v>
      </c>
      <c r="W1638" s="24"/>
      <c r="X1638" s="24"/>
      <c r="Y1638" s="15"/>
      <c r="Z1638" s="15"/>
      <c r="AA1638" s="24"/>
      <c r="AB1638" s="24"/>
      <c r="AC1638" s="24"/>
      <c r="AD1638" s="24"/>
      <c r="AE1638" s="24"/>
      <c r="AF1638" s="24"/>
      <c r="AG1638" s="24"/>
      <c r="AH1638" s="24"/>
    </row>
    <row r="1639" spans="1:34" ht="90" x14ac:dyDescent="0.25">
      <c r="A1639" s="24" t="str">
        <f>HYPERLINK("https://www.cpso.on.ca/DoctorDetails/Moustafa-Reyad-Ibrahim-Eid/0256826-90712","Eid, Moustafa Reyad Ibrahim")</f>
        <v>Eid, Moustafa Reyad Ibrahim</v>
      </c>
      <c r="B1639" s="25" t="s">
        <v>15521</v>
      </c>
      <c r="C1639" s="24" t="s">
        <v>442</v>
      </c>
      <c r="D1639" s="24" t="s">
        <v>600</v>
      </c>
      <c r="E1639" s="24" t="s">
        <v>29</v>
      </c>
      <c r="F1639" s="24" t="s">
        <v>30</v>
      </c>
      <c r="G1639" s="24" t="s">
        <v>105</v>
      </c>
      <c r="H1639" s="24" t="s">
        <v>15522</v>
      </c>
      <c r="I1639" s="24" t="s">
        <v>15523</v>
      </c>
      <c r="J1639" s="24" t="s">
        <v>15524</v>
      </c>
      <c r="K1639" s="24" t="s">
        <v>15525</v>
      </c>
      <c r="L1639" s="24" t="s">
        <v>340</v>
      </c>
      <c r="M1639" s="15" t="s">
        <v>15526</v>
      </c>
      <c r="N1639" s="15"/>
      <c r="O1639" s="15" t="s">
        <v>2972</v>
      </c>
      <c r="P1639" s="15" t="s">
        <v>272</v>
      </c>
      <c r="Q1639" s="15" t="s">
        <v>15527</v>
      </c>
      <c r="R1639" s="15" t="s">
        <v>15528</v>
      </c>
      <c r="S1639" s="24" t="s">
        <v>39</v>
      </c>
      <c r="T1639" s="24" t="s">
        <v>39</v>
      </c>
      <c r="U1639" s="24" t="s">
        <v>39</v>
      </c>
      <c r="V1639" s="24" t="s">
        <v>39</v>
      </c>
      <c r="W1639" s="24" t="s">
        <v>15529</v>
      </c>
      <c r="X1639" s="24" t="s">
        <v>15530</v>
      </c>
      <c r="Y1639" s="15"/>
      <c r="Z1639" s="15"/>
      <c r="AA1639" s="24"/>
      <c r="AB1639" s="24"/>
      <c r="AC1639" s="24"/>
      <c r="AD1639" s="24"/>
      <c r="AE1639" s="24"/>
      <c r="AF1639" s="24"/>
      <c r="AG1639" s="24"/>
      <c r="AH1639" s="24"/>
    </row>
    <row r="1640" spans="1:34" ht="60" x14ac:dyDescent="0.25">
      <c r="A1640" s="24" t="str">
        <f>HYPERLINK("https://www.cpso.on.ca/DoctorDetails/Muhammad-Ayub/0281773-100143","Ayub, Muhammad")</f>
        <v>Ayub, Muhammad</v>
      </c>
      <c r="B1640" s="25" t="s">
        <v>15531</v>
      </c>
      <c r="C1640" s="24" t="s">
        <v>15532</v>
      </c>
      <c r="D1640" s="24" t="s">
        <v>15533</v>
      </c>
      <c r="E1640" s="24" t="s">
        <v>29</v>
      </c>
      <c r="F1640" s="24" t="s">
        <v>30</v>
      </c>
      <c r="G1640" s="24" t="s">
        <v>2425</v>
      </c>
      <c r="H1640" s="24" t="s">
        <v>15534</v>
      </c>
      <c r="I1640" s="24" t="s">
        <v>15535</v>
      </c>
      <c r="J1640" s="24" t="s">
        <v>4196</v>
      </c>
      <c r="K1640" s="24" t="s">
        <v>4197</v>
      </c>
      <c r="L1640" s="24" t="s">
        <v>340</v>
      </c>
      <c r="M1640" s="15"/>
      <c r="N1640" s="15" t="s">
        <v>15536</v>
      </c>
      <c r="O1640" s="15" t="s">
        <v>15537</v>
      </c>
      <c r="P1640" s="15" t="s">
        <v>15538</v>
      </c>
      <c r="Q1640" s="15"/>
      <c r="R1640" s="15" t="s">
        <v>15539</v>
      </c>
      <c r="S1640" s="24" t="s">
        <v>71</v>
      </c>
      <c r="T1640" s="24" t="s">
        <v>39</v>
      </c>
      <c r="U1640" s="24" t="s">
        <v>39</v>
      </c>
      <c r="V1640" s="24" t="s">
        <v>39</v>
      </c>
      <c r="W1640" s="24" t="s">
        <v>15540</v>
      </c>
      <c r="X1640" s="24" t="s">
        <v>15541</v>
      </c>
      <c r="Y1640" s="15" t="s">
        <v>15542</v>
      </c>
      <c r="Z1640" s="15" t="s">
        <v>15543</v>
      </c>
      <c r="AA1640" s="24"/>
      <c r="AB1640" s="24"/>
      <c r="AC1640" s="24"/>
      <c r="AD1640" s="24"/>
      <c r="AE1640" s="24"/>
      <c r="AF1640" s="24"/>
      <c r="AG1640" s="24"/>
      <c r="AH1640" s="24"/>
    </row>
    <row r="1641" spans="1:34" ht="45" x14ac:dyDescent="0.25">
      <c r="A1641" s="24" t="str">
        <f>HYPERLINK("https://www.cpso.on.ca/DoctorDetails/Muhammad-Azam-Khan/0313034-111244","Khan, Muhammad Azam")</f>
        <v>Khan, Muhammad Azam</v>
      </c>
      <c r="B1641" s="25" t="s">
        <v>15544</v>
      </c>
      <c r="C1641" s="24" t="s">
        <v>15545</v>
      </c>
      <c r="D1641" s="24" t="s">
        <v>15546</v>
      </c>
      <c r="E1641" s="24" t="s">
        <v>29</v>
      </c>
      <c r="F1641" s="24" t="s">
        <v>30</v>
      </c>
      <c r="G1641" s="24" t="s">
        <v>1445</v>
      </c>
      <c r="H1641" s="24" t="s">
        <v>15547</v>
      </c>
      <c r="I1641" s="24" t="s">
        <v>15548</v>
      </c>
      <c r="J1641" s="24" t="s">
        <v>15549</v>
      </c>
      <c r="K1641" s="24"/>
      <c r="L1641" s="24" t="s">
        <v>65</v>
      </c>
      <c r="M1641" s="15" t="s">
        <v>15550</v>
      </c>
      <c r="N1641" s="15" t="s">
        <v>15551</v>
      </c>
      <c r="O1641" s="15"/>
      <c r="P1641" s="15" t="s">
        <v>15552</v>
      </c>
      <c r="Q1641" s="15"/>
      <c r="R1641" s="15" t="s">
        <v>15553</v>
      </c>
      <c r="S1641" s="24" t="s">
        <v>71</v>
      </c>
      <c r="T1641" s="24" t="s">
        <v>39</v>
      </c>
      <c r="U1641" s="24" t="s">
        <v>39</v>
      </c>
      <c r="V1641" s="24" t="s">
        <v>39</v>
      </c>
      <c r="W1641" s="24" t="s">
        <v>15554</v>
      </c>
      <c r="X1641" s="24" t="s">
        <v>15555</v>
      </c>
      <c r="Y1641" s="15" t="s">
        <v>15556</v>
      </c>
      <c r="Z1641" s="15" t="s">
        <v>15557</v>
      </c>
      <c r="AA1641" s="24"/>
      <c r="AB1641" s="24"/>
      <c r="AC1641" s="24"/>
      <c r="AD1641" s="24"/>
      <c r="AE1641" s="24"/>
      <c r="AF1641" s="24"/>
      <c r="AG1641" s="24"/>
      <c r="AH1641" s="24"/>
    </row>
    <row r="1642" spans="1:34" ht="30" x14ac:dyDescent="0.25">
      <c r="A1642" s="24" t="str">
        <f>HYPERLINK("https://www.cpso.on.ca/DoctorDetails/Muhammad-Ghalib/0325634-116809","Ghalib, Muhammad")</f>
        <v>Ghalib, Muhammad</v>
      </c>
      <c r="B1642" s="25" t="s">
        <v>15558</v>
      </c>
      <c r="C1642" s="24" t="s">
        <v>1891</v>
      </c>
      <c r="D1642" s="24" t="s">
        <v>15559</v>
      </c>
      <c r="E1642" s="24" t="s">
        <v>29</v>
      </c>
      <c r="F1642" s="24" t="s">
        <v>30</v>
      </c>
      <c r="G1642" s="24" t="s">
        <v>31</v>
      </c>
      <c r="H1642" s="24" t="s">
        <v>15560</v>
      </c>
      <c r="I1642" s="24" t="s">
        <v>107</v>
      </c>
      <c r="J1642" s="24"/>
      <c r="K1642" s="24"/>
      <c r="L1642" s="24"/>
      <c r="M1642" s="15"/>
      <c r="N1642" s="15"/>
      <c r="O1642" s="15"/>
      <c r="P1642" s="15" t="s">
        <v>4909</v>
      </c>
      <c r="Q1642" s="15"/>
      <c r="R1642" s="15" t="s">
        <v>15561</v>
      </c>
      <c r="S1642" s="24" t="s">
        <v>71</v>
      </c>
      <c r="T1642" s="24" t="s">
        <v>39</v>
      </c>
      <c r="U1642" s="24" t="s">
        <v>39</v>
      </c>
      <c r="V1642" s="24" t="s">
        <v>39</v>
      </c>
      <c r="W1642" s="24"/>
      <c r="X1642" s="24"/>
      <c r="Y1642" s="15"/>
      <c r="Z1642" s="15"/>
      <c r="AA1642" s="24"/>
      <c r="AB1642" s="24"/>
      <c r="AC1642" s="24"/>
      <c r="AD1642" s="24"/>
      <c r="AE1642" s="24"/>
      <c r="AF1642" s="24"/>
      <c r="AG1642" s="24"/>
      <c r="AH1642" s="24"/>
    </row>
    <row r="1643" spans="1:34" ht="45" x14ac:dyDescent="0.25">
      <c r="A1643" s="24" t="str">
        <f>HYPERLINK("https://www.cpso.on.ca/DoctorDetails/Muhammad-Ishrat-Husain/0320046-114155","Husain, Muhammad Ishrat")</f>
        <v>Husain, Muhammad Ishrat</v>
      </c>
      <c r="B1643" s="25" t="s">
        <v>15562</v>
      </c>
      <c r="C1643" s="24" t="s">
        <v>15563</v>
      </c>
      <c r="D1643" s="24" t="s">
        <v>15564</v>
      </c>
      <c r="E1643" s="24" t="s">
        <v>29</v>
      </c>
      <c r="F1643" s="24" t="s">
        <v>30</v>
      </c>
      <c r="G1643" s="24" t="s">
        <v>1445</v>
      </c>
      <c r="H1643" s="24" t="s">
        <v>15565</v>
      </c>
      <c r="I1643" s="24" t="s">
        <v>15566</v>
      </c>
      <c r="J1643" s="24" t="s">
        <v>15567</v>
      </c>
      <c r="K1643" s="24"/>
      <c r="L1643" s="24" t="s">
        <v>52</v>
      </c>
      <c r="M1643" s="15"/>
      <c r="N1643" s="15"/>
      <c r="O1643" s="15"/>
      <c r="P1643" s="15" t="s">
        <v>15568</v>
      </c>
      <c r="Q1643" s="15"/>
      <c r="R1643" s="15" t="s">
        <v>15569</v>
      </c>
      <c r="S1643" s="24" t="s">
        <v>71</v>
      </c>
      <c r="T1643" s="24" t="s">
        <v>39</v>
      </c>
      <c r="U1643" s="24" t="s">
        <v>39</v>
      </c>
      <c r="V1643" s="24" t="s">
        <v>39</v>
      </c>
      <c r="W1643" s="24"/>
      <c r="X1643" s="24"/>
      <c r="Y1643" s="15"/>
      <c r="Z1643" s="15"/>
      <c r="AA1643" s="24"/>
      <c r="AB1643" s="24"/>
      <c r="AC1643" s="24"/>
      <c r="AD1643" s="24"/>
      <c r="AE1643" s="24"/>
      <c r="AF1643" s="24"/>
      <c r="AG1643" s="24"/>
      <c r="AH1643" s="24"/>
    </row>
    <row r="1644" spans="1:34" ht="45" x14ac:dyDescent="0.25">
      <c r="A1644" s="24" t="str">
        <f>HYPERLINK("https://www.cpso.on.ca/DoctorDetails/Muhammad-Nasar-Sayeed-Khan/0308730-108685","Khan, Muhammad Nasar Sayeed")</f>
        <v>Khan, Muhammad Nasar Sayeed</v>
      </c>
      <c r="B1644" s="25" t="s">
        <v>15570</v>
      </c>
      <c r="C1644" s="24" t="s">
        <v>15571</v>
      </c>
      <c r="D1644" s="24" t="s">
        <v>15572</v>
      </c>
      <c r="E1644" s="24" t="s">
        <v>29</v>
      </c>
      <c r="F1644" s="24" t="s">
        <v>30</v>
      </c>
      <c r="G1644" s="24" t="s">
        <v>2425</v>
      </c>
      <c r="H1644" s="24" t="s">
        <v>15573</v>
      </c>
      <c r="I1644" s="24" t="s">
        <v>15574</v>
      </c>
      <c r="J1644" s="24" t="s">
        <v>15575</v>
      </c>
      <c r="K1644" s="24" t="s">
        <v>15576</v>
      </c>
      <c r="L1644" s="24" t="s">
        <v>340</v>
      </c>
      <c r="M1644" s="15" t="s">
        <v>15577</v>
      </c>
      <c r="N1644" s="15" t="s">
        <v>15578</v>
      </c>
      <c r="O1644" s="15" t="s">
        <v>1122</v>
      </c>
      <c r="P1644" s="15" t="s">
        <v>15579</v>
      </c>
      <c r="Q1644" s="15"/>
      <c r="R1644" s="15" t="s">
        <v>15580</v>
      </c>
      <c r="S1644" s="24" t="s">
        <v>71</v>
      </c>
      <c r="T1644" s="24" t="s">
        <v>39</v>
      </c>
      <c r="U1644" s="24" t="s">
        <v>39</v>
      </c>
      <c r="V1644" s="24" t="s">
        <v>39</v>
      </c>
      <c r="W1644" s="24" t="s">
        <v>15581</v>
      </c>
      <c r="X1644" s="24" t="s">
        <v>15582</v>
      </c>
      <c r="Y1644" s="15" t="s">
        <v>15583</v>
      </c>
      <c r="Z1644" s="15" t="s">
        <v>15584</v>
      </c>
      <c r="AA1644" s="24"/>
      <c r="AB1644" s="24"/>
      <c r="AC1644" s="24"/>
      <c r="AD1644" s="24"/>
      <c r="AE1644" s="24"/>
      <c r="AF1644" s="24"/>
      <c r="AG1644" s="24"/>
      <c r="AH1644" s="24"/>
    </row>
    <row r="1645" spans="1:34" x14ac:dyDescent="0.25">
      <c r="A1645" s="24" t="str">
        <f>HYPERLINK("https://www.cpso.on.ca/DoctorDetails/Muhammad-Razi-Uddin-Sayeed/0248833-89627","Sayeed, Muhammad Razi Uddin")</f>
        <v>Sayeed, Muhammad Razi Uddin</v>
      </c>
      <c r="B1645" s="25" t="s">
        <v>15585</v>
      </c>
      <c r="C1645" s="24" t="s">
        <v>15586</v>
      </c>
      <c r="D1645" s="24" t="s">
        <v>15587</v>
      </c>
      <c r="E1645" s="24" t="s">
        <v>29</v>
      </c>
      <c r="F1645" s="24" t="s">
        <v>30</v>
      </c>
      <c r="G1645" s="24" t="s">
        <v>11579</v>
      </c>
      <c r="H1645" s="24" t="s">
        <v>15588</v>
      </c>
      <c r="I1645" s="24" t="s">
        <v>15589</v>
      </c>
      <c r="J1645" s="24" t="s">
        <v>588</v>
      </c>
      <c r="K1645" s="24" t="s">
        <v>589</v>
      </c>
      <c r="L1645" s="24" t="s">
        <v>36</v>
      </c>
      <c r="M1645" s="15"/>
      <c r="N1645" s="15"/>
      <c r="O1645" s="15" t="s">
        <v>833</v>
      </c>
      <c r="P1645" s="15" t="s">
        <v>1136</v>
      </c>
      <c r="Q1645" s="15"/>
      <c r="R1645" s="15" t="s">
        <v>15590</v>
      </c>
      <c r="S1645" s="24" t="s">
        <v>39</v>
      </c>
      <c r="T1645" s="24" t="s">
        <v>39</v>
      </c>
      <c r="U1645" s="24" t="s">
        <v>39</v>
      </c>
      <c r="V1645" s="24" t="s">
        <v>39</v>
      </c>
      <c r="W1645" s="24" t="s">
        <v>15591</v>
      </c>
      <c r="X1645" s="24" t="s">
        <v>15592</v>
      </c>
      <c r="Y1645" s="15" t="s">
        <v>15593</v>
      </c>
      <c r="Z1645" s="15" t="s">
        <v>15594</v>
      </c>
      <c r="AA1645" s="24"/>
      <c r="AB1645" s="24"/>
      <c r="AC1645" s="24"/>
      <c r="AD1645" s="24"/>
      <c r="AE1645" s="24"/>
      <c r="AF1645" s="24"/>
      <c r="AG1645" s="24"/>
      <c r="AH1645" s="24"/>
    </row>
    <row r="1646" spans="1:34" ht="105" x14ac:dyDescent="0.25">
      <c r="A1646" s="24" t="str">
        <f>HYPERLINK("https://www.cpso.on.ca/DoctorDetails/Muhammad-Saleem-Akhtar/0307454-110284","Akhtar, Muhammad Saleem")</f>
        <v>Akhtar, Muhammad Saleem</v>
      </c>
      <c r="B1646" s="25" t="s">
        <v>15595</v>
      </c>
      <c r="C1646" s="24" t="s">
        <v>15596</v>
      </c>
      <c r="D1646" s="24" t="s">
        <v>15597</v>
      </c>
      <c r="E1646" s="24" t="s">
        <v>29</v>
      </c>
      <c r="F1646" s="24" t="s">
        <v>30</v>
      </c>
      <c r="G1646" s="24" t="s">
        <v>61</v>
      </c>
      <c r="H1646" s="24" t="s">
        <v>2559</v>
      </c>
      <c r="I1646" s="24" t="s">
        <v>15598</v>
      </c>
      <c r="J1646" s="24" t="s">
        <v>15599</v>
      </c>
      <c r="K1646" s="24" t="s">
        <v>15600</v>
      </c>
      <c r="L1646" s="24" t="s">
        <v>65</v>
      </c>
      <c r="M1646" s="15" t="s">
        <v>15601</v>
      </c>
      <c r="N1646" s="15" t="s">
        <v>10174</v>
      </c>
      <c r="O1646" s="15"/>
      <c r="P1646" s="15" t="s">
        <v>3603</v>
      </c>
      <c r="Q1646" s="15"/>
      <c r="R1646" s="15" t="s">
        <v>15602</v>
      </c>
      <c r="S1646" s="24" t="s">
        <v>71</v>
      </c>
      <c r="T1646" s="24" t="s">
        <v>39</v>
      </c>
      <c r="U1646" s="24" t="s">
        <v>39</v>
      </c>
      <c r="V1646" s="24" t="s">
        <v>39</v>
      </c>
      <c r="W1646" s="24" t="s">
        <v>15603</v>
      </c>
      <c r="X1646" s="24" t="s">
        <v>2282</v>
      </c>
      <c r="Y1646" s="15" t="s">
        <v>15604</v>
      </c>
      <c r="Z1646" s="15" t="s">
        <v>15605</v>
      </c>
      <c r="AA1646" s="24"/>
      <c r="AB1646" s="24"/>
      <c r="AC1646" s="24"/>
      <c r="AD1646" s="24"/>
      <c r="AE1646" s="24"/>
      <c r="AF1646" s="24"/>
      <c r="AG1646" s="24"/>
      <c r="AH1646" s="24"/>
    </row>
    <row r="1647" spans="1:34" ht="75" x14ac:dyDescent="0.25">
      <c r="A1647" s="24" t="str">
        <f>HYPERLINK("https://www.cpso.on.ca/DoctorDetails/Muhammed-Shahid-Aziz/0036127-50103","Aziz, Muhammed Shahid")</f>
        <v>Aziz, Muhammed Shahid</v>
      </c>
      <c r="B1647" s="25" t="s">
        <v>15606</v>
      </c>
      <c r="C1647" s="24" t="s">
        <v>15607</v>
      </c>
      <c r="D1647" s="24" t="s">
        <v>15608</v>
      </c>
      <c r="E1647" s="24" t="s">
        <v>29</v>
      </c>
      <c r="F1647" s="24" t="s">
        <v>30</v>
      </c>
      <c r="G1647" s="24" t="s">
        <v>1445</v>
      </c>
      <c r="H1647" s="24" t="s">
        <v>15609</v>
      </c>
      <c r="I1647" s="24" t="s">
        <v>15610</v>
      </c>
      <c r="J1647" s="24" t="s">
        <v>15611</v>
      </c>
      <c r="K1647" s="24"/>
      <c r="L1647" s="24" t="s">
        <v>184</v>
      </c>
      <c r="M1647" s="15" t="s">
        <v>15612</v>
      </c>
      <c r="N1647" s="15"/>
      <c r="O1647" s="15" t="s">
        <v>15613</v>
      </c>
      <c r="P1647" s="15" t="s">
        <v>5827</v>
      </c>
      <c r="Q1647" s="15" t="s">
        <v>15614</v>
      </c>
      <c r="R1647" s="15" t="s">
        <v>15615</v>
      </c>
      <c r="S1647" s="24" t="s">
        <v>39</v>
      </c>
      <c r="T1647" s="24" t="s">
        <v>39</v>
      </c>
      <c r="U1647" s="24" t="s">
        <v>39</v>
      </c>
      <c r="V1647" s="24" t="s">
        <v>39</v>
      </c>
      <c r="W1647" s="24" t="s">
        <v>15616</v>
      </c>
      <c r="X1647" s="24" t="s">
        <v>15617</v>
      </c>
      <c r="Y1647" s="15" t="s">
        <v>15618</v>
      </c>
      <c r="Z1647" s="15" t="s">
        <v>15619</v>
      </c>
      <c r="AA1647" s="24"/>
      <c r="AB1647" s="24"/>
      <c r="AC1647" s="24"/>
      <c r="AD1647" s="24"/>
      <c r="AE1647" s="24"/>
      <c r="AF1647" s="24"/>
      <c r="AG1647" s="24"/>
      <c r="AH1647" s="24"/>
    </row>
    <row r="1648" spans="1:34" ht="45" x14ac:dyDescent="0.25">
      <c r="A1648" s="24" t="str">
        <f>HYPERLINK("https://www.cpso.on.ca/DoctorDetails/Muhammed-Zakaria/0039241-53217","Zakaria, Muhammed")</f>
        <v>Zakaria, Muhammed</v>
      </c>
      <c r="B1648" s="25" t="s">
        <v>15620</v>
      </c>
      <c r="C1648" s="24" t="s">
        <v>15621</v>
      </c>
      <c r="D1648" s="24" t="s">
        <v>15622</v>
      </c>
      <c r="E1648" s="24" t="s">
        <v>29</v>
      </c>
      <c r="F1648" s="24" t="s">
        <v>30</v>
      </c>
      <c r="G1648" s="24" t="s">
        <v>8438</v>
      </c>
      <c r="H1648" s="24" t="s">
        <v>8439</v>
      </c>
      <c r="I1648" s="24" t="s">
        <v>15623</v>
      </c>
      <c r="J1648" s="24" t="s">
        <v>616</v>
      </c>
      <c r="K1648" s="24" t="s">
        <v>4082</v>
      </c>
      <c r="L1648" s="24" t="s">
        <v>36</v>
      </c>
      <c r="M1648" s="15"/>
      <c r="N1648" s="15"/>
      <c r="O1648" s="15" t="s">
        <v>1691</v>
      </c>
      <c r="P1648" s="15" t="s">
        <v>808</v>
      </c>
      <c r="Q1648" s="15"/>
      <c r="R1648" s="15" t="s">
        <v>15624</v>
      </c>
      <c r="S1648" s="24" t="s">
        <v>39</v>
      </c>
      <c r="T1648" s="24" t="s">
        <v>39</v>
      </c>
      <c r="U1648" s="24" t="s">
        <v>39</v>
      </c>
      <c r="V1648" s="24" t="s">
        <v>39</v>
      </c>
      <c r="W1648" s="24" t="s">
        <v>15625</v>
      </c>
      <c r="X1648" s="24" t="s">
        <v>8011</v>
      </c>
      <c r="Y1648" s="15" t="s">
        <v>15626</v>
      </c>
      <c r="Z1648" s="15" t="s">
        <v>15627</v>
      </c>
      <c r="AA1648" s="24"/>
      <c r="AB1648" s="24"/>
      <c r="AC1648" s="24"/>
      <c r="AD1648" s="24"/>
      <c r="AE1648" s="24"/>
      <c r="AF1648" s="24"/>
      <c r="AG1648" s="24"/>
      <c r="AH1648" s="24"/>
    </row>
    <row r="1649" spans="1:34" ht="90" x14ac:dyDescent="0.25">
      <c r="A1649" s="24" t="str">
        <f>HYPERLINK("https://www.cpso.on.ca/DoctorDetails/Muhammod-Murad-Bakht/0048948-62926","Bakht, Muhammod Murad")</f>
        <v>Bakht, Muhammod Murad</v>
      </c>
      <c r="B1649" s="25" t="s">
        <v>15628</v>
      </c>
      <c r="C1649" s="24" t="s">
        <v>15629</v>
      </c>
      <c r="D1649" s="24" t="s">
        <v>15630</v>
      </c>
      <c r="E1649" s="24" t="s">
        <v>29</v>
      </c>
      <c r="F1649" s="24" t="s">
        <v>30</v>
      </c>
      <c r="G1649" s="24" t="s">
        <v>8438</v>
      </c>
      <c r="H1649" s="24" t="s">
        <v>15631</v>
      </c>
      <c r="I1649" s="24" t="s">
        <v>15632</v>
      </c>
      <c r="J1649" s="24" t="s">
        <v>15633</v>
      </c>
      <c r="K1649" s="24" t="s">
        <v>7234</v>
      </c>
      <c r="L1649" s="24" t="s">
        <v>36</v>
      </c>
      <c r="M1649" s="15"/>
      <c r="N1649" s="15"/>
      <c r="O1649" s="15" t="s">
        <v>6490</v>
      </c>
      <c r="P1649" s="15" t="s">
        <v>3220</v>
      </c>
      <c r="Q1649" s="15" t="s">
        <v>15634</v>
      </c>
      <c r="R1649" s="15" t="s">
        <v>15635</v>
      </c>
      <c r="S1649" s="24" t="s">
        <v>39</v>
      </c>
      <c r="T1649" s="24" t="s">
        <v>39</v>
      </c>
      <c r="U1649" s="24" t="s">
        <v>39</v>
      </c>
      <c r="V1649" s="24" t="s">
        <v>39</v>
      </c>
      <c r="W1649" s="24" t="s">
        <v>15636</v>
      </c>
      <c r="X1649" s="24" t="s">
        <v>15637</v>
      </c>
      <c r="Y1649" s="15" t="s">
        <v>15638</v>
      </c>
      <c r="Z1649" s="15" t="s">
        <v>4154</v>
      </c>
      <c r="AA1649" s="24"/>
      <c r="AB1649" s="24"/>
      <c r="AC1649" s="24"/>
      <c r="AD1649" s="24"/>
      <c r="AE1649" s="24"/>
      <c r="AF1649" s="24"/>
      <c r="AG1649" s="24"/>
      <c r="AH1649" s="24"/>
    </row>
    <row r="1650" spans="1:34" ht="90" x14ac:dyDescent="0.25">
      <c r="A1650" s="24" t="str">
        <f>HYPERLINK("https://www.cpso.on.ca/DoctorDetails/Mujeeb-Ur-Rehman/0185945-76946","Rehman, Mujeeb Ur")</f>
        <v>Rehman, Mujeeb Ur</v>
      </c>
      <c r="B1650" s="25" t="s">
        <v>15639</v>
      </c>
      <c r="C1650" s="24" t="s">
        <v>15640</v>
      </c>
      <c r="D1650" s="24" t="s">
        <v>12823</v>
      </c>
      <c r="E1650" s="24" t="s">
        <v>29</v>
      </c>
      <c r="F1650" s="24" t="s">
        <v>30</v>
      </c>
      <c r="G1650" s="24" t="s">
        <v>61</v>
      </c>
      <c r="H1650" s="24" t="s">
        <v>15641</v>
      </c>
      <c r="I1650" s="24" t="s">
        <v>10898</v>
      </c>
      <c r="J1650" s="24" t="s">
        <v>5104</v>
      </c>
      <c r="K1650" s="24" t="s">
        <v>5105</v>
      </c>
      <c r="L1650" s="24" t="s">
        <v>36</v>
      </c>
      <c r="M1650" s="15"/>
      <c r="N1650" s="15"/>
      <c r="O1650" s="15" t="s">
        <v>15642</v>
      </c>
      <c r="P1650" s="15" t="s">
        <v>12827</v>
      </c>
      <c r="Q1650" s="15" t="s">
        <v>15643</v>
      </c>
      <c r="R1650" s="15" t="s">
        <v>15644</v>
      </c>
      <c r="S1650" s="24" t="s">
        <v>39</v>
      </c>
      <c r="T1650" s="24" t="s">
        <v>39</v>
      </c>
      <c r="U1650" s="24" t="s">
        <v>39</v>
      </c>
      <c r="V1650" s="24" t="s">
        <v>39</v>
      </c>
      <c r="W1650" s="24" t="s">
        <v>15645</v>
      </c>
      <c r="X1650" s="24" t="s">
        <v>15646</v>
      </c>
      <c r="Y1650" s="15" t="s">
        <v>15647</v>
      </c>
      <c r="Z1650" s="15" t="s">
        <v>15648</v>
      </c>
      <c r="AA1650" s="24"/>
      <c r="AB1650" s="24"/>
      <c r="AC1650" s="24"/>
      <c r="AD1650" s="24"/>
      <c r="AE1650" s="24"/>
      <c r="AF1650" s="24"/>
      <c r="AG1650" s="24"/>
      <c r="AH1650" s="24"/>
    </row>
    <row r="1651" spans="1:34" x14ac:dyDescent="0.25">
      <c r="A1651" s="24" t="str">
        <f>HYPERLINK("https://www.cpso.on.ca/DoctorDetails/Munachiso-Uhoegbu/0319220-112311","Uhoegbu, Munachiso")</f>
        <v>Uhoegbu, Munachiso</v>
      </c>
      <c r="B1651" s="25" t="s">
        <v>15649</v>
      </c>
      <c r="C1651" s="24" t="s">
        <v>15650</v>
      </c>
      <c r="D1651" s="24" t="s">
        <v>15651</v>
      </c>
      <c r="E1651" s="24" t="s">
        <v>29</v>
      </c>
      <c r="F1651" s="24" t="s">
        <v>47</v>
      </c>
      <c r="G1651" s="24" t="s">
        <v>4624</v>
      </c>
      <c r="H1651" s="24" t="s">
        <v>15652</v>
      </c>
      <c r="I1651" s="24" t="s">
        <v>3204</v>
      </c>
      <c r="J1651" s="24" t="s">
        <v>1410</v>
      </c>
      <c r="K1651" s="24"/>
      <c r="L1651" s="24" t="s">
        <v>340</v>
      </c>
      <c r="M1651" s="15"/>
      <c r="N1651" s="15"/>
      <c r="O1651" s="15" t="s">
        <v>2059</v>
      </c>
      <c r="P1651" s="15" t="s">
        <v>4249</v>
      </c>
      <c r="Q1651" s="15"/>
      <c r="R1651" s="15" t="s">
        <v>15653</v>
      </c>
      <c r="S1651" s="24" t="s">
        <v>39</v>
      </c>
      <c r="T1651" s="24" t="s">
        <v>39</v>
      </c>
      <c r="U1651" s="24" t="s">
        <v>39</v>
      </c>
      <c r="V1651" s="24" t="s">
        <v>39</v>
      </c>
      <c r="W1651" s="24" t="s">
        <v>15654</v>
      </c>
      <c r="X1651" s="24" t="s">
        <v>4281</v>
      </c>
      <c r="Y1651" s="15" t="s">
        <v>15655</v>
      </c>
      <c r="Z1651" s="15" t="s">
        <v>4283</v>
      </c>
      <c r="AA1651" s="24"/>
      <c r="AB1651" s="24"/>
      <c r="AC1651" s="24"/>
      <c r="AD1651" s="24"/>
      <c r="AE1651" s="24"/>
      <c r="AF1651" s="24"/>
      <c r="AG1651" s="24"/>
      <c r="AH1651" s="24"/>
    </row>
    <row r="1652" spans="1:34" ht="75" x14ac:dyDescent="0.25">
      <c r="A1652" s="24" t="str">
        <f>HYPERLINK("https://www.cpso.on.ca/DoctorDetails/Mustafa-Kamal-Warsi/0214862-81143","Warsi, Mustafa Kamal")</f>
        <v>Warsi, Mustafa Kamal</v>
      </c>
      <c r="B1652" s="25" t="s">
        <v>15656</v>
      </c>
      <c r="C1652" s="24" t="s">
        <v>15657</v>
      </c>
      <c r="D1652" s="24" t="s">
        <v>15658</v>
      </c>
      <c r="E1652" s="24" t="s">
        <v>29</v>
      </c>
      <c r="F1652" s="24" t="s">
        <v>30</v>
      </c>
      <c r="G1652" s="24" t="s">
        <v>31</v>
      </c>
      <c r="H1652" s="24" t="s">
        <v>15659</v>
      </c>
      <c r="I1652" s="24" t="s">
        <v>15660</v>
      </c>
      <c r="J1652" s="24" t="s">
        <v>14784</v>
      </c>
      <c r="K1652" s="24" t="s">
        <v>14785</v>
      </c>
      <c r="L1652" s="24" t="s">
        <v>184</v>
      </c>
      <c r="M1652" s="15"/>
      <c r="N1652" s="15" t="s">
        <v>66</v>
      </c>
      <c r="O1652" s="15" t="s">
        <v>2169</v>
      </c>
      <c r="P1652" s="15" t="s">
        <v>15661</v>
      </c>
      <c r="Q1652" s="15" t="s">
        <v>15662</v>
      </c>
      <c r="R1652" s="15" t="s">
        <v>15663</v>
      </c>
      <c r="S1652" s="24" t="s">
        <v>39</v>
      </c>
      <c r="T1652" s="24" t="s">
        <v>39</v>
      </c>
      <c r="U1652" s="24" t="s">
        <v>39</v>
      </c>
      <c r="V1652" s="24" t="s">
        <v>39</v>
      </c>
      <c r="W1652" s="24" t="s">
        <v>15664</v>
      </c>
      <c r="X1652" s="24" t="s">
        <v>15665</v>
      </c>
      <c r="Y1652" s="15" t="s">
        <v>15666</v>
      </c>
      <c r="Z1652" s="15" t="s">
        <v>15667</v>
      </c>
      <c r="AA1652" s="24" t="s">
        <v>15668</v>
      </c>
      <c r="AB1652" s="24" t="s">
        <v>15669</v>
      </c>
      <c r="AC1652" s="24" t="s">
        <v>15666</v>
      </c>
      <c r="AD1652" s="15" t="s">
        <v>15670</v>
      </c>
      <c r="AE1652" s="24"/>
      <c r="AF1652" s="24"/>
      <c r="AG1652" s="24"/>
      <c r="AH1652" s="24"/>
    </row>
    <row r="1653" spans="1:34" x14ac:dyDescent="0.25">
      <c r="A1653" s="24" t="str">
        <f>HYPERLINK("https://www.cpso.on.ca/DoctorDetails/Muthuram-Mudaliar-Sujana-Kumar/0061247-74393","Sujana Kumar, Muthuram Mudaliar")</f>
        <v>Sujana Kumar, Muthuram Mudaliar</v>
      </c>
      <c r="B1653" s="25" t="s">
        <v>15671</v>
      </c>
      <c r="C1653" s="24" t="s">
        <v>15672</v>
      </c>
      <c r="D1653" s="24" t="s">
        <v>15673</v>
      </c>
      <c r="E1653" s="24" t="s">
        <v>29</v>
      </c>
      <c r="F1653" s="24" t="s">
        <v>30</v>
      </c>
      <c r="G1653" s="24" t="s">
        <v>31</v>
      </c>
      <c r="H1653" s="24" t="s">
        <v>15674</v>
      </c>
      <c r="I1653" s="24" t="s">
        <v>15675</v>
      </c>
      <c r="J1653" s="24" t="s">
        <v>15676</v>
      </c>
      <c r="K1653" s="24" t="s">
        <v>15677</v>
      </c>
      <c r="L1653" s="24" t="s">
        <v>135</v>
      </c>
      <c r="M1653" s="15"/>
      <c r="N1653" s="15"/>
      <c r="O1653" s="15"/>
      <c r="P1653" s="15" t="s">
        <v>4108</v>
      </c>
      <c r="Q1653" s="15"/>
      <c r="R1653" s="15" t="s">
        <v>15678</v>
      </c>
      <c r="S1653" s="24" t="s">
        <v>39</v>
      </c>
      <c r="T1653" s="24" t="s">
        <v>39</v>
      </c>
      <c r="U1653" s="24" t="s">
        <v>39</v>
      </c>
      <c r="V1653" s="24" t="s">
        <v>39</v>
      </c>
      <c r="W1653" s="24"/>
      <c r="X1653" s="24"/>
      <c r="Y1653" s="15"/>
      <c r="Z1653" s="15"/>
      <c r="AA1653" s="24"/>
      <c r="AB1653" s="24"/>
      <c r="AC1653" s="24"/>
      <c r="AD1653" s="24"/>
      <c r="AE1653" s="24"/>
      <c r="AF1653" s="24"/>
      <c r="AG1653" s="24"/>
      <c r="AH1653" s="24"/>
    </row>
    <row r="1654" spans="1:34" ht="90" x14ac:dyDescent="0.25">
      <c r="A1654" s="24" t="str">
        <f>HYPERLINK("https://www.cpso.on.ca/DoctorDetails/Mykhaylo-Ivanovych-Pityk/0258499-91275","Pityk, Mykhaylo Ivanovych")</f>
        <v>Pityk, Mykhaylo Ivanovych</v>
      </c>
      <c r="B1654" s="25" t="s">
        <v>15679</v>
      </c>
      <c r="C1654" s="24" t="s">
        <v>442</v>
      </c>
      <c r="D1654" s="24" t="s">
        <v>443</v>
      </c>
      <c r="E1654" s="24" t="s">
        <v>29</v>
      </c>
      <c r="F1654" s="24" t="s">
        <v>30</v>
      </c>
      <c r="G1654" s="24" t="s">
        <v>1647</v>
      </c>
      <c r="H1654" s="24" t="s">
        <v>15680</v>
      </c>
      <c r="I1654" s="24" t="s">
        <v>15681</v>
      </c>
      <c r="J1654" s="24" t="s">
        <v>15682</v>
      </c>
      <c r="K1654" s="24" t="s">
        <v>15683</v>
      </c>
      <c r="L1654" s="24" t="s">
        <v>84</v>
      </c>
      <c r="M1654" s="15"/>
      <c r="N1654" s="15"/>
      <c r="O1654" s="15" t="s">
        <v>817</v>
      </c>
      <c r="P1654" s="15" t="s">
        <v>449</v>
      </c>
      <c r="Q1654" s="15" t="s">
        <v>15684</v>
      </c>
      <c r="R1654" s="15" t="s">
        <v>2181</v>
      </c>
      <c r="S1654" s="24" t="s">
        <v>39</v>
      </c>
      <c r="T1654" s="24" t="s">
        <v>39</v>
      </c>
      <c r="U1654" s="24" t="s">
        <v>39</v>
      </c>
      <c r="V1654" s="24" t="s">
        <v>39</v>
      </c>
      <c r="W1654" s="24" t="s">
        <v>15685</v>
      </c>
      <c r="X1654" s="24" t="s">
        <v>15686</v>
      </c>
      <c r="Y1654" s="15" t="s">
        <v>15687</v>
      </c>
      <c r="Z1654" s="15" t="s">
        <v>15688</v>
      </c>
      <c r="AA1654" s="24"/>
      <c r="AB1654" s="24"/>
      <c r="AC1654" s="24"/>
      <c r="AD1654" s="24"/>
      <c r="AE1654" s="24"/>
      <c r="AF1654" s="24"/>
      <c r="AG1654" s="24"/>
      <c r="AH1654" s="24"/>
    </row>
    <row r="1655" spans="1:34" ht="90" x14ac:dyDescent="0.25">
      <c r="A1655" s="24" t="str">
        <f>HYPERLINK("https://www.cpso.on.ca/DoctorDetails/Myroslava-Katria-RomachSellers/0039943-53919","Romach-Sellers, Myroslava Katria")</f>
        <v>Romach-Sellers, Myroslava Katria</v>
      </c>
      <c r="B1655" s="25" t="s">
        <v>15689</v>
      </c>
      <c r="C1655" s="24" t="s">
        <v>3450</v>
      </c>
      <c r="D1655" s="24" t="s">
        <v>15690</v>
      </c>
      <c r="E1655" s="24" t="s">
        <v>29</v>
      </c>
      <c r="F1655" s="24" t="s">
        <v>47</v>
      </c>
      <c r="G1655" s="24" t="s">
        <v>6859</v>
      </c>
      <c r="H1655" s="24" t="s">
        <v>3452</v>
      </c>
      <c r="I1655" s="24" t="s">
        <v>15691</v>
      </c>
      <c r="J1655" s="24" t="s">
        <v>15692</v>
      </c>
      <c r="K1655" s="24" t="s">
        <v>15693</v>
      </c>
      <c r="L1655" s="24" t="s">
        <v>52</v>
      </c>
      <c r="M1655" s="15" t="s">
        <v>15694</v>
      </c>
      <c r="N1655" s="15"/>
      <c r="O1655" s="15" t="s">
        <v>15695</v>
      </c>
      <c r="P1655" s="15" t="s">
        <v>4499</v>
      </c>
      <c r="Q1655" s="15" t="s">
        <v>15696</v>
      </c>
      <c r="R1655" s="15" t="s">
        <v>15697</v>
      </c>
      <c r="S1655" s="24" t="s">
        <v>39</v>
      </c>
      <c r="T1655" s="24" t="s">
        <v>39</v>
      </c>
      <c r="U1655" s="24" t="s">
        <v>39</v>
      </c>
      <c r="V1655" s="24" t="s">
        <v>39</v>
      </c>
      <c r="W1655" s="24"/>
      <c r="X1655" s="24"/>
      <c r="Y1655" s="15"/>
      <c r="Z1655" s="15"/>
      <c r="AA1655" s="24"/>
      <c r="AB1655" s="24"/>
      <c r="AC1655" s="24"/>
      <c r="AD1655" s="24"/>
      <c r="AE1655" s="24"/>
      <c r="AF1655" s="24"/>
      <c r="AG1655" s="24"/>
      <c r="AH1655" s="24"/>
    </row>
    <row r="1656" spans="1:34" ht="30" x14ac:dyDescent="0.25">
      <c r="A1656" s="24" t="str">
        <f>HYPERLINK("https://www.cpso.on.ca/DoctorDetails/Mysore-Sadashiviah-RenukaPrasad/0056935-68523","Renuka-Prasad, Mysore Sadashiviah")</f>
        <v>Renuka-Prasad, Mysore Sadashiviah</v>
      </c>
      <c r="B1656" s="25" t="s">
        <v>15698</v>
      </c>
      <c r="C1656" s="24" t="s">
        <v>15699</v>
      </c>
      <c r="D1656" s="24" t="s">
        <v>15700</v>
      </c>
      <c r="E1656" s="24" t="s">
        <v>29</v>
      </c>
      <c r="F1656" s="24" t="s">
        <v>30</v>
      </c>
      <c r="G1656" s="24" t="s">
        <v>8236</v>
      </c>
      <c r="H1656" s="24" t="s">
        <v>15701</v>
      </c>
      <c r="I1656" s="24" t="s">
        <v>15702</v>
      </c>
      <c r="J1656" s="24" t="s">
        <v>15703</v>
      </c>
      <c r="K1656" s="24" t="s">
        <v>15704</v>
      </c>
      <c r="L1656" s="24"/>
      <c r="M1656" s="15"/>
      <c r="N1656" s="15" t="s">
        <v>3698</v>
      </c>
      <c r="O1656" s="15"/>
      <c r="P1656" s="15" t="s">
        <v>15705</v>
      </c>
      <c r="Q1656" s="15"/>
      <c r="R1656" s="15" t="s">
        <v>15706</v>
      </c>
      <c r="S1656" s="24" t="s">
        <v>39</v>
      </c>
      <c r="T1656" s="24" t="s">
        <v>39</v>
      </c>
      <c r="U1656" s="24" t="s">
        <v>39</v>
      </c>
      <c r="V1656" s="24" t="s">
        <v>39</v>
      </c>
      <c r="W1656" s="24"/>
      <c r="X1656" s="24"/>
      <c r="Y1656" s="15"/>
      <c r="Z1656" s="15"/>
      <c r="AA1656" s="24"/>
      <c r="AB1656" s="24"/>
      <c r="AC1656" s="24"/>
      <c r="AD1656" s="24"/>
      <c r="AE1656" s="24"/>
      <c r="AF1656" s="24"/>
      <c r="AG1656" s="24"/>
      <c r="AH1656" s="24"/>
    </row>
    <row r="1657" spans="1:34" ht="30" x14ac:dyDescent="0.25">
      <c r="A1657" s="24" t="str">
        <f>HYPERLINK("https://www.cpso.on.ca/DoctorDetails/Nabil-Antoun-Philips/0044860-58838","Philips, Nabil Antoun")</f>
        <v>Philips, Nabil Antoun</v>
      </c>
      <c r="B1657" s="25" t="s">
        <v>15707</v>
      </c>
      <c r="C1657" s="24" t="s">
        <v>15708</v>
      </c>
      <c r="D1657" s="24" t="s">
        <v>15709</v>
      </c>
      <c r="E1657" s="24" t="s">
        <v>29</v>
      </c>
      <c r="F1657" s="24" t="s">
        <v>30</v>
      </c>
      <c r="G1657" s="24" t="s">
        <v>31</v>
      </c>
      <c r="H1657" s="24" t="s">
        <v>15710</v>
      </c>
      <c r="I1657" s="24" t="s">
        <v>15711</v>
      </c>
      <c r="J1657" s="24" t="s">
        <v>15712</v>
      </c>
      <c r="K1657" s="24" t="s">
        <v>15713</v>
      </c>
      <c r="L1657" s="24" t="s">
        <v>36</v>
      </c>
      <c r="M1657" s="15"/>
      <c r="N1657" s="15"/>
      <c r="O1657" s="15" t="s">
        <v>972</v>
      </c>
      <c r="P1657" s="15" t="s">
        <v>4499</v>
      </c>
      <c r="Q1657" s="15" t="s">
        <v>5261</v>
      </c>
      <c r="R1657" s="15" t="s">
        <v>15714</v>
      </c>
      <c r="S1657" s="24" t="s">
        <v>39</v>
      </c>
      <c r="T1657" s="24" t="s">
        <v>39</v>
      </c>
      <c r="U1657" s="24" t="s">
        <v>39</v>
      </c>
      <c r="V1657" s="24" t="s">
        <v>39</v>
      </c>
      <c r="W1657" s="24" t="s">
        <v>15715</v>
      </c>
      <c r="X1657" s="24" t="s">
        <v>15716</v>
      </c>
      <c r="Y1657" s="15" t="s">
        <v>15717</v>
      </c>
      <c r="Z1657" s="15" t="s">
        <v>15718</v>
      </c>
      <c r="AA1657" s="24"/>
      <c r="AB1657" s="24"/>
      <c r="AC1657" s="24"/>
      <c r="AD1657" s="24"/>
      <c r="AE1657" s="24"/>
      <c r="AF1657" s="24"/>
      <c r="AG1657" s="24"/>
      <c r="AH1657" s="24"/>
    </row>
    <row r="1658" spans="1:34" ht="135" x14ac:dyDescent="0.25">
      <c r="A1658" s="24" t="str">
        <f>HYPERLINK("https://www.cpso.on.ca/DoctorDetails/Nadeem-Akhtar/0253373-92377","Akhtar, Nadeem")</f>
        <v>Akhtar, Nadeem</v>
      </c>
      <c r="B1658" s="25" t="s">
        <v>15719</v>
      </c>
      <c r="C1658" s="24" t="s">
        <v>15720</v>
      </c>
      <c r="D1658" s="24" t="s">
        <v>15721</v>
      </c>
      <c r="E1658" s="24" t="s">
        <v>29</v>
      </c>
      <c r="F1658" s="24" t="s">
        <v>30</v>
      </c>
      <c r="G1658" s="24" t="s">
        <v>1445</v>
      </c>
      <c r="H1658" s="24" t="s">
        <v>15722</v>
      </c>
      <c r="I1658" s="24" t="s">
        <v>15723</v>
      </c>
      <c r="J1658" s="24" t="s">
        <v>15724</v>
      </c>
      <c r="K1658" s="24"/>
      <c r="L1658" s="24" t="s">
        <v>184</v>
      </c>
      <c r="M1658" s="15"/>
      <c r="N1658" s="15" t="s">
        <v>398</v>
      </c>
      <c r="O1658" s="15" t="s">
        <v>6565</v>
      </c>
      <c r="P1658" s="15" t="s">
        <v>15725</v>
      </c>
      <c r="Q1658" s="15"/>
      <c r="R1658" s="15" t="s">
        <v>15726</v>
      </c>
      <c r="S1658" s="24" t="s">
        <v>71</v>
      </c>
      <c r="T1658" s="24" t="s">
        <v>39</v>
      </c>
      <c r="U1658" s="24" t="s">
        <v>39</v>
      </c>
      <c r="V1658" s="24" t="s">
        <v>39</v>
      </c>
      <c r="W1658" s="24"/>
      <c r="X1658" s="24"/>
      <c r="Y1658" s="15"/>
      <c r="Z1658" s="15"/>
      <c r="AA1658" s="24"/>
      <c r="AB1658" s="24"/>
      <c r="AC1658" s="24"/>
      <c r="AD1658" s="24"/>
      <c r="AE1658" s="24"/>
      <c r="AF1658" s="24"/>
      <c r="AG1658" s="24"/>
      <c r="AH1658" s="24"/>
    </row>
    <row r="1659" spans="1:34" ht="30" x14ac:dyDescent="0.25">
      <c r="A1659" s="24" t="str">
        <f>HYPERLINK("https://www.cpso.on.ca/DoctorDetails/Nadejda-Stroganova/0294286-102821","Stroganova, Nadejda")</f>
        <v>Stroganova, Nadejda</v>
      </c>
      <c r="B1659" s="25" t="s">
        <v>15727</v>
      </c>
      <c r="C1659" s="24" t="s">
        <v>15728</v>
      </c>
      <c r="D1659" s="24" t="s">
        <v>443</v>
      </c>
      <c r="E1659" s="24" t="s">
        <v>29</v>
      </c>
      <c r="F1659" s="24" t="s">
        <v>47</v>
      </c>
      <c r="G1659" s="24" t="s">
        <v>15729</v>
      </c>
      <c r="H1659" s="24" t="s">
        <v>15730</v>
      </c>
      <c r="I1659" s="24" t="s">
        <v>15731</v>
      </c>
      <c r="J1659" s="24" t="s">
        <v>15732</v>
      </c>
      <c r="K1659" s="24" t="s">
        <v>2798</v>
      </c>
      <c r="L1659" s="24" t="s">
        <v>52</v>
      </c>
      <c r="M1659" s="15" t="s">
        <v>15733</v>
      </c>
      <c r="N1659" s="15"/>
      <c r="O1659" s="15" t="s">
        <v>6490</v>
      </c>
      <c r="P1659" s="15" t="s">
        <v>449</v>
      </c>
      <c r="Q1659" s="15" t="s">
        <v>15734</v>
      </c>
      <c r="R1659" s="15" t="s">
        <v>15735</v>
      </c>
      <c r="S1659" s="24" t="s">
        <v>39</v>
      </c>
      <c r="T1659" s="24" t="s">
        <v>39</v>
      </c>
      <c r="U1659" s="24" t="s">
        <v>39</v>
      </c>
      <c r="V1659" s="24" t="s">
        <v>39</v>
      </c>
      <c r="W1659" s="24" t="s">
        <v>15736</v>
      </c>
      <c r="X1659" s="24" t="s">
        <v>15737</v>
      </c>
      <c r="Y1659" s="15" t="s">
        <v>15738</v>
      </c>
      <c r="Z1659" s="15" t="s">
        <v>15739</v>
      </c>
      <c r="AA1659" s="24"/>
      <c r="AB1659" s="24"/>
      <c r="AC1659" s="24"/>
      <c r="AD1659" s="24"/>
      <c r="AE1659" s="24"/>
      <c r="AF1659" s="24"/>
      <c r="AG1659" s="24"/>
      <c r="AH1659" s="24"/>
    </row>
    <row r="1660" spans="1:34" ht="75" x14ac:dyDescent="0.25">
      <c r="A1660" s="24" t="str">
        <f>HYPERLINK("https://www.cpso.on.ca/DoctorDetails/Nadia-Aleem/0233994-85182","Aleem, Nadia")</f>
        <v>Aleem, Nadia</v>
      </c>
      <c r="B1660" s="25" t="s">
        <v>15740</v>
      </c>
      <c r="C1660" s="24" t="s">
        <v>15741</v>
      </c>
      <c r="D1660" s="24" t="s">
        <v>15742</v>
      </c>
      <c r="E1660" s="24" t="s">
        <v>29</v>
      </c>
      <c r="F1660" s="24" t="s">
        <v>47</v>
      </c>
      <c r="G1660" s="24" t="s">
        <v>31</v>
      </c>
      <c r="H1660" s="24" t="s">
        <v>15743</v>
      </c>
      <c r="I1660" s="24" t="s">
        <v>15744</v>
      </c>
      <c r="J1660" s="24" t="s">
        <v>15745</v>
      </c>
      <c r="K1660" s="24" t="s">
        <v>15746</v>
      </c>
      <c r="L1660" s="24" t="s">
        <v>52</v>
      </c>
      <c r="M1660" s="15"/>
      <c r="N1660" s="15"/>
      <c r="O1660" s="15" t="s">
        <v>981</v>
      </c>
      <c r="P1660" s="15" t="s">
        <v>2348</v>
      </c>
      <c r="Q1660" s="15" t="s">
        <v>15747</v>
      </c>
      <c r="R1660" s="15" t="s">
        <v>15748</v>
      </c>
      <c r="S1660" s="24" t="s">
        <v>39</v>
      </c>
      <c r="T1660" s="24" t="s">
        <v>39</v>
      </c>
      <c r="U1660" s="24" t="s">
        <v>39</v>
      </c>
      <c r="V1660" s="24" t="s">
        <v>39</v>
      </c>
      <c r="W1660" s="24" t="s">
        <v>15749</v>
      </c>
      <c r="X1660" s="24" t="s">
        <v>15750</v>
      </c>
      <c r="Y1660" s="15" t="s">
        <v>15751</v>
      </c>
      <c r="Z1660" s="15" t="s">
        <v>15752</v>
      </c>
      <c r="AA1660" s="24"/>
      <c r="AB1660" s="24"/>
      <c r="AC1660" s="24"/>
      <c r="AD1660" s="24"/>
      <c r="AE1660" s="24"/>
      <c r="AF1660" s="24"/>
      <c r="AG1660" s="24"/>
      <c r="AH1660" s="24"/>
    </row>
    <row r="1661" spans="1:34" ht="60" x14ac:dyDescent="0.25">
      <c r="A1661" s="24" t="str">
        <f>HYPERLINK("https://www.cpso.on.ca/DoctorDetails/Nadine-Janice-Nyhus/0051515-65494","Nyhus, Nadine Janice")</f>
        <v>Nyhus, Nadine Janice</v>
      </c>
      <c r="B1661" s="25" t="s">
        <v>15753</v>
      </c>
      <c r="C1661" s="24" t="s">
        <v>296</v>
      </c>
      <c r="D1661" s="24" t="s">
        <v>8933</v>
      </c>
      <c r="E1661" s="24" t="s">
        <v>29</v>
      </c>
      <c r="F1661" s="24" t="s">
        <v>47</v>
      </c>
      <c r="G1661" s="24" t="s">
        <v>31</v>
      </c>
      <c r="H1661" s="24" t="s">
        <v>8005</v>
      </c>
      <c r="I1661" s="24" t="s">
        <v>15754</v>
      </c>
      <c r="J1661" s="24" t="s">
        <v>15755</v>
      </c>
      <c r="K1661" s="24" t="s">
        <v>15756</v>
      </c>
      <c r="L1661" s="24" t="s">
        <v>152</v>
      </c>
      <c r="M1661" s="15"/>
      <c r="N1661" s="15"/>
      <c r="O1661" s="15"/>
      <c r="P1661" s="15" t="s">
        <v>15757</v>
      </c>
      <c r="Q1661" s="15" t="s">
        <v>15758</v>
      </c>
      <c r="R1661" s="15" t="s">
        <v>11463</v>
      </c>
      <c r="S1661" s="24" t="s">
        <v>39</v>
      </c>
      <c r="T1661" s="24" t="s">
        <v>39</v>
      </c>
      <c r="U1661" s="24" t="s">
        <v>39</v>
      </c>
      <c r="V1661" s="24" t="s">
        <v>39</v>
      </c>
      <c r="W1661" s="24" t="s">
        <v>15759</v>
      </c>
      <c r="X1661" s="24" t="s">
        <v>13927</v>
      </c>
      <c r="Y1661" s="15" t="s">
        <v>15760</v>
      </c>
      <c r="Z1661" s="15" t="s">
        <v>15761</v>
      </c>
      <c r="AA1661" s="24"/>
      <c r="AB1661" s="24"/>
      <c r="AC1661" s="24"/>
      <c r="AD1661" s="24"/>
      <c r="AE1661" s="24"/>
      <c r="AF1661" s="24"/>
      <c r="AG1661" s="24"/>
      <c r="AH1661" s="24"/>
    </row>
    <row r="1662" spans="1:34" ht="75" x14ac:dyDescent="0.25">
      <c r="A1662" s="24" t="str">
        <f>HYPERLINK("https://www.cpso.on.ca/DoctorDetails/Nadiya-Azizeh-Sunderji/0201741-80056","Sunderji, Nadiya Azizeh")</f>
        <v>Sunderji, Nadiya Azizeh</v>
      </c>
      <c r="B1662" s="25" t="s">
        <v>15762</v>
      </c>
      <c r="C1662" s="24" t="s">
        <v>15763</v>
      </c>
      <c r="D1662" s="24" t="s">
        <v>872</v>
      </c>
      <c r="E1662" s="24" t="s">
        <v>29</v>
      </c>
      <c r="F1662" s="24" t="s">
        <v>47</v>
      </c>
      <c r="G1662" s="24" t="s">
        <v>31</v>
      </c>
      <c r="H1662" s="24" t="s">
        <v>874</v>
      </c>
      <c r="I1662" s="24" t="s">
        <v>15764</v>
      </c>
      <c r="J1662" s="24" t="s">
        <v>15765</v>
      </c>
      <c r="K1662" s="24" t="s">
        <v>218</v>
      </c>
      <c r="L1662" s="24" t="s">
        <v>52</v>
      </c>
      <c r="M1662" s="15"/>
      <c r="N1662" s="15"/>
      <c r="O1662" s="15" t="s">
        <v>219</v>
      </c>
      <c r="P1662" s="15" t="s">
        <v>880</v>
      </c>
      <c r="Q1662" s="15" t="s">
        <v>1607</v>
      </c>
      <c r="R1662" s="15" t="s">
        <v>15766</v>
      </c>
      <c r="S1662" s="24" t="s">
        <v>39</v>
      </c>
      <c r="T1662" s="24" t="s">
        <v>39</v>
      </c>
      <c r="U1662" s="24" t="s">
        <v>39</v>
      </c>
      <c r="V1662" s="24" t="s">
        <v>39</v>
      </c>
      <c r="W1662" s="24"/>
      <c r="X1662" s="24"/>
      <c r="Y1662" s="15"/>
      <c r="Z1662" s="15"/>
      <c r="AA1662" s="24"/>
      <c r="AB1662" s="24"/>
      <c r="AC1662" s="24"/>
      <c r="AD1662" s="24"/>
      <c r="AE1662" s="24"/>
      <c r="AF1662" s="24"/>
      <c r="AG1662" s="24"/>
      <c r="AH1662" s="24"/>
    </row>
    <row r="1663" spans="1:34" ht="75" x14ac:dyDescent="0.25">
      <c r="A1663" s="24" t="str">
        <f>HYPERLINK("https://www.cpso.on.ca/DoctorDetails/Naeem-Asif-Hussain-Khan/0028814-33637","Khan, Naeem Asif Hussain")</f>
        <v>Khan, Naeem Asif Hussain</v>
      </c>
      <c r="B1663" s="25" t="s">
        <v>15767</v>
      </c>
      <c r="C1663" s="24" t="s">
        <v>15768</v>
      </c>
      <c r="D1663" s="24" t="s">
        <v>15769</v>
      </c>
      <c r="E1663" s="24" t="s">
        <v>29</v>
      </c>
      <c r="F1663" s="24" t="s">
        <v>47</v>
      </c>
      <c r="G1663" s="24" t="s">
        <v>1445</v>
      </c>
      <c r="H1663" s="24" t="s">
        <v>15770</v>
      </c>
      <c r="I1663" s="24" t="s">
        <v>6486</v>
      </c>
      <c r="J1663" s="24" t="s">
        <v>6487</v>
      </c>
      <c r="K1663" s="24" t="s">
        <v>6488</v>
      </c>
      <c r="L1663" s="24" t="s">
        <v>52</v>
      </c>
      <c r="M1663" s="15"/>
      <c r="N1663" s="15"/>
      <c r="O1663" s="15"/>
      <c r="P1663" s="15" t="s">
        <v>12291</v>
      </c>
      <c r="Q1663" s="15"/>
      <c r="R1663" s="15" t="s">
        <v>15771</v>
      </c>
      <c r="S1663" s="24" t="s">
        <v>39</v>
      </c>
      <c r="T1663" s="24" t="s">
        <v>39</v>
      </c>
      <c r="U1663" s="24" t="s">
        <v>39</v>
      </c>
      <c r="V1663" s="24" t="s">
        <v>39</v>
      </c>
      <c r="W1663" s="24"/>
      <c r="X1663" s="24"/>
      <c r="Y1663" s="15"/>
      <c r="Z1663" s="15"/>
      <c r="AA1663" s="24"/>
      <c r="AB1663" s="24"/>
      <c r="AC1663" s="24"/>
      <c r="AD1663" s="24"/>
      <c r="AE1663" s="24"/>
      <c r="AF1663" s="24"/>
      <c r="AG1663" s="24"/>
      <c r="AH1663" s="24"/>
    </row>
    <row r="1664" spans="1:34" ht="75" x14ac:dyDescent="0.25">
      <c r="A1664" s="24" t="str">
        <f>HYPERLINK("https://www.cpso.on.ca/DoctorDetails/Naghmeh-Mokhber/0306511-108034","Mokhber, Naghmeh")</f>
        <v>Mokhber, Naghmeh</v>
      </c>
      <c r="B1664" s="25" t="s">
        <v>15772</v>
      </c>
      <c r="C1664" s="24" t="s">
        <v>15773</v>
      </c>
      <c r="D1664" s="24" t="s">
        <v>15774</v>
      </c>
      <c r="E1664" s="24" t="s">
        <v>29</v>
      </c>
      <c r="F1664" s="24" t="s">
        <v>47</v>
      </c>
      <c r="G1664" s="24" t="s">
        <v>522</v>
      </c>
      <c r="H1664" s="24" t="s">
        <v>15775</v>
      </c>
      <c r="I1664" s="24" t="s">
        <v>15776</v>
      </c>
      <c r="J1664" s="24" t="s">
        <v>15777</v>
      </c>
      <c r="K1664" s="24"/>
      <c r="L1664" s="24" t="s">
        <v>135</v>
      </c>
      <c r="M1664" s="15"/>
      <c r="N1664" s="15" t="s">
        <v>15778</v>
      </c>
      <c r="O1664" s="15"/>
      <c r="P1664" s="15" t="s">
        <v>15779</v>
      </c>
      <c r="Q1664" s="15" t="s">
        <v>15780</v>
      </c>
      <c r="R1664" s="15" t="s">
        <v>15781</v>
      </c>
      <c r="S1664" s="24" t="s">
        <v>71</v>
      </c>
      <c r="T1664" s="24" t="s">
        <v>39</v>
      </c>
      <c r="U1664" s="24" t="s">
        <v>39</v>
      </c>
      <c r="V1664" s="24" t="s">
        <v>39</v>
      </c>
      <c r="W1664" s="24" t="s">
        <v>15782</v>
      </c>
      <c r="X1664" s="24" t="s">
        <v>15783</v>
      </c>
      <c r="Y1664" s="15" t="s">
        <v>15784</v>
      </c>
      <c r="Z1664" s="15" t="s">
        <v>15785</v>
      </c>
      <c r="AA1664" s="24"/>
      <c r="AB1664" s="24"/>
      <c r="AC1664" s="24"/>
      <c r="AD1664" s="24"/>
      <c r="AE1664" s="24"/>
      <c r="AF1664" s="24"/>
      <c r="AG1664" s="24"/>
      <c r="AH1664" s="24"/>
    </row>
    <row r="1665" spans="1:34" ht="90" x14ac:dyDescent="0.25">
      <c r="A1665" s="24" t="str">
        <f>HYPERLINK("https://www.cpso.on.ca/DoctorDetails/Naheed-Kheraj/0258336-90739","Kheraj, Naheed")</f>
        <v>Kheraj, Naheed</v>
      </c>
      <c r="B1665" s="25" t="s">
        <v>15786</v>
      </c>
      <c r="C1665" s="24" t="s">
        <v>15787</v>
      </c>
      <c r="D1665" s="24" t="s">
        <v>15788</v>
      </c>
      <c r="E1665" s="24" t="s">
        <v>29</v>
      </c>
      <c r="F1665" s="24" t="s">
        <v>30</v>
      </c>
      <c r="G1665" s="24" t="s">
        <v>31</v>
      </c>
      <c r="H1665" s="24" t="s">
        <v>1900</v>
      </c>
      <c r="I1665" s="24" t="s">
        <v>15789</v>
      </c>
      <c r="J1665" s="24" t="s">
        <v>15790</v>
      </c>
      <c r="K1665" s="24"/>
      <c r="L1665" s="24" t="s">
        <v>52</v>
      </c>
      <c r="M1665" s="15"/>
      <c r="N1665" s="15"/>
      <c r="O1665" s="15"/>
      <c r="P1665" s="15" t="s">
        <v>449</v>
      </c>
      <c r="Q1665" s="15" t="s">
        <v>15791</v>
      </c>
      <c r="R1665" s="15" t="s">
        <v>15792</v>
      </c>
      <c r="S1665" s="24" t="s">
        <v>39</v>
      </c>
      <c r="T1665" s="24" t="s">
        <v>39</v>
      </c>
      <c r="U1665" s="24" t="s">
        <v>39</v>
      </c>
      <c r="V1665" s="24" t="s">
        <v>39</v>
      </c>
      <c r="W1665" s="24"/>
      <c r="X1665" s="24"/>
      <c r="Y1665" s="15"/>
      <c r="Z1665" s="15"/>
      <c r="AA1665" s="24"/>
      <c r="AB1665" s="24"/>
      <c r="AC1665" s="24"/>
      <c r="AD1665" s="24"/>
      <c r="AE1665" s="24"/>
      <c r="AF1665" s="24"/>
      <c r="AG1665" s="24"/>
      <c r="AH1665" s="24"/>
    </row>
    <row r="1666" spans="1:34" ht="75" x14ac:dyDescent="0.25">
      <c r="A1666" s="24" t="str">
        <f>HYPERLINK("https://www.cpso.on.ca/DoctorDetails/Nam-Dinh-Doan/0265670-93240","Doan, Nam Dinh")</f>
        <v>Doan, Nam Dinh</v>
      </c>
      <c r="B1666" s="25" t="s">
        <v>15793</v>
      </c>
      <c r="C1666" s="24" t="s">
        <v>570</v>
      </c>
      <c r="D1666" s="24" t="s">
        <v>571</v>
      </c>
      <c r="E1666" s="24" t="s">
        <v>29</v>
      </c>
      <c r="F1666" s="24" t="s">
        <v>30</v>
      </c>
      <c r="G1666" s="24" t="s">
        <v>31</v>
      </c>
      <c r="H1666" s="24" t="s">
        <v>5057</v>
      </c>
      <c r="I1666" s="24" t="s">
        <v>1742</v>
      </c>
      <c r="J1666" s="24" t="s">
        <v>15794</v>
      </c>
      <c r="K1666" s="24" t="s">
        <v>15795</v>
      </c>
      <c r="L1666" s="24" t="s">
        <v>328</v>
      </c>
      <c r="M1666" s="15"/>
      <c r="N1666" s="15"/>
      <c r="O1666" s="15" t="s">
        <v>1746</v>
      </c>
      <c r="P1666" s="15" t="s">
        <v>629</v>
      </c>
      <c r="Q1666" s="15" t="s">
        <v>15796</v>
      </c>
      <c r="R1666" s="15" t="s">
        <v>1706</v>
      </c>
      <c r="S1666" s="24" t="s">
        <v>39</v>
      </c>
      <c r="T1666" s="24" t="s">
        <v>39</v>
      </c>
      <c r="U1666" s="24" t="s">
        <v>39</v>
      </c>
      <c r="V1666" s="24" t="s">
        <v>39</v>
      </c>
      <c r="W1666" s="24"/>
      <c r="X1666" s="24"/>
      <c r="Y1666" s="15"/>
      <c r="Z1666" s="15"/>
      <c r="AA1666" s="24"/>
      <c r="AB1666" s="24"/>
      <c r="AC1666" s="24"/>
      <c r="AD1666" s="24"/>
      <c r="AE1666" s="24"/>
      <c r="AF1666" s="24"/>
      <c r="AG1666" s="24"/>
      <c r="AH1666" s="24"/>
    </row>
    <row r="1667" spans="1:34" ht="30" x14ac:dyDescent="0.25">
      <c r="A1667" s="24" t="str">
        <f>HYPERLINK("https://www.cpso.on.ca/DoctorDetails/Nancy-Elizabeth-Salter/0037585-51561","Salter, Nancy Elizabeth")</f>
        <v>Salter, Nancy Elizabeth</v>
      </c>
      <c r="B1667" s="25" t="s">
        <v>15797</v>
      </c>
      <c r="C1667" s="24" t="s">
        <v>15798</v>
      </c>
      <c r="D1667" s="24" t="s">
        <v>15799</v>
      </c>
      <c r="E1667" s="24" t="s">
        <v>29</v>
      </c>
      <c r="F1667" s="24" t="s">
        <v>47</v>
      </c>
      <c r="G1667" s="24" t="s">
        <v>31</v>
      </c>
      <c r="H1667" s="24" t="s">
        <v>755</v>
      </c>
      <c r="I1667" s="24" t="s">
        <v>15800</v>
      </c>
      <c r="J1667" s="24" t="s">
        <v>15801</v>
      </c>
      <c r="K1667" s="24" t="s">
        <v>15802</v>
      </c>
      <c r="L1667" s="24" t="s">
        <v>52</v>
      </c>
      <c r="M1667" s="15"/>
      <c r="N1667" s="15"/>
      <c r="O1667" s="15"/>
      <c r="P1667" s="15" t="s">
        <v>10817</v>
      </c>
      <c r="Q1667" s="15"/>
      <c r="R1667" s="15" t="s">
        <v>15803</v>
      </c>
      <c r="S1667" s="24" t="s">
        <v>39</v>
      </c>
      <c r="T1667" s="24" t="s">
        <v>39</v>
      </c>
      <c r="U1667" s="24" t="s">
        <v>39</v>
      </c>
      <c r="V1667" s="24" t="s">
        <v>39</v>
      </c>
      <c r="W1667" s="24"/>
      <c r="X1667" s="24"/>
      <c r="Y1667" s="15"/>
      <c r="Z1667" s="15"/>
      <c r="AA1667" s="24"/>
      <c r="AB1667" s="24"/>
      <c r="AC1667" s="24"/>
      <c r="AD1667" s="24"/>
      <c r="AE1667" s="24"/>
      <c r="AF1667" s="24"/>
      <c r="AG1667" s="24"/>
      <c r="AH1667" s="24"/>
    </row>
    <row r="1668" spans="1:34" ht="75" x14ac:dyDescent="0.25">
      <c r="A1668" s="24" t="str">
        <f>HYPERLINK("https://www.cpso.on.ca/DoctorDetails/Nancy-Lea-McCallum/0150276-72603","McCallum, Nancy Lea")</f>
        <v>McCallum, Nancy Lea</v>
      </c>
      <c r="B1668" s="25" t="s">
        <v>15804</v>
      </c>
      <c r="C1668" s="24" t="s">
        <v>954</v>
      </c>
      <c r="D1668" s="24" t="s">
        <v>1323</v>
      </c>
      <c r="E1668" s="24" t="s">
        <v>15805</v>
      </c>
      <c r="F1668" s="24" t="s">
        <v>47</v>
      </c>
      <c r="G1668" s="24" t="s">
        <v>31</v>
      </c>
      <c r="H1668" s="24" t="s">
        <v>4927</v>
      </c>
      <c r="I1668" s="24" t="s">
        <v>5979</v>
      </c>
      <c r="J1668" s="24" t="s">
        <v>15806</v>
      </c>
      <c r="K1668" s="24"/>
      <c r="L1668" s="24" t="s">
        <v>52</v>
      </c>
      <c r="M1668" s="15"/>
      <c r="N1668" s="15"/>
      <c r="O1668" s="15" t="s">
        <v>1110</v>
      </c>
      <c r="P1668" s="15" t="s">
        <v>1330</v>
      </c>
      <c r="Q1668" s="15" t="s">
        <v>2170</v>
      </c>
      <c r="R1668" s="15" t="s">
        <v>2171</v>
      </c>
      <c r="S1668" s="24" t="s">
        <v>39</v>
      </c>
      <c r="T1668" s="24" t="s">
        <v>39</v>
      </c>
      <c r="U1668" s="24" t="s">
        <v>39</v>
      </c>
      <c r="V1668" s="24" t="s">
        <v>39</v>
      </c>
      <c r="W1668" s="24" t="s">
        <v>15807</v>
      </c>
      <c r="X1668" s="24" t="s">
        <v>9137</v>
      </c>
      <c r="Y1668" s="15" t="s">
        <v>15808</v>
      </c>
      <c r="Z1668" s="15" t="s">
        <v>15809</v>
      </c>
      <c r="AA1668" s="24"/>
      <c r="AB1668" s="24"/>
      <c r="AC1668" s="24"/>
      <c r="AD1668" s="24"/>
      <c r="AE1668" s="24"/>
      <c r="AF1668" s="24"/>
      <c r="AG1668" s="24"/>
      <c r="AH1668" s="24"/>
    </row>
    <row r="1669" spans="1:34" x14ac:dyDescent="0.25">
      <c r="A1669" s="24" t="str">
        <f>HYPERLINK("https://www.cpso.on.ca/DoctorDetails/Nancy-Maureen-Pennington/0046175-60153","Pennington, Nancy Maureen")</f>
        <v>Pennington, Nancy Maureen</v>
      </c>
      <c r="B1669" s="25" t="s">
        <v>15810</v>
      </c>
      <c r="C1669" s="24" t="s">
        <v>15811</v>
      </c>
      <c r="D1669" s="24" t="s">
        <v>15812</v>
      </c>
      <c r="E1669" s="24" t="s">
        <v>29</v>
      </c>
      <c r="F1669" s="24" t="s">
        <v>47</v>
      </c>
      <c r="G1669" s="24" t="s">
        <v>31</v>
      </c>
      <c r="H1669" s="24" t="s">
        <v>2189</v>
      </c>
      <c r="I1669" s="24" t="s">
        <v>107</v>
      </c>
      <c r="J1669" s="24"/>
      <c r="K1669" s="24"/>
      <c r="L1669" s="24"/>
      <c r="M1669" s="15"/>
      <c r="N1669" s="15" t="s">
        <v>258</v>
      </c>
      <c r="O1669" s="15"/>
      <c r="P1669" s="15" t="s">
        <v>2293</v>
      </c>
      <c r="Q1669" s="15" t="s">
        <v>15813</v>
      </c>
      <c r="R1669" s="15" t="s">
        <v>15814</v>
      </c>
      <c r="S1669" s="24" t="s">
        <v>39</v>
      </c>
      <c r="T1669" s="24" t="s">
        <v>39</v>
      </c>
      <c r="U1669" s="24" t="s">
        <v>39</v>
      </c>
      <c r="V1669" s="24" t="s">
        <v>39</v>
      </c>
      <c r="W1669" s="24"/>
      <c r="X1669" s="24"/>
      <c r="Y1669" s="15"/>
      <c r="Z1669" s="15"/>
      <c r="AA1669" s="24"/>
      <c r="AB1669" s="24"/>
      <c r="AC1669" s="24"/>
      <c r="AD1669" s="24"/>
      <c r="AE1669" s="24"/>
      <c r="AF1669" s="24"/>
      <c r="AG1669" s="24"/>
      <c r="AH1669" s="24"/>
    </row>
    <row r="1670" spans="1:34" ht="30" x14ac:dyDescent="0.25">
      <c r="A1670" s="24" t="str">
        <f>HYPERLINK("https://www.cpso.on.ca/DoctorDetails/Narasimha-Prasad-Bhathala-Venkata/0321632-114007","Bhathala Venkata, Narasimha Prasad")</f>
        <v>Bhathala Venkata, Narasimha Prasad</v>
      </c>
      <c r="B1670" s="25" t="s">
        <v>15815</v>
      </c>
      <c r="C1670" s="24" t="s">
        <v>15816</v>
      </c>
      <c r="D1670" s="24" t="s">
        <v>15817</v>
      </c>
      <c r="E1670" s="24" t="s">
        <v>29</v>
      </c>
      <c r="F1670" s="24" t="s">
        <v>30</v>
      </c>
      <c r="G1670" s="24" t="s">
        <v>31</v>
      </c>
      <c r="H1670" s="24" t="s">
        <v>15818</v>
      </c>
      <c r="I1670" s="24" t="s">
        <v>15819</v>
      </c>
      <c r="J1670" s="24" t="s">
        <v>15820</v>
      </c>
      <c r="K1670" s="24"/>
      <c r="L1670" s="24"/>
      <c r="M1670" s="15"/>
      <c r="N1670" s="15" t="s">
        <v>15821</v>
      </c>
      <c r="O1670" s="15"/>
      <c r="P1670" s="15" t="s">
        <v>3308</v>
      </c>
      <c r="Q1670" s="15"/>
      <c r="R1670" s="15" t="s">
        <v>15822</v>
      </c>
      <c r="S1670" s="24" t="s">
        <v>39</v>
      </c>
      <c r="T1670" s="24" t="s">
        <v>39</v>
      </c>
      <c r="U1670" s="24" t="s">
        <v>39</v>
      </c>
      <c r="V1670" s="24" t="s">
        <v>39</v>
      </c>
      <c r="W1670" s="24"/>
      <c r="X1670" s="24"/>
      <c r="Y1670" s="15"/>
      <c r="Z1670" s="15"/>
      <c r="AA1670" s="24"/>
      <c r="AB1670" s="24"/>
      <c r="AC1670" s="24"/>
      <c r="AD1670" s="24"/>
      <c r="AE1670" s="24"/>
      <c r="AF1670" s="24"/>
      <c r="AG1670" s="24"/>
      <c r="AH1670" s="24"/>
    </row>
    <row r="1671" spans="1:34" x14ac:dyDescent="0.25">
      <c r="A1671" s="24" t="str">
        <f>HYPERLINK("https://www.cpso.on.ca/DoctorDetails/Narasimha-Rao-Malempati/0040950-54926","Malempati, Narasimha Rao")</f>
        <v>Malempati, Narasimha Rao</v>
      </c>
      <c r="B1671" s="25" t="s">
        <v>15823</v>
      </c>
      <c r="C1671" s="24" t="s">
        <v>15824</v>
      </c>
      <c r="D1671" s="24" t="s">
        <v>15825</v>
      </c>
      <c r="E1671" s="24" t="s">
        <v>29</v>
      </c>
      <c r="F1671" s="24" t="s">
        <v>30</v>
      </c>
      <c r="G1671" s="24" t="s">
        <v>15826</v>
      </c>
      <c r="H1671" s="24" t="s">
        <v>15827</v>
      </c>
      <c r="I1671" s="24" t="s">
        <v>15828</v>
      </c>
      <c r="J1671" s="24" t="s">
        <v>15829</v>
      </c>
      <c r="K1671" s="24" t="s">
        <v>15830</v>
      </c>
      <c r="L1671" s="24" t="s">
        <v>65</v>
      </c>
      <c r="M1671" s="15"/>
      <c r="N1671" s="15"/>
      <c r="O1671" s="15"/>
      <c r="P1671" s="15" t="s">
        <v>316</v>
      </c>
      <c r="Q1671" s="15"/>
      <c r="R1671" s="15" t="s">
        <v>15831</v>
      </c>
      <c r="S1671" s="24" t="s">
        <v>39</v>
      </c>
      <c r="T1671" s="24" t="s">
        <v>39</v>
      </c>
      <c r="U1671" s="24" t="s">
        <v>39</v>
      </c>
      <c r="V1671" s="24" t="s">
        <v>39</v>
      </c>
      <c r="W1671" s="24" t="s">
        <v>15832</v>
      </c>
      <c r="X1671" s="24" t="s">
        <v>15833</v>
      </c>
      <c r="Y1671" s="15" t="s">
        <v>15834</v>
      </c>
      <c r="Z1671" s="15" t="s">
        <v>15835</v>
      </c>
      <c r="AA1671" s="24"/>
      <c r="AB1671" s="24"/>
      <c r="AC1671" s="24"/>
      <c r="AD1671" s="24"/>
      <c r="AE1671" s="24"/>
      <c r="AF1671" s="24"/>
      <c r="AG1671" s="24"/>
      <c r="AH1671" s="24"/>
    </row>
    <row r="1672" spans="1:34" ht="75" x14ac:dyDescent="0.25">
      <c r="A1672" s="24" t="str">
        <f>HYPERLINK("https://www.cpso.on.ca/DoctorDetails/Narges-Beyraghi/0297337-104641","Beyraghi, Narges")</f>
        <v>Beyraghi, Narges</v>
      </c>
      <c r="B1672" s="25" t="s">
        <v>15836</v>
      </c>
      <c r="C1672" s="24" t="s">
        <v>15837</v>
      </c>
      <c r="D1672" s="24" t="s">
        <v>15838</v>
      </c>
      <c r="E1672" s="24" t="s">
        <v>29</v>
      </c>
      <c r="F1672" s="24" t="s">
        <v>47</v>
      </c>
      <c r="G1672" s="24" t="s">
        <v>15839</v>
      </c>
      <c r="H1672" s="24" t="s">
        <v>15840</v>
      </c>
      <c r="I1672" s="24" t="s">
        <v>15841</v>
      </c>
      <c r="J1672" s="24" t="s">
        <v>1262</v>
      </c>
      <c r="K1672" s="24"/>
      <c r="L1672" s="24" t="s">
        <v>52</v>
      </c>
      <c r="M1672" s="15"/>
      <c r="N1672" s="15"/>
      <c r="O1672" s="15"/>
      <c r="P1672" s="15" t="s">
        <v>15842</v>
      </c>
      <c r="Q1672" s="15" t="s">
        <v>15843</v>
      </c>
      <c r="R1672" s="15" t="s">
        <v>15844</v>
      </c>
      <c r="S1672" s="24" t="s">
        <v>71</v>
      </c>
      <c r="T1672" s="24" t="s">
        <v>39</v>
      </c>
      <c r="U1672" s="24" t="s">
        <v>39</v>
      </c>
      <c r="V1672" s="24" t="s">
        <v>39</v>
      </c>
      <c r="W1672" s="24"/>
      <c r="X1672" s="24"/>
      <c r="Y1672" s="15"/>
      <c r="Z1672" s="15"/>
      <c r="AA1672" s="24"/>
      <c r="AB1672" s="24"/>
      <c r="AC1672" s="24"/>
      <c r="AD1672" s="24"/>
      <c r="AE1672" s="24"/>
      <c r="AF1672" s="24"/>
      <c r="AG1672" s="24"/>
      <c r="AH1672" s="24"/>
    </row>
    <row r="1673" spans="1:34" ht="75" x14ac:dyDescent="0.25">
      <c r="A1673" s="24" t="str">
        <f>HYPERLINK("https://www.cpso.on.ca/DoctorDetails/Nasa-Sanjay-Kumar-Rao/0302000-106121","Rao, Nasa Sanjay Kumar")</f>
        <v>Rao, Nasa Sanjay Kumar</v>
      </c>
      <c r="B1673" s="25" t="s">
        <v>15845</v>
      </c>
      <c r="C1673" s="24" t="s">
        <v>2067</v>
      </c>
      <c r="D1673" s="24" t="s">
        <v>13342</v>
      </c>
      <c r="E1673" s="24" t="s">
        <v>29</v>
      </c>
      <c r="F1673" s="24" t="s">
        <v>30</v>
      </c>
      <c r="G1673" s="24" t="s">
        <v>131</v>
      </c>
      <c r="H1673" s="24" t="s">
        <v>15846</v>
      </c>
      <c r="I1673" s="24" t="s">
        <v>15847</v>
      </c>
      <c r="J1673" s="24" t="s">
        <v>992</v>
      </c>
      <c r="K1673" s="24"/>
      <c r="L1673" s="24" t="s">
        <v>84</v>
      </c>
      <c r="M1673" s="15"/>
      <c r="N1673" s="15" t="s">
        <v>15848</v>
      </c>
      <c r="O1673" s="15"/>
      <c r="P1673" s="15" t="s">
        <v>4909</v>
      </c>
      <c r="Q1673" s="15"/>
      <c r="R1673" s="15" t="s">
        <v>15849</v>
      </c>
      <c r="S1673" s="24" t="s">
        <v>39</v>
      </c>
      <c r="T1673" s="24" t="s">
        <v>39</v>
      </c>
      <c r="U1673" s="24" t="s">
        <v>39</v>
      </c>
      <c r="V1673" s="24" t="s">
        <v>39</v>
      </c>
      <c r="W1673" s="24" t="s">
        <v>15850</v>
      </c>
      <c r="X1673" s="24" t="s">
        <v>15851</v>
      </c>
      <c r="Y1673" s="15" t="s">
        <v>15852</v>
      </c>
      <c r="Z1673" s="15" t="s">
        <v>718</v>
      </c>
      <c r="AA1673" s="24"/>
      <c r="AB1673" s="24"/>
      <c r="AC1673" s="24"/>
      <c r="AD1673" s="24"/>
      <c r="AE1673" s="24"/>
      <c r="AF1673" s="24"/>
      <c r="AG1673" s="24"/>
      <c r="AH1673" s="24"/>
    </row>
    <row r="1674" spans="1:34" ht="75" x14ac:dyDescent="0.25">
      <c r="A1674" s="24" t="str">
        <f>HYPERLINK("https://www.cpso.on.ca/DoctorDetails/Nasreen-Roberts/0037783-51759","Roberts, Nasreen")</f>
        <v>Roberts, Nasreen</v>
      </c>
      <c r="B1674" s="25" t="s">
        <v>15853</v>
      </c>
      <c r="C1674" s="24" t="s">
        <v>15854</v>
      </c>
      <c r="D1674" s="24" t="s">
        <v>4309</v>
      </c>
      <c r="E1674" s="24" t="s">
        <v>29</v>
      </c>
      <c r="F1674" s="24" t="s">
        <v>47</v>
      </c>
      <c r="G1674" s="24" t="s">
        <v>15855</v>
      </c>
      <c r="H1674" s="24" t="s">
        <v>15856</v>
      </c>
      <c r="I1674" s="24" t="s">
        <v>15857</v>
      </c>
      <c r="J1674" s="24" t="s">
        <v>15858</v>
      </c>
      <c r="K1674" s="24"/>
      <c r="L1674" s="24" t="s">
        <v>340</v>
      </c>
      <c r="M1674" s="15"/>
      <c r="N1674" s="15"/>
      <c r="O1674" s="15" t="s">
        <v>1914</v>
      </c>
      <c r="P1674" s="15" t="s">
        <v>9291</v>
      </c>
      <c r="Q1674" s="15" t="s">
        <v>15859</v>
      </c>
      <c r="R1674" s="15" t="s">
        <v>15860</v>
      </c>
      <c r="S1674" s="24" t="s">
        <v>39</v>
      </c>
      <c r="T1674" s="24" t="s">
        <v>39</v>
      </c>
      <c r="U1674" s="24" t="s">
        <v>39</v>
      </c>
      <c r="V1674" s="24" t="s">
        <v>39</v>
      </c>
      <c r="W1674" s="24" t="s">
        <v>15861</v>
      </c>
      <c r="X1674" s="24" t="s">
        <v>15862</v>
      </c>
      <c r="Y1674" s="15" t="s">
        <v>15863</v>
      </c>
      <c r="Z1674" s="15" t="s">
        <v>15864</v>
      </c>
      <c r="AA1674" s="24"/>
      <c r="AB1674" s="24"/>
      <c r="AC1674" s="24"/>
      <c r="AD1674" s="24"/>
      <c r="AE1674" s="24"/>
      <c r="AF1674" s="24"/>
      <c r="AG1674" s="24"/>
      <c r="AH1674" s="24"/>
    </row>
    <row r="1675" spans="1:34" ht="45" x14ac:dyDescent="0.25">
      <c r="A1675" s="24" t="str">
        <f>HYPERLINK("https://www.cpso.on.ca/DoctorDetails/Nassima-Azouaou/0313699-111532","Azouaou, Nassima")</f>
        <v>Azouaou, Nassima</v>
      </c>
      <c r="B1675" s="25" t="s">
        <v>15865</v>
      </c>
      <c r="C1675" s="24" t="s">
        <v>1548</v>
      </c>
      <c r="D1675" s="24" t="s">
        <v>200</v>
      </c>
      <c r="E1675" s="24" t="s">
        <v>29</v>
      </c>
      <c r="F1675" s="24" t="s">
        <v>47</v>
      </c>
      <c r="G1675" s="24" t="s">
        <v>31</v>
      </c>
      <c r="H1675" s="24" t="s">
        <v>15866</v>
      </c>
      <c r="I1675" s="24" t="s">
        <v>15867</v>
      </c>
      <c r="J1675" s="24" t="s">
        <v>3072</v>
      </c>
      <c r="K1675" s="24"/>
      <c r="L1675" s="24" t="s">
        <v>84</v>
      </c>
      <c r="M1675" s="15"/>
      <c r="N1675" s="15"/>
      <c r="O1675" s="15"/>
      <c r="P1675" s="15" t="s">
        <v>205</v>
      </c>
      <c r="Q1675" s="15" t="s">
        <v>15868</v>
      </c>
      <c r="R1675" s="15" t="s">
        <v>15869</v>
      </c>
      <c r="S1675" s="24" t="s">
        <v>39</v>
      </c>
      <c r="T1675" s="24" t="s">
        <v>39</v>
      </c>
      <c r="U1675" s="24" t="s">
        <v>39</v>
      </c>
      <c r="V1675" s="24" t="s">
        <v>39</v>
      </c>
      <c r="W1675" s="24"/>
      <c r="X1675" s="24"/>
      <c r="Y1675" s="15"/>
      <c r="Z1675" s="15"/>
      <c r="AA1675" s="24"/>
      <c r="AB1675" s="24"/>
      <c r="AC1675" s="24"/>
      <c r="AD1675" s="24"/>
      <c r="AE1675" s="24"/>
      <c r="AF1675" s="24"/>
      <c r="AG1675" s="24"/>
      <c r="AH1675" s="24"/>
    </row>
    <row r="1676" spans="1:34" ht="90" x14ac:dyDescent="0.25">
      <c r="A1676" s="24" t="str">
        <f>HYPERLINK("https://www.cpso.on.ca/DoctorDetails/Natalie-Irene-Erdmann/0233557-84568","Erdmann, Natalie Irene")</f>
        <v>Erdmann, Natalie Irene</v>
      </c>
      <c r="B1676" s="25" t="s">
        <v>15870</v>
      </c>
      <c r="C1676" s="24" t="s">
        <v>647</v>
      </c>
      <c r="D1676" s="24" t="s">
        <v>648</v>
      </c>
      <c r="E1676" s="24" t="s">
        <v>15871</v>
      </c>
      <c r="F1676" s="24" t="s">
        <v>47</v>
      </c>
      <c r="G1676" s="24" t="s">
        <v>31</v>
      </c>
      <c r="H1676" s="24" t="s">
        <v>15872</v>
      </c>
      <c r="I1676" s="24" t="s">
        <v>2646</v>
      </c>
      <c r="J1676" s="24" t="s">
        <v>15873</v>
      </c>
      <c r="K1676" s="24" t="s">
        <v>15874</v>
      </c>
      <c r="L1676" s="24" t="s">
        <v>52</v>
      </c>
      <c r="M1676" s="15"/>
      <c r="N1676" s="15"/>
      <c r="O1676" s="15" t="s">
        <v>1191</v>
      </c>
      <c r="P1676" s="15" t="s">
        <v>654</v>
      </c>
      <c r="Q1676" s="15" t="s">
        <v>15875</v>
      </c>
      <c r="R1676" s="15" t="s">
        <v>656</v>
      </c>
      <c r="S1676" s="24" t="s">
        <v>39</v>
      </c>
      <c r="T1676" s="24" t="s">
        <v>39</v>
      </c>
      <c r="U1676" s="24" t="s">
        <v>39</v>
      </c>
      <c r="V1676" s="24" t="s">
        <v>39</v>
      </c>
      <c r="W1676" s="24" t="s">
        <v>15876</v>
      </c>
      <c r="X1676" s="24" t="s">
        <v>15877</v>
      </c>
      <c r="Y1676" s="15" t="s">
        <v>15878</v>
      </c>
      <c r="Z1676" s="15" t="s">
        <v>15879</v>
      </c>
      <c r="AA1676" s="24"/>
      <c r="AB1676" s="24"/>
      <c r="AC1676" s="24"/>
      <c r="AD1676" s="24"/>
      <c r="AE1676" s="24"/>
      <c r="AF1676" s="24"/>
      <c r="AG1676" s="24"/>
      <c r="AH1676" s="24"/>
    </row>
    <row r="1677" spans="1:34" ht="75" x14ac:dyDescent="0.25">
      <c r="A1677" s="24" t="str">
        <f>HYPERLINK("https://www.cpso.on.ca/DoctorDetails/Natasha-Marie-Snelgrove/0272755-95795","Snelgrove, Natasha Marie")</f>
        <v>Snelgrove, Natasha Marie</v>
      </c>
      <c r="B1677" s="25" t="s">
        <v>15880</v>
      </c>
      <c r="C1677" s="24" t="s">
        <v>1266</v>
      </c>
      <c r="D1677" s="24" t="s">
        <v>967</v>
      </c>
      <c r="E1677" s="24" t="s">
        <v>29</v>
      </c>
      <c r="F1677" s="24" t="s">
        <v>47</v>
      </c>
      <c r="G1677" s="24" t="s">
        <v>31</v>
      </c>
      <c r="H1677" s="24" t="s">
        <v>10252</v>
      </c>
      <c r="I1677" s="24" t="s">
        <v>15881</v>
      </c>
      <c r="J1677" s="24" t="s">
        <v>15882</v>
      </c>
      <c r="K1677" s="24"/>
      <c r="L1677" s="24" t="s">
        <v>184</v>
      </c>
      <c r="M1677" s="15" t="s">
        <v>15883</v>
      </c>
      <c r="N1677" s="15"/>
      <c r="O1677" s="15" t="s">
        <v>1135</v>
      </c>
      <c r="P1677" s="15" t="s">
        <v>973</v>
      </c>
      <c r="Q1677" s="15" t="s">
        <v>10622</v>
      </c>
      <c r="R1677" s="15" t="s">
        <v>4059</v>
      </c>
      <c r="S1677" s="24" t="s">
        <v>39</v>
      </c>
      <c r="T1677" s="24" t="s">
        <v>39</v>
      </c>
      <c r="U1677" s="24" t="s">
        <v>39</v>
      </c>
      <c r="V1677" s="24" t="s">
        <v>39</v>
      </c>
      <c r="W1677" s="24" t="s">
        <v>15884</v>
      </c>
      <c r="X1677" s="24" t="s">
        <v>15885</v>
      </c>
      <c r="Y1677" s="15" t="s">
        <v>15886</v>
      </c>
      <c r="Z1677" s="15" t="s">
        <v>15887</v>
      </c>
      <c r="AA1677" s="24"/>
      <c r="AB1677" s="24"/>
      <c r="AC1677" s="24"/>
      <c r="AD1677" s="24"/>
      <c r="AE1677" s="24"/>
      <c r="AF1677" s="24"/>
      <c r="AG1677" s="24"/>
      <c r="AH1677" s="24"/>
    </row>
    <row r="1678" spans="1:34" x14ac:dyDescent="0.25">
      <c r="A1678" s="24" t="str">
        <f>HYPERLINK("https://www.cpso.on.ca/DoctorDetails/Natashia-Jennifer-Penner/0326013-115729","Penner, Natashia Jennifer")</f>
        <v>Penner, Natashia Jennifer</v>
      </c>
      <c r="B1678" s="25" t="s">
        <v>15888</v>
      </c>
      <c r="C1678" s="24" t="s">
        <v>15889</v>
      </c>
      <c r="D1678" s="24" t="s">
        <v>15890</v>
      </c>
      <c r="E1678" s="24" t="s">
        <v>29</v>
      </c>
      <c r="F1678" s="24" t="s">
        <v>47</v>
      </c>
      <c r="G1678" s="24" t="s">
        <v>31</v>
      </c>
      <c r="H1678" s="24" t="s">
        <v>15891</v>
      </c>
      <c r="I1678" s="24" t="s">
        <v>15892</v>
      </c>
      <c r="J1678" s="24" t="s">
        <v>1120</v>
      </c>
      <c r="K1678" s="24"/>
      <c r="L1678" s="24" t="s">
        <v>340</v>
      </c>
      <c r="M1678" s="15"/>
      <c r="N1678" s="15"/>
      <c r="O1678" s="15"/>
      <c r="P1678" s="15" t="s">
        <v>629</v>
      </c>
      <c r="Q1678" s="15"/>
      <c r="R1678" s="15" t="s">
        <v>15893</v>
      </c>
      <c r="S1678" s="24" t="s">
        <v>39</v>
      </c>
      <c r="T1678" s="24" t="s">
        <v>39</v>
      </c>
      <c r="U1678" s="24" t="s">
        <v>39</v>
      </c>
      <c r="V1678" s="24" t="s">
        <v>39</v>
      </c>
      <c r="W1678" s="24"/>
      <c r="X1678" s="24"/>
      <c r="Y1678" s="15"/>
      <c r="Z1678" s="15"/>
      <c r="AA1678" s="24"/>
      <c r="AB1678" s="24"/>
      <c r="AC1678" s="24"/>
      <c r="AD1678" s="24"/>
      <c r="AE1678" s="24"/>
      <c r="AF1678" s="24"/>
      <c r="AG1678" s="24"/>
      <c r="AH1678" s="24"/>
    </row>
    <row r="1679" spans="1:34" ht="45" x14ac:dyDescent="0.25">
      <c r="A1679" s="24" t="str">
        <f>HYPERLINK("https://www.cpso.on.ca/DoctorDetails/Natasja-Maria-Menezes/0204756-79705","Menezes, Natasja Maria")</f>
        <v>Menezes, Natasja Maria</v>
      </c>
      <c r="B1679" s="25" t="s">
        <v>15894</v>
      </c>
      <c r="C1679" s="24" t="s">
        <v>15895</v>
      </c>
      <c r="D1679" s="24" t="s">
        <v>15896</v>
      </c>
      <c r="E1679" s="24" t="s">
        <v>29</v>
      </c>
      <c r="F1679" s="24" t="s">
        <v>47</v>
      </c>
      <c r="G1679" s="24" t="s">
        <v>813</v>
      </c>
      <c r="H1679" s="24" t="s">
        <v>10903</v>
      </c>
      <c r="I1679" s="24" t="s">
        <v>15897</v>
      </c>
      <c r="J1679" s="24" t="s">
        <v>15898</v>
      </c>
      <c r="K1679" s="24" t="s">
        <v>15899</v>
      </c>
      <c r="L1679" s="24" t="s">
        <v>184</v>
      </c>
      <c r="M1679" s="15"/>
      <c r="N1679" s="15"/>
      <c r="O1679" s="15" t="s">
        <v>6565</v>
      </c>
      <c r="P1679" s="15" t="s">
        <v>15900</v>
      </c>
      <c r="Q1679" s="15" t="s">
        <v>15901</v>
      </c>
      <c r="R1679" s="15" t="s">
        <v>15902</v>
      </c>
      <c r="S1679" s="24" t="s">
        <v>39</v>
      </c>
      <c r="T1679" s="24" t="s">
        <v>39</v>
      </c>
      <c r="U1679" s="24" t="s">
        <v>39</v>
      </c>
      <c r="V1679" s="24" t="s">
        <v>39</v>
      </c>
      <c r="W1679" s="24"/>
      <c r="X1679" s="24"/>
      <c r="Y1679" s="15"/>
      <c r="Z1679" s="15"/>
      <c r="AA1679" s="24"/>
      <c r="AB1679" s="24"/>
      <c r="AC1679" s="24"/>
      <c r="AD1679" s="24"/>
      <c r="AE1679" s="24"/>
      <c r="AF1679" s="24"/>
      <c r="AG1679" s="24"/>
      <c r="AH1679" s="24"/>
    </row>
    <row r="1680" spans="1:34" ht="105" x14ac:dyDescent="0.25">
      <c r="A1680" s="24" t="str">
        <f>HYPERLINK("https://www.cpso.on.ca/DoctorDetails/Nathalie-Corriveau/0280913-97584","Corriveau, Nathalie")</f>
        <v>Corriveau, Nathalie</v>
      </c>
      <c r="B1680" s="25" t="s">
        <v>15903</v>
      </c>
      <c r="C1680" s="24" t="s">
        <v>3052</v>
      </c>
      <c r="D1680" s="24" t="s">
        <v>545</v>
      </c>
      <c r="E1680" s="24" t="s">
        <v>29</v>
      </c>
      <c r="F1680" s="24" t="s">
        <v>47</v>
      </c>
      <c r="G1680" s="24" t="s">
        <v>813</v>
      </c>
      <c r="H1680" s="24" t="s">
        <v>2650</v>
      </c>
      <c r="I1680" s="24" t="s">
        <v>15904</v>
      </c>
      <c r="J1680" s="24" t="s">
        <v>15905</v>
      </c>
      <c r="K1680" s="24"/>
      <c r="L1680" s="24" t="s">
        <v>36</v>
      </c>
      <c r="M1680" s="15" t="s">
        <v>15906</v>
      </c>
      <c r="N1680" s="15"/>
      <c r="O1680" s="15" t="s">
        <v>15907</v>
      </c>
      <c r="P1680" s="15" t="s">
        <v>550</v>
      </c>
      <c r="Q1680" s="15" t="s">
        <v>15908</v>
      </c>
      <c r="R1680" s="15" t="s">
        <v>15909</v>
      </c>
      <c r="S1680" s="24" t="s">
        <v>39</v>
      </c>
      <c r="T1680" s="24" t="s">
        <v>39</v>
      </c>
      <c r="U1680" s="24" t="s">
        <v>39</v>
      </c>
      <c r="V1680" s="24" t="s">
        <v>39</v>
      </c>
      <c r="W1680" s="24"/>
      <c r="X1680" s="24"/>
      <c r="Y1680" s="15"/>
      <c r="Z1680" s="15"/>
      <c r="AA1680" s="24"/>
      <c r="AB1680" s="24"/>
      <c r="AC1680" s="24"/>
      <c r="AD1680" s="24"/>
      <c r="AE1680" s="24"/>
      <c r="AF1680" s="24"/>
      <c r="AG1680" s="24"/>
      <c r="AH1680" s="24"/>
    </row>
    <row r="1681" spans="1:34" x14ac:dyDescent="0.25">
      <c r="A1681" s="24" t="str">
        <f>HYPERLINK("https://www.cpso.on.ca/DoctorDetails/Nathan-Dan-Scharf/0042023-56001","Scharf, Nathan Dan")</f>
        <v>Scharf, Nathan Dan</v>
      </c>
      <c r="B1681" s="25" t="s">
        <v>15910</v>
      </c>
      <c r="C1681" s="24" t="s">
        <v>15911</v>
      </c>
      <c r="D1681" s="24" t="s">
        <v>15912</v>
      </c>
      <c r="E1681" s="24" t="s">
        <v>29</v>
      </c>
      <c r="F1681" s="24" t="s">
        <v>30</v>
      </c>
      <c r="G1681" s="24" t="s">
        <v>31</v>
      </c>
      <c r="H1681" s="24" t="s">
        <v>1417</v>
      </c>
      <c r="I1681" s="24" t="s">
        <v>6242</v>
      </c>
      <c r="J1681" s="24" t="s">
        <v>15913</v>
      </c>
      <c r="K1681" s="24" t="s">
        <v>6244</v>
      </c>
      <c r="L1681" s="24" t="s">
        <v>52</v>
      </c>
      <c r="M1681" s="15"/>
      <c r="N1681" s="15"/>
      <c r="O1681" s="15"/>
      <c r="P1681" s="15" t="s">
        <v>2640</v>
      </c>
      <c r="Q1681" s="15" t="s">
        <v>8155</v>
      </c>
      <c r="R1681" s="15" t="s">
        <v>15914</v>
      </c>
      <c r="S1681" s="24" t="s">
        <v>39</v>
      </c>
      <c r="T1681" s="24" t="s">
        <v>39</v>
      </c>
      <c r="U1681" s="24" t="s">
        <v>39</v>
      </c>
      <c r="V1681" s="24" t="s">
        <v>39</v>
      </c>
      <c r="W1681" s="24" t="s">
        <v>15915</v>
      </c>
      <c r="X1681" s="24" t="s">
        <v>15916</v>
      </c>
      <c r="Y1681" s="15" t="s">
        <v>15917</v>
      </c>
      <c r="Z1681" s="15" t="s">
        <v>15153</v>
      </c>
      <c r="AA1681" s="24"/>
      <c r="AB1681" s="24"/>
      <c r="AC1681" s="24"/>
      <c r="AD1681" s="24"/>
      <c r="AE1681" s="24"/>
      <c r="AF1681" s="24"/>
      <c r="AG1681" s="24"/>
      <c r="AH1681" s="24"/>
    </row>
    <row r="1682" spans="1:34" ht="30" x14ac:dyDescent="0.25">
      <c r="A1682" s="24" t="str">
        <f>HYPERLINK("https://www.cpso.on.ca/DoctorDetails/Nathan-Herrmann/0038942-52918","Herrmann, Nathan")</f>
        <v>Herrmann, Nathan</v>
      </c>
      <c r="B1682" s="25" t="s">
        <v>15918</v>
      </c>
      <c r="C1682" s="24" t="s">
        <v>3561</v>
      </c>
      <c r="D1682" s="24" t="s">
        <v>15919</v>
      </c>
      <c r="E1682" s="24" t="s">
        <v>29</v>
      </c>
      <c r="F1682" s="24" t="s">
        <v>30</v>
      </c>
      <c r="G1682" s="24" t="s">
        <v>31</v>
      </c>
      <c r="H1682" s="24" t="s">
        <v>3563</v>
      </c>
      <c r="I1682" s="24" t="s">
        <v>15920</v>
      </c>
      <c r="J1682" s="24" t="s">
        <v>15921</v>
      </c>
      <c r="K1682" s="24"/>
      <c r="L1682" s="24" t="s">
        <v>52</v>
      </c>
      <c r="M1682" s="15"/>
      <c r="N1682" s="15"/>
      <c r="O1682" s="15" t="s">
        <v>1397</v>
      </c>
      <c r="P1682" s="15" t="s">
        <v>2640</v>
      </c>
      <c r="Q1682" s="15"/>
      <c r="R1682" s="15" t="s">
        <v>15922</v>
      </c>
      <c r="S1682" s="24" t="s">
        <v>39</v>
      </c>
      <c r="T1682" s="24" t="s">
        <v>39</v>
      </c>
      <c r="U1682" s="24" t="s">
        <v>39</v>
      </c>
      <c r="V1682" s="24" t="s">
        <v>39</v>
      </c>
      <c r="W1682" s="24" t="s">
        <v>15923</v>
      </c>
      <c r="X1682" s="24" t="s">
        <v>2297</v>
      </c>
      <c r="Y1682" s="15" t="s">
        <v>15924</v>
      </c>
      <c r="Z1682" s="15" t="s">
        <v>15925</v>
      </c>
      <c r="AA1682" s="24"/>
      <c r="AB1682" s="24"/>
      <c r="AC1682" s="24"/>
      <c r="AD1682" s="24"/>
      <c r="AE1682" s="24"/>
      <c r="AF1682" s="24"/>
      <c r="AG1682" s="24"/>
      <c r="AH1682" s="24"/>
    </row>
    <row r="1683" spans="1:34" ht="120" x14ac:dyDescent="0.25">
      <c r="A1683" s="24" t="str">
        <f>HYPERLINK("https://www.cpso.on.ca/DoctorDetails/Nathan-John-Kolla/0223849-83055","Kolla, Nathan John")</f>
        <v>Kolla, Nathan John</v>
      </c>
      <c r="B1683" s="25" t="s">
        <v>15926</v>
      </c>
      <c r="C1683" s="24" t="s">
        <v>15927</v>
      </c>
      <c r="D1683" s="24" t="s">
        <v>15928</v>
      </c>
      <c r="E1683" s="24" t="s">
        <v>29</v>
      </c>
      <c r="F1683" s="24" t="s">
        <v>30</v>
      </c>
      <c r="G1683" s="24" t="s">
        <v>31</v>
      </c>
      <c r="H1683" s="24" t="s">
        <v>6125</v>
      </c>
      <c r="I1683" s="24" t="s">
        <v>15929</v>
      </c>
      <c r="J1683" s="24" t="s">
        <v>15930</v>
      </c>
      <c r="K1683" s="24"/>
      <c r="L1683" s="24" t="s">
        <v>52</v>
      </c>
      <c r="M1683" s="15"/>
      <c r="N1683" s="15"/>
      <c r="O1683" s="15" t="s">
        <v>793</v>
      </c>
      <c r="P1683" s="15" t="s">
        <v>15931</v>
      </c>
      <c r="Q1683" s="15" t="s">
        <v>15932</v>
      </c>
      <c r="R1683" s="15" t="s">
        <v>15933</v>
      </c>
      <c r="S1683" s="24" t="s">
        <v>39</v>
      </c>
      <c r="T1683" s="24" t="s">
        <v>39</v>
      </c>
      <c r="U1683" s="24" t="s">
        <v>39</v>
      </c>
      <c r="V1683" s="24" t="s">
        <v>39</v>
      </c>
      <c r="W1683" s="24" t="s">
        <v>15934</v>
      </c>
      <c r="X1683" s="24" t="s">
        <v>15935</v>
      </c>
      <c r="Y1683" s="15" t="s">
        <v>15936</v>
      </c>
      <c r="Z1683" s="15" t="s">
        <v>15937</v>
      </c>
      <c r="AA1683" s="24"/>
      <c r="AB1683" s="24"/>
      <c r="AC1683" s="24"/>
      <c r="AD1683" s="24"/>
      <c r="AE1683" s="24"/>
      <c r="AF1683" s="24"/>
      <c r="AG1683" s="24"/>
      <c r="AH1683" s="24"/>
    </row>
    <row r="1684" spans="1:34" ht="90" x14ac:dyDescent="0.25">
      <c r="A1684" s="24" t="str">
        <f>HYPERLINK("https://www.cpso.on.ca/DoctorDetails/Nathaniel-Abram-Charach/0273335-95982","Charach, Nathaniel Abram")</f>
        <v>Charach, Nathaniel Abram</v>
      </c>
      <c r="B1684" s="25" t="s">
        <v>15938</v>
      </c>
      <c r="C1684" s="24" t="s">
        <v>1266</v>
      </c>
      <c r="D1684" s="24" t="s">
        <v>10439</v>
      </c>
      <c r="E1684" s="24" t="s">
        <v>29</v>
      </c>
      <c r="F1684" s="24" t="s">
        <v>30</v>
      </c>
      <c r="G1684" s="24" t="s">
        <v>31</v>
      </c>
      <c r="H1684" s="24" t="s">
        <v>4055</v>
      </c>
      <c r="I1684" s="24" t="s">
        <v>15939</v>
      </c>
      <c r="J1684" s="24" t="s">
        <v>15940</v>
      </c>
      <c r="K1684" s="24" t="s">
        <v>15941</v>
      </c>
      <c r="L1684" s="24" t="s">
        <v>52</v>
      </c>
      <c r="M1684" s="15"/>
      <c r="N1684" s="15"/>
      <c r="O1684" s="15" t="s">
        <v>271</v>
      </c>
      <c r="P1684" s="15" t="s">
        <v>15942</v>
      </c>
      <c r="Q1684" s="15" t="s">
        <v>15943</v>
      </c>
      <c r="R1684" s="15" t="s">
        <v>15944</v>
      </c>
      <c r="S1684" s="24" t="s">
        <v>39</v>
      </c>
      <c r="T1684" s="24" t="s">
        <v>39</v>
      </c>
      <c r="U1684" s="24" t="s">
        <v>39</v>
      </c>
      <c r="V1684" s="24" t="s">
        <v>39</v>
      </c>
      <c r="W1684" s="24" t="s">
        <v>15945</v>
      </c>
      <c r="X1684" s="24" t="s">
        <v>15946</v>
      </c>
      <c r="Y1684" s="15" t="s">
        <v>15947</v>
      </c>
      <c r="Z1684" s="15" t="s">
        <v>15948</v>
      </c>
      <c r="AA1684" s="24"/>
      <c r="AB1684" s="24"/>
      <c r="AC1684" s="24"/>
      <c r="AD1684" s="24"/>
      <c r="AE1684" s="24"/>
      <c r="AF1684" s="24"/>
      <c r="AG1684" s="24"/>
      <c r="AH1684" s="24"/>
    </row>
    <row r="1685" spans="1:34" x14ac:dyDescent="0.25">
      <c r="A1685" s="24" t="str">
        <f>HYPERLINK("https://www.cpso.on.ca/DoctorDetails/Naushad-Ali-Noorani/0202004-82383","Noorani, Naushad Ali")</f>
        <v>Noorani, Naushad Ali</v>
      </c>
      <c r="B1685" s="25" t="s">
        <v>15949</v>
      </c>
      <c r="C1685" s="24" t="s">
        <v>15950</v>
      </c>
      <c r="D1685" s="24" t="s">
        <v>15951</v>
      </c>
      <c r="E1685" s="24" t="s">
        <v>29</v>
      </c>
      <c r="F1685" s="24" t="s">
        <v>30</v>
      </c>
      <c r="G1685" s="24" t="s">
        <v>31</v>
      </c>
      <c r="H1685" s="24" t="s">
        <v>62</v>
      </c>
      <c r="I1685" s="24" t="s">
        <v>830</v>
      </c>
      <c r="J1685" s="24" t="s">
        <v>831</v>
      </c>
      <c r="K1685" s="24" t="s">
        <v>832</v>
      </c>
      <c r="L1685" s="24" t="s">
        <v>36</v>
      </c>
      <c r="M1685" s="15"/>
      <c r="N1685" s="15"/>
      <c r="O1685" s="15" t="s">
        <v>833</v>
      </c>
      <c r="P1685" s="15" t="s">
        <v>15952</v>
      </c>
      <c r="Q1685" s="15"/>
      <c r="R1685" s="15" t="s">
        <v>15953</v>
      </c>
      <c r="S1685" s="24" t="s">
        <v>39</v>
      </c>
      <c r="T1685" s="24" t="s">
        <v>39</v>
      </c>
      <c r="U1685" s="24" t="s">
        <v>39</v>
      </c>
      <c r="V1685" s="24" t="s">
        <v>39</v>
      </c>
      <c r="W1685" s="24" t="s">
        <v>15954</v>
      </c>
      <c r="X1685" s="24" t="s">
        <v>15955</v>
      </c>
      <c r="Y1685" s="15" t="s">
        <v>15956</v>
      </c>
      <c r="Z1685" s="15" t="s">
        <v>15957</v>
      </c>
      <c r="AA1685" s="24"/>
      <c r="AB1685" s="24"/>
      <c r="AC1685" s="24"/>
      <c r="AD1685" s="24"/>
      <c r="AE1685" s="24"/>
      <c r="AF1685" s="24"/>
      <c r="AG1685" s="24"/>
      <c r="AH1685" s="24"/>
    </row>
    <row r="1686" spans="1:34" x14ac:dyDescent="0.25">
      <c r="A1686" s="24" t="str">
        <f>HYPERLINK("https://www.cpso.on.ca/DoctorDetails/Naveen-Rangaswamy-Dayal/0048911-62889","Dayal, Naveen Rangaswamy")</f>
        <v>Dayal, Naveen Rangaswamy</v>
      </c>
      <c r="B1686" s="25" t="s">
        <v>15958</v>
      </c>
      <c r="C1686" s="24" t="s">
        <v>15959</v>
      </c>
      <c r="D1686" s="24" t="s">
        <v>4555</v>
      </c>
      <c r="E1686" s="24" t="s">
        <v>29</v>
      </c>
      <c r="F1686" s="24" t="s">
        <v>30</v>
      </c>
      <c r="G1686" s="24" t="s">
        <v>31</v>
      </c>
      <c r="H1686" s="24" t="s">
        <v>15960</v>
      </c>
      <c r="I1686" s="24" t="s">
        <v>15961</v>
      </c>
      <c r="J1686" s="24" t="s">
        <v>15962</v>
      </c>
      <c r="K1686" s="24" t="s">
        <v>15963</v>
      </c>
      <c r="L1686" s="24" t="s">
        <v>36</v>
      </c>
      <c r="M1686" s="15" t="s">
        <v>15964</v>
      </c>
      <c r="N1686" s="15"/>
      <c r="O1686" s="15"/>
      <c r="P1686" s="15" t="s">
        <v>1094</v>
      </c>
      <c r="Q1686" s="15"/>
      <c r="R1686" s="15" t="s">
        <v>15965</v>
      </c>
      <c r="S1686" s="24" t="s">
        <v>39</v>
      </c>
      <c r="T1686" s="24" t="s">
        <v>39</v>
      </c>
      <c r="U1686" s="24" t="s">
        <v>39</v>
      </c>
      <c r="V1686" s="24" t="s">
        <v>39</v>
      </c>
      <c r="W1686" s="24" t="s">
        <v>15966</v>
      </c>
      <c r="X1686" s="24" t="s">
        <v>9534</v>
      </c>
      <c r="Y1686" s="15" t="s">
        <v>15967</v>
      </c>
      <c r="Z1686" s="15" t="s">
        <v>15968</v>
      </c>
      <c r="AA1686" s="24"/>
      <c r="AB1686" s="24"/>
      <c r="AC1686" s="24"/>
      <c r="AD1686" s="24"/>
      <c r="AE1686" s="24"/>
      <c r="AF1686" s="24"/>
      <c r="AG1686" s="24"/>
      <c r="AH1686" s="24"/>
    </row>
    <row r="1687" spans="1:34" ht="75" x14ac:dyDescent="0.25">
      <c r="A1687" s="24" t="str">
        <f>HYPERLINK("https://www.cpso.on.ca/DoctorDetails/Navin-Kaicker/0210628-81020","Kaicker, Navin")</f>
        <v>Kaicker, Navin</v>
      </c>
      <c r="B1687" s="25" t="s">
        <v>15969</v>
      </c>
      <c r="C1687" s="24" t="s">
        <v>15970</v>
      </c>
      <c r="D1687" s="24" t="s">
        <v>15971</v>
      </c>
      <c r="E1687" s="24" t="s">
        <v>29</v>
      </c>
      <c r="F1687" s="24" t="s">
        <v>30</v>
      </c>
      <c r="G1687" s="24" t="s">
        <v>31</v>
      </c>
      <c r="H1687" s="24" t="s">
        <v>1170</v>
      </c>
      <c r="I1687" s="24" t="s">
        <v>15632</v>
      </c>
      <c r="J1687" s="24" t="s">
        <v>15972</v>
      </c>
      <c r="K1687" s="24"/>
      <c r="L1687" s="24" t="s">
        <v>36</v>
      </c>
      <c r="M1687" s="15"/>
      <c r="N1687" s="15" t="s">
        <v>1370</v>
      </c>
      <c r="O1687" s="15"/>
      <c r="P1687" s="15" t="s">
        <v>55</v>
      </c>
      <c r="Q1687" s="15" t="s">
        <v>56</v>
      </c>
      <c r="R1687" s="15" t="s">
        <v>15973</v>
      </c>
      <c r="S1687" s="24" t="s">
        <v>39</v>
      </c>
      <c r="T1687" s="24" t="s">
        <v>39</v>
      </c>
      <c r="U1687" s="24" t="s">
        <v>39</v>
      </c>
      <c r="V1687" s="24" t="s">
        <v>39</v>
      </c>
      <c r="W1687" s="24" t="s">
        <v>15974</v>
      </c>
      <c r="X1687" s="24" t="s">
        <v>125</v>
      </c>
      <c r="Y1687" s="15" t="s">
        <v>15975</v>
      </c>
      <c r="Z1687" s="15" t="s">
        <v>15976</v>
      </c>
      <c r="AA1687" s="24"/>
      <c r="AB1687" s="24"/>
      <c r="AC1687" s="24"/>
      <c r="AD1687" s="24"/>
      <c r="AE1687" s="24"/>
      <c r="AF1687" s="24"/>
      <c r="AG1687" s="24"/>
      <c r="AH1687" s="24"/>
    </row>
    <row r="1688" spans="1:34" ht="135" x14ac:dyDescent="0.25">
      <c r="A1688" s="24" t="str">
        <f>HYPERLINK("https://www.cpso.on.ca/DoctorDetails/Nazanin-Alavi-Tabari/0274464-95224","Alavi Tabari, Nazanin")</f>
        <v>Alavi Tabari, Nazanin</v>
      </c>
      <c r="B1688" s="25" t="s">
        <v>15977</v>
      </c>
      <c r="C1688" s="24" t="s">
        <v>1266</v>
      </c>
      <c r="D1688" s="24" t="s">
        <v>15978</v>
      </c>
      <c r="E1688" s="24" t="s">
        <v>29</v>
      </c>
      <c r="F1688" s="24" t="s">
        <v>47</v>
      </c>
      <c r="G1688" s="24" t="s">
        <v>522</v>
      </c>
      <c r="H1688" s="24" t="s">
        <v>15979</v>
      </c>
      <c r="I1688" s="24" t="s">
        <v>15980</v>
      </c>
      <c r="J1688" s="24" t="s">
        <v>15981</v>
      </c>
      <c r="K1688" s="24" t="s">
        <v>7708</v>
      </c>
      <c r="L1688" s="24" t="s">
        <v>52</v>
      </c>
      <c r="M1688" s="15"/>
      <c r="N1688" s="15"/>
      <c r="O1688" s="15" t="s">
        <v>2483</v>
      </c>
      <c r="P1688" s="15" t="s">
        <v>15982</v>
      </c>
      <c r="Q1688" s="15" t="s">
        <v>15983</v>
      </c>
      <c r="R1688" s="15" t="s">
        <v>15984</v>
      </c>
      <c r="S1688" s="24" t="s">
        <v>39</v>
      </c>
      <c r="T1688" s="24" t="s">
        <v>39</v>
      </c>
      <c r="U1688" s="24" t="s">
        <v>39</v>
      </c>
      <c r="V1688" s="24" t="s">
        <v>39</v>
      </c>
      <c r="W1688" s="24"/>
      <c r="X1688" s="24"/>
      <c r="Y1688" s="15"/>
      <c r="Z1688" s="15"/>
      <c r="AA1688" s="24"/>
      <c r="AB1688" s="24"/>
      <c r="AC1688" s="24"/>
      <c r="AD1688" s="24"/>
      <c r="AE1688" s="24"/>
      <c r="AF1688" s="24"/>
      <c r="AG1688" s="24"/>
      <c r="AH1688" s="24"/>
    </row>
    <row r="1689" spans="1:34" ht="75" x14ac:dyDescent="0.25">
      <c r="A1689" s="24" t="str">
        <f>HYPERLINK("https://www.cpso.on.ca/DoctorDetails/Nazir-Ahmad-Malik/0226750-85554","Malik, Nazir Ahmad")</f>
        <v>Malik, Nazir Ahmad</v>
      </c>
      <c r="B1689" s="25" t="s">
        <v>15985</v>
      </c>
      <c r="C1689" s="24" t="s">
        <v>15986</v>
      </c>
      <c r="D1689" s="24" t="s">
        <v>15987</v>
      </c>
      <c r="E1689" s="24" t="s">
        <v>29</v>
      </c>
      <c r="F1689" s="24" t="s">
        <v>30</v>
      </c>
      <c r="G1689" s="24" t="s">
        <v>2425</v>
      </c>
      <c r="H1689" s="24" t="s">
        <v>15988</v>
      </c>
      <c r="I1689" s="24" t="s">
        <v>15989</v>
      </c>
      <c r="J1689" s="24" t="s">
        <v>4786</v>
      </c>
      <c r="K1689" s="24" t="s">
        <v>4787</v>
      </c>
      <c r="L1689" s="24" t="s">
        <v>36</v>
      </c>
      <c r="M1689" s="15" t="s">
        <v>15990</v>
      </c>
      <c r="N1689" s="15"/>
      <c r="O1689" s="15" t="s">
        <v>4788</v>
      </c>
      <c r="P1689" s="15" t="s">
        <v>15991</v>
      </c>
      <c r="Q1689" s="15"/>
      <c r="R1689" s="15" t="s">
        <v>15992</v>
      </c>
      <c r="S1689" s="24" t="s">
        <v>71</v>
      </c>
      <c r="T1689" s="24" t="s">
        <v>39</v>
      </c>
      <c r="U1689" s="24" t="s">
        <v>39</v>
      </c>
      <c r="V1689" s="24" t="s">
        <v>39</v>
      </c>
      <c r="W1689" s="24" t="s">
        <v>15993</v>
      </c>
      <c r="X1689" s="24" t="s">
        <v>15994</v>
      </c>
      <c r="Y1689" s="15" t="s">
        <v>15995</v>
      </c>
      <c r="Z1689" s="15" t="s">
        <v>15996</v>
      </c>
      <c r="AA1689" s="24"/>
      <c r="AB1689" s="24"/>
      <c r="AC1689" s="24"/>
      <c r="AD1689" s="24"/>
      <c r="AE1689" s="24"/>
      <c r="AF1689" s="24"/>
      <c r="AG1689" s="24"/>
      <c r="AH1689" s="24"/>
    </row>
    <row r="1690" spans="1:34" ht="60" x14ac:dyDescent="0.25">
      <c r="A1690" s="24" t="str">
        <f>HYPERLINK("https://www.cpso.on.ca/DoctorDetails/Nazneen-Shakeel/0308303-108497","Shakeel, Nazneen")</f>
        <v>Shakeel, Nazneen</v>
      </c>
      <c r="B1690" s="25" t="s">
        <v>15997</v>
      </c>
      <c r="C1690" s="24" t="s">
        <v>15998</v>
      </c>
      <c r="D1690" s="24" t="s">
        <v>15999</v>
      </c>
      <c r="E1690" s="24" t="s">
        <v>29</v>
      </c>
      <c r="F1690" s="24" t="s">
        <v>47</v>
      </c>
      <c r="G1690" s="24" t="s">
        <v>31</v>
      </c>
      <c r="H1690" s="24" t="s">
        <v>16000</v>
      </c>
      <c r="I1690" s="24" t="s">
        <v>16001</v>
      </c>
      <c r="J1690" s="24" t="s">
        <v>16002</v>
      </c>
      <c r="K1690" s="24"/>
      <c r="L1690" s="24" t="s">
        <v>36</v>
      </c>
      <c r="M1690" s="15"/>
      <c r="N1690" s="15" t="s">
        <v>16003</v>
      </c>
      <c r="O1690" s="15" t="s">
        <v>16004</v>
      </c>
      <c r="P1690" s="15" t="s">
        <v>4909</v>
      </c>
      <c r="Q1690" s="15" t="s">
        <v>16005</v>
      </c>
      <c r="R1690" s="15" t="s">
        <v>16006</v>
      </c>
      <c r="S1690" s="24" t="s">
        <v>39</v>
      </c>
      <c r="T1690" s="24" t="s">
        <v>39</v>
      </c>
      <c r="U1690" s="24" t="s">
        <v>39</v>
      </c>
      <c r="V1690" s="24" t="s">
        <v>39</v>
      </c>
      <c r="W1690" s="24" t="s">
        <v>16007</v>
      </c>
      <c r="X1690" s="24" t="s">
        <v>16008</v>
      </c>
      <c r="Y1690" s="15" t="s">
        <v>16009</v>
      </c>
      <c r="Z1690" s="15" t="s">
        <v>16010</v>
      </c>
      <c r="AA1690" s="24"/>
      <c r="AB1690" s="24"/>
      <c r="AC1690" s="24"/>
      <c r="AD1690" s="24"/>
      <c r="AE1690" s="24"/>
      <c r="AF1690" s="24"/>
      <c r="AG1690" s="24"/>
      <c r="AH1690" s="24"/>
    </row>
    <row r="1691" spans="1:34" ht="75" x14ac:dyDescent="0.25">
      <c r="A1691" s="24" t="str">
        <f>HYPERLINK("https://www.cpso.on.ca/DoctorDetails/Neal-Mark-Westreich/0057344-68932","Westreich, Neal Mark")</f>
        <v>Westreich, Neal Mark</v>
      </c>
      <c r="B1691" s="25" t="s">
        <v>16011</v>
      </c>
      <c r="C1691" s="24" t="s">
        <v>3831</v>
      </c>
      <c r="D1691" s="24" t="s">
        <v>214</v>
      </c>
      <c r="E1691" s="24" t="s">
        <v>29</v>
      </c>
      <c r="F1691" s="24" t="s">
        <v>30</v>
      </c>
      <c r="G1691" s="24" t="s">
        <v>252</v>
      </c>
      <c r="H1691" s="24" t="s">
        <v>3932</v>
      </c>
      <c r="I1691" s="24" t="s">
        <v>16012</v>
      </c>
      <c r="J1691" s="24" t="s">
        <v>16013</v>
      </c>
      <c r="K1691" s="24" t="s">
        <v>4908</v>
      </c>
      <c r="L1691" s="24" t="s">
        <v>52</v>
      </c>
      <c r="M1691" s="15"/>
      <c r="N1691" s="15"/>
      <c r="O1691" s="15" t="s">
        <v>1397</v>
      </c>
      <c r="P1691" s="15" t="s">
        <v>1343</v>
      </c>
      <c r="Q1691" s="15" t="s">
        <v>4714</v>
      </c>
      <c r="R1691" s="15" t="s">
        <v>3839</v>
      </c>
      <c r="S1691" s="24" t="s">
        <v>39</v>
      </c>
      <c r="T1691" s="24" t="s">
        <v>39</v>
      </c>
      <c r="U1691" s="24" t="s">
        <v>39</v>
      </c>
      <c r="V1691" s="24" t="s">
        <v>39</v>
      </c>
      <c r="W1691" s="24" t="s">
        <v>16014</v>
      </c>
      <c r="X1691" s="24" t="s">
        <v>16015</v>
      </c>
      <c r="Y1691" s="15" t="s">
        <v>16016</v>
      </c>
      <c r="Z1691" s="15" t="s">
        <v>16017</v>
      </c>
      <c r="AA1691" s="24"/>
      <c r="AB1691" s="24"/>
      <c r="AC1691" s="24"/>
      <c r="AD1691" s="24"/>
      <c r="AE1691" s="24"/>
      <c r="AF1691" s="24"/>
      <c r="AG1691" s="24"/>
      <c r="AH1691" s="24"/>
    </row>
    <row r="1692" spans="1:34" x14ac:dyDescent="0.25">
      <c r="A1692" s="24" t="str">
        <f>HYPERLINK("https://www.cpso.on.ca/DoctorDetails/Neda-AbediSohroforouzani/0322062-113951","Abedi-Sohroforouzani, Neda")</f>
        <v>Abedi-Sohroforouzani, Neda</v>
      </c>
      <c r="B1692" s="25" t="s">
        <v>16018</v>
      </c>
      <c r="C1692" s="24" t="s">
        <v>6095</v>
      </c>
      <c r="D1692" s="24" t="s">
        <v>6096</v>
      </c>
      <c r="E1692" s="24" t="s">
        <v>29</v>
      </c>
      <c r="F1692" s="24" t="s">
        <v>47</v>
      </c>
      <c r="G1692" s="24" t="s">
        <v>2579</v>
      </c>
      <c r="H1692" s="24" t="s">
        <v>16019</v>
      </c>
      <c r="I1692" s="24" t="s">
        <v>16020</v>
      </c>
      <c r="J1692" s="24" t="s">
        <v>16021</v>
      </c>
      <c r="K1692" s="24" t="s">
        <v>725</v>
      </c>
      <c r="L1692" s="24" t="s">
        <v>184</v>
      </c>
      <c r="M1692" s="15"/>
      <c r="N1692" s="15"/>
      <c r="O1692" s="15"/>
      <c r="P1692" s="15" t="s">
        <v>550</v>
      </c>
      <c r="Q1692" s="15"/>
      <c r="R1692" s="15" t="s">
        <v>16022</v>
      </c>
      <c r="S1692" s="24" t="s">
        <v>39</v>
      </c>
      <c r="T1692" s="24" t="s">
        <v>39</v>
      </c>
      <c r="U1692" s="24" t="s">
        <v>39</v>
      </c>
      <c r="V1692" s="24" t="s">
        <v>39</v>
      </c>
      <c r="W1692" s="24" t="s">
        <v>16023</v>
      </c>
      <c r="X1692" s="24" t="s">
        <v>16024</v>
      </c>
      <c r="Y1692" s="15" t="s">
        <v>16025</v>
      </c>
      <c r="Z1692" s="15" t="s">
        <v>16026</v>
      </c>
      <c r="AA1692" s="24"/>
      <c r="AB1692" s="24"/>
      <c r="AC1692" s="24"/>
      <c r="AD1692" s="24"/>
      <c r="AE1692" s="24"/>
      <c r="AF1692" s="24"/>
      <c r="AG1692" s="24"/>
      <c r="AH1692" s="24"/>
    </row>
    <row r="1693" spans="1:34" ht="60" x14ac:dyDescent="0.25">
      <c r="A1693" s="24" t="str">
        <f>HYPERLINK("https://www.cpso.on.ca/DoctorDetails/Neena-Bali/0030520-42500","Bali, Neena")</f>
        <v>Bali, Neena</v>
      </c>
      <c r="B1693" s="25" t="s">
        <v>16027</v>
      </c>
      <c r="C1693" s="24" t="s">
        <v>16028</v>
      </c>
      <c r="D1693" s="24" t="s">
        <v>16029</v>
      </c>
      <c r="E1693" s="24" t="s">
        <v>16030</v>
      </c>
      <c r="F1693" s="24" t="s">
        <v>47</v>
      </c>
      <c r="G1693" s="24" t="s">
        <v>31</v>
      </c>
      <c r="H1693" s="24" t="s">
        <v>16031</v>
      </c>
      <c r="I1693" s="24" t="s">
        <v>708</v>
      </c>
      <c r="J1693" s="24" t="s">
        <v>16032</v>
      </c>
      <c r="K1693" s="24" t="s">
        <v>3635</v>
      </c>
      <c r="L1693" s="24" t="s">
        <v>84</v>
      </c>
      <c r="M1693" s="15"/>
      <c r="N1693" s="15"/>
      <c r="O1693" s="15" t="s">
        <v>498</v>
      </c>
      <c r="P1693" s="15" t="s">
        <v>1794</v>
      </c>
      <c r="Q1693" s="15"/>
      <c r="R1693" s="15" t="s">
        <v>16033</v>
      </c>
      <c r="S1693" s="24" t="s">
        <v>39</v>
      </c>
      <c r="T1693" s="24" t="s">
        <v>39</v>
      </c>
      <c r="U1693" s="24" t="s">
        <v>39</v>
      </c>
      <c r="V1693" s="24" t="s">
        <v>39</v>
      </c>
      <c r="W1693" s="24" t="s">
        <v>16034</v>
      </c>
      <c r="X1693" s="24" t="s">
        <v>16035</v>
      </c>
      <c r="Y1693" s="15" t="s">
        <v>16036</v>
      </c>
      <c r="Z1693" s="15" t="s">
        <v>2554</v>
      </c>
      <c r="AA1693" s="24"/>
      <c r="AB1693" s="24"/>
      <c r="AC1693" s="24"/>
      <c r="AD1693" s="24"/>
      <c r="AE1693" s="24"/>
      <c r="AF1693" s="24"/>
      <c r="AG1693" s="24"/>
      <c r="AH1693" s="24"/>
    </row>
    <row r="1694" spans="1:34" ht="90" x14ac:dyDescent="0.25">
      <c r="A1694" s="24" t="str">
        <f>HYPERLINK("https://www.cpso.on.ca/DoctorDetails/Neena-Jyoti-Ruby-Sadera/0250364-89464","Sadera, Neena Jyoti Ruby")</f>
        <v>Sadera, Neena Jyoti Ruby</v>
      </c>
      <c r="B1694" s="25" t="s">
        <v>16037</v>
      </c>
      <c r="C1694" s="24" t="s">
        <v>16038</v>
      </c>
      <c r="D1694" s="24" t="s">
        <v>16039</v>
      </c>
      <c r="E1694" s="24" t="s">
        <v>29</v>
      </c>
      <c r="F1694" s="24" t="s">
        <v>47</v>
      </c>
      <c r="G1694" s="24" t="s">
        <v>31</v>
      </c>
      <c r="H1694" s="24" t="s">
        <v>16040</v>
      </c>
      <c r="I1694" s="24" t="s">
        <v>16041</v>
      </c>
      <c r="J1694" s="24" t="s">
        <v>16042</v>
      </c>
      <c r="K1694" s="24"/>
      <c r="L1694" s="24" t="s">
        <v>184</v>
      </c>
      <c r="M1694" s="15"/>
      <c r="N1694" s="15"/>
      <c r="O1694" s="15" t="s">
        <v>1572</v>
      </c>
      <c r="P1694" s="15" t="s">
        <v>272</v>
      </c>
      <c r="Q1694" s="15" t="s">
        <v>16043</v>
      </c>
      <c r="R1694" s="15" t="s">
        <v>16044</v>
      </c>
      <c r="S1694" s="24" t="s">
        <v>39</v>
      </c>
      <c r="T1694" s="24" t="s">
        <v>39</v>
      </c>
      <c r="U1694" s="24" t="s">
        <v>39</v>
      </c>
      <c r="V1694" s="24" t="s">
        <v>39</v>
      </c>
      <c r="W1694" s="24" t="s">
        <v>16045</v>
      </c>
      <c r="X1694" s="24" t="s">
        <v>16046</v>
      </c>
      <c r="Y1694" s="15" t="s">
        <v>16047</v>
      </c>
      <c r="Z1694" s="15" t="s">
        <v>16041</v>
      </c>
      <c r="AA1694" s="24"/>
      <c r="AB1694" s="24"/>
      <c r="AC1694" s="24"/>
      <c r="AD1694" s="24"/>
      <c r="AE1694" s="24"/>
      <c r="AF1694" s="24"/>
      <c r="AG1694" s="24"/>
      <c r="AH1694" s="24"/>
    </row>
    <row r="1695" spans="1:34" ht="105" x14ac:dyDescent="0.25">
      <c r="A1695" s="24" t="str">
        <f>HYPERLINK("https://www.cpso.on.ca/DoctorDetails/Neeraj-Bajaj/0292570-104013","Bajaj, Neeraj")</f>
        <v>Bajaj, Neeraj</v>
      </c>
      <c r="B1695" s="25" t="s">
        <v>16048</v>
      </c>
      <c r="C1695" s="24" t="s">
        <v>16049</v>
      </c>
      <c r="D1695" s="24" t="s">
        <v>16050</v>
      </c>
      <c r="E1695" s="24" t="s">
        <v>29</v>
      </c>
      <c r="F1695" s="24" t="s">
        <v>30</v>
      </c>
      <c r="G1695" s="24" t="s">
        <v>61</v>
      </c>
      <c r="H1695" s="24" t="s">
        <v>16051</v>
      </c>
      <c r="I1695" s="24" t="s">
        <v>16052</v>
      </c>
      <c r="J1695" s="24" t="s">
        <v>1690</v>
      </c>
      <c r="K1695" s="24"/>
      <c r="L1695" s="24" t="s">
        <v>340</v>
      </c>
      <c r="M1695" s="15"/>
      <c r="N1695" s="15" t="s">
        <v>4147</v>
      </c>
      <c r="O1695" s="15" t="s">
        <v>1691</v>
      </c>
      <c r="P1695" s="15" t="s">
        <v>5051</v>
      </c>
      <c r="Q1695" s="15"/>
      <c r="R1695" s="15" t="s">
        <v>16053</v>
      </c>
      <c r="S1695" s="24" t="s">
        <v>39</v>
      </c>
      <c r="T1695" s="24" t="s">
        <v>39</v>
      </c>
      <c r="U1695" s="24" t="s">
        <v>39</v>
      </c>
      <c r="V1695" s="24" t="s">
        <v>39</v>
      </c>
      <c r="W1695" s="24" t="s">
        <v>16054</v>
      </c>
      <c r="X1695" s="24" t="s">
        <v>16055</v>
      </c>
      <c r="Y1695" s="15" t="s">
        <v>16056</v>
      </c>
      <c r="Z1695" s="15" t="s">
        <v>16057</v>
      </c>
      <c r="AA1695" s="24"/>
      <c r="AB1695" s="24"/>
      <c r="AC1695" s="24"/>
      <c r="AD1695" s="24"/>
      <c r="AE1695" s="24"/>
      <c r="AF1695" s="24"/>
      <c r="AG1695" s="24"/>
      <c r="AH1695" s="24"/>
    </row>
    <row r="1696" spans="1:34" ht="75" x14ac:dyDescent="0.25">
      <c r="A1696" s="24" t="str">
        <f>HYPERLINK("https://www.cpso.on.ca/DoctorDetails/Neeraj-Krishna-Shukla/0292167-102857","Shukla, Neeraj Krishna")</f>
        <v>Shukla, Neeraj Krishna</v>
      </c>
      <c r="B1696" s="25" t="s">
        <v>16058</v>
      </c>
      <c r="C1696" s="24" t="s">
        <v>16059</v>
      </c>
      <c r="D1696" s="24" t="s">
        <v>16060</v>
      </c>
      <c r="E1696" s="24" t="s">
        <v>29</v>
      </c>
      <c r="F1696" s="24" t="s">
        <v>30</v>
      </c>
      <c r="G1696" s="24" t="s">
        <v>31</v>
      </c>
      <c r="H1696" s="24" t="s">
        <v>16061</v>
      </c>
      <c r="I1696" s="24" t="s">
        <v>16062</v>
      </c>
      <c r="J1696" s="24" t="s">
        <v>16063</v>
      </c>
      <c r="K1696" s="24" t="s">
        <v>16064</v>
      </c>
      <c r="L1696" s="24" t="s">
        <v>184</v>
      </c>
      <c r="M1696" s="15"/>
      <c r="N1696" s="15" t="s">
        <v>2508</v>
      </c>
      <c r="O1696" s="15" t="s">
        <v>1662</v>
      </c>
      <c r="P1696" s="15" t="s">
        <v>16065</v>
      </c>
      <c r="Q1696" s="15"/>
      <c r="R1696" s="15" t="s">
        <v>16066</v>
      </c>
      <c r="S1696" s="24" t="s">
        <v>39</v>
      </c>
      <c r="T1696" s="24" t="s">
        <v>39</v>
      </c>
      <c r="U1696" s="24" t="s">
        <v>39</v>
      </c>
      <c r="V1696" s="24" t="s">
        <v>39</v>
      </c>
      <c r="W1696" s="24" t="s">
        <v>16067</v>
      </c>
      <c r="X1696" s="24" t="s">
        <v>16068</v>
      </c>
      <c r="Y1696" s="15" t="s">
        <v>16069</v>
      </c>
      <c r="Z1696" s="15" t="s">
        <v>16070</v>
      </c>
      <c r="AA1696" s="24"/>
      <c r="AB1696" s="24"/>
      <c r="AC1696" s="24"/>
      <c r="AD1696" s="24"/>
      <c r="AE1696" s="24"/>
      <c r="AF1696" s="24"/>
      <c r="AG1696" s="24"/>
      <c r="AH1696" s="24"/>
    </row>
    <row r="1697" spans="1:34" x14ac:dyDescent="0.25">
      <c r="A1697" s="24" t="str">
        <f>HYPERLINK("https://www.cpso.on.ca/DoctorDetails/Neil-Jeffrey-Kraitberg/0213352-81305","Kraitberg, Neil Jeffrey")</f>
        <v>Kraitberg, Neil Jeffrey</v>
      </c>
      <c r="B1697" s="25" t="s">
        <v>16071</v>
      </c>
      <c r="C1697" s="24" t="s">
        <v>16072</v>
      </c>
      <c r="D1697" s="24" t="s">
        <v>16073</v>
      </c>
      <c r="E1697" s="24" t="s">
        <v>29</v>
      </c>
      <c r="F1697" s="24" t="s">
        <v>30</v>
      </c>
      <c r="G1697" s="24" t="s">
        <v>31</v>
      </c>
      <c r="H1697" s="24" t="s">
        <v>16074</v>
      </c>
      <c r="I1697" s="24" t="s">
        <v>11875</v>
      </c>
      <c r="J1697" s="24" t="s">
        <v>16075</v>
      </c>
      <c r="K1697" s="24" t="s">
        <v>2698</v>
      </c>
      <c r="L1697" s="24" t="s">
        <v>84</v>
      </c>
      <c r="M1697" s="15"/>
      <c r="N1697" s="15"/>
      <c r="O1697" s="15" t="s">
        <v>549</v>
      </c>
      <c r="P1697" s="15" t="s">
        <v>169</v>
      </c>
      <c r="Q1697" s="15"/>
      <c r="R1697" s="15" t="s">
        <v>16076</v>
      </c>
      <c r="S1697" s="24" t="s">
        <v>39</v>
      </c>
      <c r="T1697" s="24" t="s">
        <v>39</v>
      </c>
      <c r="U1697" s="24" t="s">
        <v>39</v>
      </c>
      <c r="V1697" s="24" t="s">
        <v>39</v>
      </c>
      <c r="W1697" s="24" t="s">
        <v>16077</v>
      </c>
      <c r="X1697" s="24" t="s">
        <v>16078</v>
      </c>
      <c r="Y1697" s="15" t="s">
        <v>16079</v>
      </c>
      <c r="Z1697" s="15" t="s">
        <v>16080</v>
      </c>
      <c r="AA1697" s="24"/>
      <c r="AB1697" s="24"/>
      <c r="AC1697" s="24"/>
      <c r="AD1697" s="24"/>
      <c r="AE1697" s="24"/>
      <c r="AF1697" s="24"/>
      <c r="AG1697" s="24"/>
      <c r="AH1697" s="24"/>
    </row>
    <row r="1698" spans="1:34" ht="75" x14ac:dyDescent="0.25">
      <c r="A1698" s="24" t="str">
        <f>HYPERLINK("https://www.cpso.on.ca/DoctorDetails/Neil-Stewart-Levitsky/0043114-57092","Levitsky, Neil Stewart")</f>
        <v>Levitsky, Neil Stewart</v>
      </c>
      <c r="B1698" s="25" t="s">
        <v>16081</v>
      </c>
      <c r="C1698" s="24" t="s">
        <v>3427</v>
      </c>
      <c r="D1698" s="24" t="s">
        <v>16082</v>
      </c>
      <c r="E1698" s="24" t="s">
        <v>29</v>
      </c>
      <c r="F1698" s="24" t="s">
        <v>30</v>
      </c>
      <c r="G1698" s="24" t="s">
        <v>31</v>
      </c>
      <c r="H1698" s="24" t="s">
        <v>16083</v>
      </c>
      <c r="I1698" s="24" t="s">
        <v>16084</v>
      </c>
      <c r="J1698" s="24" t="s">
        <v>16085</v>
      </c>
      <c r="K1698" s="24" t="s">
        <v>16086</v>
      </c>
      <c r="L1698" s="24" t="s">
        <v>52</v>
      </c>
      <c r="M1698" s="15"/>
      <c r="N1698" s="15"/>
      <c r="O1698" s="15"/>
      <c r="P1698" s="15" t="s">
        <v>1033</v>
      </c>
      <c r="Q1698" s="15" t="s">
        <v>3434</v>
      </c>
      <c r="R1698" s="15" t="s">
        <v>16087</v>
      </c>
      <c r="S1698" s="24" t="s">
        <v>39</v>
      </c>
      <c r="T1698" s="24" t="s">
        <v>39</v>
      </c>
      <c r="U1698" s="24" t="s">
        <v>39</v>
      </c>
      <c r="V1698" s="24" t="s">
        <v>39</v>
      </c>
      <c r="W1698" s="24"/>
      <c r="X1698" s="24"/>
      <c r="Y1698" s="15"/>
      <c r="Z1698" s="15"/>
      <c r="AA1698" s="24"/>
      <c r="AB1698" s="24"/>
      <c r="AC1698" s="24"/>
      <c r="AD1698" s="24"/>
      <c r="AE1698" s="24"/>
      <c r="AF1698" s="24"/>
      <c r="AG1698" s="24"/>
      <c r="AH1698" s="24"/>
    </row>
    <row r="1699" spans="1:34" ht="45" x14ac:dyDescent="0.25">
      <c r="A1699" s="24" t="str">
        <f>HYPERLINK("https://www.cpso.on.ca/DoctorDetails/Nestor-Ariel-Zielinsky/0037909-51885","Zielinsky, Nestor Ariel")</f>
        <v>Zielinsky, Nestor Ariel</v>
      </c>
      <c r="B1699" s="25" t="s">
        <v>16088</v>
      </c>
      <c r="C1699" s="24" t="s">
        <v>16089</v>
      </c>
      <c r="D1699" s="24" t="s">
        <v>5227</v>
      </c>
      <c r="E1699" s="24" t="s">
        <v>29</v>
      </c>
      <c r="F1699" s="24" t="s">
        <v>30</v>
      </c>
      <c r="G1699" s="24" t="s">
        <v>115</v>
      </c>
      <c r="H1699" s="24" t="s">
        <v>16090</v>
      </c>
      <c r="I1699" s="24" t="s">
        <v>16091</v>
      </c>
      <c r="J1699" s="24" t="s">
        <v>16092</v>
      </c>
      <c r="K1699" s="24" t="s">
        <v>16093</v>
      </c>
      <c r="L1699" s="24" t="s">
        <v>36</v>
      </c>
      <c r="M1699" s="15" t="s">
        <v>16094</v>
      </c>
      <c r="N1699" s="15"/>
      <c r="O1699" s="15"/>
      <c r="P1699" s="15" t="s">
        <v>5889</v>
      </c>
      <c r="Q1699" s="15"/>
      <c r="R1699" s="15" t="s">
        <v>16095</v>
      </c>
      <c r="S1699" s="24" t="s">
        <v>39</v>
      </c>
      <c r="T1699" s="24" t="s">
        <v>39</v>
      </c>
      <c r="U1699" s="24" t="s">
        <v>39</v>
      </c>
      <c r="V1699" s="24" t="s">
        <v>39</v>
      </c>
      <c r="W1699" s="24" t="s">
        <v>16096</v>
      </c>
      <c r="X1699" s="24" t="s">
        <v>16097</v>
      </c>
      <c r="Y1699" s="15" t="s">
        <v>16098</v>
      </c>
      <c r="Z1699" s="15" t="s">
        <v>16099</v>
      </c>
      <c r="AA1699" s="24"/>
      <c r="AB1699" s="24"/>
      <c r="AC1699" s="24"/>
      <c r="AD1699" s="24"/>
      <c r="AE1699" s="24"/>
      <c r="AF1699" s="24"/>
      <c r="AG1699" s="24"/>
      <c r="AH1699" s="24"/>
    </row>
    <row r="1700" spans="1:34" ht="45" x14ac:dyDescent="0.25">
      <c r="A1700" s="24" t="str">
        <f>HYPERLINK("https://www.cpso.on.ca/DoctorDetails/Nevena-Emilova-Dourova/0249509-89656","Dourova, Nevena Emilova")</f>
        <v>Dourova, Nevena Emilova</v>
      </c>
      <c r="B1700" s="25" t="s">
        <v>16100</v>
      </c>
      <c r="C1700" s="24" t="s">
        <v>16101</v>
      </c>
      <c r="D1700" s="24" t="s">
        <v>16102</v>
      </c>
      <c r="E1700" s="24" t="s">
        <v>29</v>
      </c>
      <c r="F1700" s="24" t="s">
        <v>47</v>
      </c>
      <c r="G1700" s="24" t="s">
        <v>13594</v>
      </c>
      <c r="H1700" s="24" t="s">
        <v>16103</v>
      </c>
      <c r="I1700" s="24" t="s">
        <v>16104</v>
      </c>
      <c r="J1700" s="24" t="s">
        <v>16105</v>
      </c>
      <c r="K1700" s="24" t="s">
        <v>16106</v>
      </c>
      <c r="L1700" s="24" t="s">
        <v>135</v>
      </c>
      <c r="M1700" s="15"/>
      <c r="N1700" s="15" t="s">
        <v>735</v>
      </c>
      <c r="O1700" s="15" t="s">
        <v>9908</v>
      </c>
      <c r="P1700" s="15" t="s">
        <v>16107</v>
      </c>
      <c r="Q1700" s="15"/>
      <c r="R1700" s="15" t="s">
        <v>16108</v>
      </c>
      <c r="S1700" s="24" t="s">
        <v>39</v>
      </c>
      <c r="T1700" s="24" t="s">
        <v>39</v>
      </c>
      <c r="U1700" s="24" t="s">
        <v>39</v>
      </c>
      <c r="V1700" s="24" t="s">
        <v>39</v>
      </c>
      <c r="W1700" s="24"/>
      <c r="X1700" s="24"/>
      <c r="Y1700" s="15"/>
      <c r="Z1700" s="15"/>
      <c r="AA1700" s="24"/>
      <c r="AB1700" s="24"/>
      <c r="AC1700" s="24"/>
      <c r="AD1700" s="24"/>
      <c r="AE1700" s="24"/>
      <c r="AF1700" s="24"/>
      <c r="AG1700" s="24"/>
      <c r="AH1700" s="24"/>
    </row>
    <row r="1701" spans="1:34" ht="45" x14ac:dyDescent="0.25">
      <c r="A1701" s="24" t="str">
        <f>HYPERLINK("https://www.cpso.on.ca/DoctorDetails/Never-Perez/0043204-57182","Perez, Never")</f>
        <v>Perez, Never</v>
      </c>
      <c r="B1701" s="25" t="s">
        <v>16109</v>
      </c>
      <c r="C1701" s="24" t="s">
        <v>16110</v>
      </c>
      <c r="D1701" s="24" t="s">
        <v>16111</v>
      </c>
      <c r="E1701" s="24" t="s">
        <v>29</v>
      </c>
      <c r="F1701" s="24" t="s">
        <v>47</v>
      </c>
      <c r="G1701" s="24" t="s">
        <v>16112</v>
      </c>
      <c r="H1701" s="24" t="s">
        <v>16090</v>
      </c>
      <c r="I1701" s="24" t="s">
        <v>9540</v>
      </c>
      <c r="J1701" s="24" t="s">
        <v>16113</v>
      </c>
      <c r="K1701" s="24" t="s">
        <v>6244</v>
      </c>
      <c r="L1701" s="24" t="s">
        <v>52</v>
      </c>
      <c r="M1701" s="15" t="s">
        <v>16114</v>
      </c>
      <c r="N1701" s="15"/>
      <c r="O1701" s="15" t="s">
        <v>16115</v>
      </c>
      <c r="P1701" s="15" t="s">
        <v>3353</v>
      </c>
      <c r="Q1701" s="15" t="s">
        <v>16116</v>
      </c>
      <c r="R1701" s="15" t="s">
        <v>16117</v>
      </c>
      <c r="S1701" s="24" t="s">
        <v>39</v>
      </c>
      <c r="T1701" s="24" t="s">
        <v>39</v>
      </c>
      <c r="U1701" s="24" t="s">
        <v>39</v>
      </c>
      <c r="V1701" s="24" t="s">
        <v>39</v>
      </c>
      <c r="W1701" s="24"/>
      <c r="X1701" s="24"/>
      <c r="Y1701" s="15"/>
      <c r="Z1701" s="15"/>
      <c r="AA1701" s="24"/>
      <c r="AB1701" s="24"/>
      <c r="AC1701" s="24"/>
      <c r="AD1701" s="24"/>
      <c r="AE1701" s="24"/>
      <c r="AF1701" s="24"/>
      <c r="AG1701" s="24"/>
      <c r="AH1701" s="24"/>
    </row>
    <row r="1702" spans="1:34" ht="45" x14ac:dyDescent="0.25">
      <c r="A1702" s="24" t="str">
        <f>HYPERLINK("https://www.cpso.on.ca/DoctorDetails/Nichodemus-Ozoemena-Ugwu/0315906-113531","Ugwu, Nichodemus Ozoemena")</f>
        <v>Ugwu, Nichodemus Ozoemena</v>
      </c>
      <c r="B1702" s="25" t="s">
        <v>16118</v>
      </c>
      <c r="C1702" s="24" t="s">
        <v>11928</v>
      </c>
      <c r="D1702" s="24" t="s">
        <v>16119</v>
      </c>
      <c r="E1702" s="24" t="s">
        <v>29</v>
      </c>
      <c r="F1702" s="24" t="s">
        <v>30</v>
      </c>
      <c r="G1702" s="24" t="s">
        <v>31</v>
      </c>
      <c r="H1702" s="24" t="s">
        <v>8983</v>
      </c>
      <c r="I1702" s="24" t="s">
        <v>16120</v>
      </c>
      <c r="J1702" s="24" t="s">
        <v>16121</v>
      </c>
      <c r="K1702" s="24"/>
      <c r="L1702" s="24" t="s">
        <v>152</v>
      </c>
      <c r="M1702" s="15"/>
      <c r="N1702" s="15" t="s">
        <v>411</v>
      </c>
      <c r="O1702" s="15"/>
      <c r="P1702" s="15" t="s">
        <v>4249</v>
      </c>
      <c r="Q1702" s="15"/>
      <c r="R1702" s="15" t="s">
        <v>16122</v>
      </c>
      <c r="S1702" s="24" t="s">
        <v>71</v>
      </c>
      <c r="T1702" s="24" t="s">
        <v>39</v>
      </c>
      <c r="U1702" s="24" t="s">
        <v>39</v>
      </c>
      <c r="V1702" s="24" t="s">
        <v>39</v>
      </c>
      <c r="W1702" s="24" t="s">
        <v>16123</v>
      </c>
      <c r="X1702" s="24" t="s">
        <v>11836</v>
      </c>
      <c r="Y1702" s="15" t="s">
        <v>16124</v>
      </c>
      <c r="Z1702" s="15" t="s">
        <v>16125</v>
      </c>
      <c r="AA1702" s="24"/>
      <c r="AB1702" s="24"/>
      <c r="AC1702" s="24"/>
      <c r="AD1702" s="24"/>
      <c r="AE1702" s="24"/>
      <c r="AF1702" s="24"/>
      <c r="AG1702" s="24"/>
      <c r="AH1702" s="24"/>
    </row>
    <row r="1703" spans="1:34" ht="90" x14ac:dyDescent="0.25">
      <c r="A1703" s="24" t="str">
        <f>HYPERLINK("https://www.cpso.on.ca/DoctorDetails/Nicholas-Henry-Neufeld/0288920-100926","Neufeld, Nicholas Henry")</f>
        <v>Neufeld, Nicholas Henry</v>
      </c>
      <c r="B1703" s="25" t="s">
        <v>16126</v>
      </c>
      <c r="C1703" s="24" t="s">
        <v>199</v>
      </c>
      <c r="D1703" s="24" t="s">
        <v>200</v>
      </c>
      <c r="E1703" s="24" t="s">
        <v>29</v>
      </c>
      <c r="F1703" s="24" t="s">
        <v>30</v>
      </c>
      <c r="G1703" s="24" t="s">
        <v>31</v>
      </c>
      <c r="H1703" s="24" t="s">
        <v>7251</v>
      </c>
      <c r="I1703" s="24" t="s">
        <v>16127</v>
      </c>
      <c r="J1703" s="24" t="s">
        <v>1269</v>
      </c>
      <c r="K1703" s="24" t="s">
        <v>2239</v>
      </c>
      <c r="L1703" s="24" t="s">
        <v>52</v>
      </c>
      <c r="M1703" s="15"/>
      <c r="N1703" s="15"/>
      <c r="O1703" s="15"/>
      <c r="P1703" s="15" t="s">
        <v>205</v>
      </c>
      <c r="Q1703" s="15" t="s">
        <v>13155</v>
      </c>
      <c r="R1703" s="15" t="s">
        <v>207</v>
      </c>
      <c r="S1703" s="24" t="s">
        <v>39</v>
      </c>
      <c r="T1703" s="24" t="s">
        <v>39</v>
      </c>
      <c r="U1703" s="24" t="s">
        <v>39</v>
      </c>
      <c r="V1703" s="24" t="s">
        <v>39</v>
      </c>
      <c r="W1703" s="24"/>
      <c r="X1703" s="24"/>
      <c r="Y1703" s="15"/>
      <c r="Z1703" s="15"/>
      <c r="AA1703" s="24"/>
      <c r="AB1703" s="24"/>
      <c r="AC1703" s="24"/>
      <c r="AD1703" s="24"/>
      <c r="AE1703" s="24"/>
      <c r="AF1703" s="24"/>
      <c r="AG1703" s="24"/>
      <c r="AH1703" s="24"/>
    </row>
    <row r="1704" spans="1:34" ht="45" x14ac:dyDescent="0.25">
      <c r="A1704" s="24" t="str">
        <f>HYPERLINK("https://www.cpso.on.ca/DoctorDetails/Nicholas-John-Delva/0026493-31316","Delva, Nicholas John")</f>
        <v>Delva, Nicholas John</v>
      </c>
      <c r="B1704" s="25" t="s">
        <v>16128</v>
      </c>
      <c r="C1704" s="24" t="s">
        <v>16129</v>
      </c>
      <c r="D1704" s="24" t="s">
        <v>16130</v>
      </c>
      <c r="E1704" s="24" t="s">
        <v>29</v>
      </c>
      <c r="F1704" s="24" t="s">
        <v>30</v>
      </c>
      <c r="G1704" s="24" t="s">
        <v>31</v>
      </c>
      <c r="H1704" s="24" t="s">
        <v>16131</v>
      </c>
      <c r="I1704" s="24" t="s">
        <v>15857</v>
      </c>
      <c r="J1704" s="24" t="s">
        <v>16132</v>
      </c>
      <c r="K1704" s="24"/>
      <c r="L1704" s="24" t="s">
        <v>340</v>
      </c>
      <c r="M1704" s="15"/>
      <c r="N1704" s="15" t="s">
        <v>120</v>
      </c>
      <c r="O1704" s="15" t="s">
        <v>1122</v>
      </c>
      <c r="P1704" s="15" t="s">
        <v>5751</v>
      </c>
      <c r="Q1704" s="15"/>
      <c r="R1704" s="15" t="s">
        <v>16133</v>
      </c>
      <c r="S1704" s="24" t="s">
        <v>39</v>
      </c>
      <c r="T1704" s="24" t="s">
        <v>39</v>
      </c>
      <c r="U1704" s="24" t="s">
        <v>39</v>
      </c>
      <c r="V1704" s="24" t="s">
        <v>39</v>
      </c>
      <c r="W1704" s="24" t="s">
        <v>16134</v>
      </c>
      <c r="X1704" s="24" t="s">
        <v>16135</v>
      </c>
      <c r="Y1704" s="15" t="s">
        <v>16136</v>
      </c>
      <c r="Z1704" s="15" t="s">
        <v>16137</v>
      </c>
      <c r="AA1704" s="24"/>
      <c r="AB1704" s="24"/>
      <c r="AC1704" s="24"/>
      <c r="AD1704" s="24"/>
      <c r="AE1704" s="24"/>
      <c r="AF1704" s="24"/>
      <c r="AG1704" s="24"/>
      <c r="AH1704" s="24"/>
    </row>
    <row r="1705" spans="1:34" ht="60" x14ac:dyDescent="0.25">
      <c r="A1705" s="24" t="str">
        <f>HYPERLINK("https://www.cpso.on.ca/DoctorDetails/Nicholas-Simon-Kates/0036914-50890","Kates, Nicholas Simon")</f>
        <v>Kates, Nicholas Simon</v>
      </c>
      <c r="B1705" s="25" t="s">
        <v>16138</v>
      </c>
      <c r="C1705" s="24" t="s">
        <v>5820</v>
      </c>
      <c r="D1705" s="24" t="s">
        <v>16139</v>
      </c>
      <c r="E1705" s="24" t="s">
        <v>29</v>
      </c>
      <c r="F1705" s="24" t="s">
        <v>30</v>
      </c>
      <c r="G1705" s="24" t="s">
        <v>31</v>
      </c>
      <c r="H1705" s="24" t="s">
        <v>4167</v>
      </c>
      <c r="I1705" s="24" t="s">
        <v>16140</v>
      </c>
      <c r="J1705" s="24" t="s">
        <v>16141</v>
      </c>
      <c r="K1705" s="24" t="s">
        <v>935</v>
      </c>
      <c r="L1705" s="24" t="s">
        <v>184</v>
      </c>
      <c r="M1705" s="15" t="s">
        <v>16142</v>
      </c>
      <c r="N1705" s="15"/>
      <c r="O1705" s="15" t="s">
        <v>16143</v>
      </c>
      <c r="P1705" s="15" t="s">
        <v>745</v>
      </c>
      <c r="Q1705" s="15"/>
      <c r="R1705" s="15" t="s">
        <v>16144</v>
      </c>
      <c r="S1705" s="24" t="s">
        <v>39</v>
      </c>
      <c r="T1705" s="24" t="s">
        <v>39</v>
      </c>
      <c r="U1705" s="24" t="s">
        <v>39</v>
      </c>
      <c r="V1705" s="24" t="s">
        <v>39</v>
      </c>
      <c r="W1705" s="24" t="s">
        <v>16145</v>
      </c>
      <c r="X1705" s="24" t="s">
        <v>16146</v>
      </c>
      <c r="Y1705" s="15" t="s">
        <v>16147</v>
      </c>
      <c r="Z1705" s="15" t="s">
        <v>16148</v>
      </c>
      <c r="AA1705" s="24"/>
      <c r="AB1705" s="24"/>
      <c r="AC1705" s="24"/>
      <c r="AD1705" s="24"/>
      <c r="AE1705" s="24"/>
      <c r="AF1705" s="24"/>
      <c r="AG1705" s="24"/>
      <c r="AH1705" s="24"/>
    </row>
    <row r="1706" spans="1:34" ht="75" x14ac:dyDescent="0.25">
      <c r="A1706" s="24" t="str">
        <f>HYPERLINK("https://www.cpso.on.ca/DoctorDetails/Nicola-Trisha-Keyhan/0169328-74813","Keyhan, Nicola Trisha")</f>
        <v>Keyhan, Nicola Trisha</v>
      </c>
      <c r="B1706" s="25" t="s">
        <v>16149</v>
      </c>
      <c r="C1706" s="24" t="s">
        <v>3642</v>
      </c>
      <c r="D1706" s="24" t="s">
        <v>1234</v>
      </c>
      <c r="E1706" s="24" t="s">
        <v>29</v>
      </c>
      <c r="F1706" s="24" t="s">
        <v>47</v>
      </c>
      <c r="G1706" s="24" t="s">
        <v>31</v>
      </c>
      <c r="H1706" s="24" t="s">
        <v>4067</v>
      </c>
      <c r="I1706" s="24" t="s">
        <v>16150</v>
      </c>
      <c r="J1706" s="24" t="s">
        <v>16151</v>
      </c>
      <c r="K1706" s="24" t="s">
        <v>119</v>
      </c>
      <c r="L1706" s="24" t="s">
        <v>52</v>
      </c>
      <c r="M1706" s="15"/>
      <c r="N1706" s="15"/>
      <c r="O1706" s="15" t="s">
        <v>121</v>
      </c>
      <c r="P1706" s="15" t="s">
        <v>1239</v>
      </c>
      <c r="Q1706" s="15" t="s">
        <v>3659</v>
      </c>
      <c r="R1706" s="15" t="s">
        <v>3649</v>
      </c>
      <c r="S1706" s="24" t="s">
        <v>39</v>
      </c>
      <c r="T1706" s="24" t="s">
        <v>39</v>
      </c>
      <c r="U1706" s="24" t="s">
        <v>39</v>
      </c>
      <c r="V1706" s="24" t="s">
        <v>39</v>
      </c>
      <c r="W1706" s="24"/>
      <c r="X1706" s="24"/>
      <c r="Y1706" s="15"/>
      <c r="Z1706" s="15"/>
      <c r="AA1706" s="24"/>
      <c r="AB1706" s="24"/>
      <c r="AC1706" s="24"/>
      <c r="AD1706" s="24"/>
      <c r="AE1706" s="24"/>
      <c r="AF1706" s="24"/>
      <c r="AG1706" s="24"/>
      <c r="AH1706" s="24"/>
    </row>
    <row r="1707" spans="1:34" ht="45" x14ac:dyDescent="0.25">
      <c r="A1707" s="24" t="str">
        <f>HYPERLINK("https://www.cpso.on.ca/DoctorDetails/Nicolaas-Paul-Leonard-Gerrit-Verhoeff/0163944-74459","Verhoeff, Nicolaas Paul Leonard Gerrit")</f>
        <v>Verhoeff, Nicolaas Paul Leonard Gerrit</v>
      </c>
      <c r="B1707" s="25" t="s">
        <v>16152</v>
      </c>
      <c r="C1707" s="24" t="s">
        <v>16153</v>
      </c>
      <c r="D1707" s="24" t="s">
        <v>16154</v>
      </c>
      <c r="E1707" s="24" t="s">
        <v>29</v>
      </c>
      <c r="F1707" s="24" t="s">
        <v>30</v>
      </c>
      <c r="G1707" s="24" t="s">
        <v>16155</v>
      </c>
      <c r="H1707" s="24" t="s">
        <v>16156</v>
      </c>
      <c r="I1707" s="24" t="s">
        <v>16157</v>
      </c>
      <c r="J1707" s="24" t="s">
        <v>16158</v>
      </c>
      <c r="K1707" s="24" t="s">
        <v>12853</v>
      </c>
      <c r="L1707" s="24" t="s">
        <v>52</v>
      </c>
      <c r="M1707" s="15"/>
      <c r="N1707" s="15"/>
      <c r="O1707" s="15" t="s">
        <v>3921</v>
      </c>
      <c r="P1707" s="15" t="s">
        <v>16159</v>
      </c>
      <c r="Q1707" s="15" t="s">
        <v>16160</v>
      </c>
      <c r="R1707" s="15" t="s">
        <v>16161</v>
      </c>
      <c r="S1707" s="24" t="s">
        <v>39</v>
      </c>
      <c r="T1707" s="24" t="s">
        <v>39</v>
      </c>
      <c r="U1707" s="24" t="s">
        <v>39</v>
      </c>
      <c r="V1707" s="24" t="s">
        <v>39</v>
      </c>
      <c r="W1707" s="24"/>
      <c r="X1707" s="24"/>
      <c r="Y1707" s="15"/>
      <c r="Z1707" s="15"/>
      <c r="AA1707" s="24"/>
      <c r="AB1707" s="24"/>
      <c r="AC1707" s="24"/>
      <c r="AD1707" s="24"/>
      <c r="AE1707" s="24"/>
      <c r="AF1707" s="24"/>
      <c r="AG1707" s="24"/>
      <c r="AH1707" s="24"/>
    </row>
    <row r="1708" spans="1:34" ht="135" x14ac:dyDescent="0.25">
      <c r="A1708" s="24" t="str">
        <f>HYPERLINK("https://www.cpso.on.ca/DoctorDetails/Nicole-Candida-Koziel/0250300-88821","Koziel, Nicole Candida")</f>
        <v>Koziel, Nicole Candida</v>
      </c>
      <c r="B1708" s="25" t="s">
        <v>16162</v>
      </c>
      <c r="C1708" s="24" t="s">
        <v>9035</v>
      </c>
      <c r="D1708" s="24" t="s">
        <v>600</v>
      </c>
      <c r="E1708" s="24" t="s">
        <v>29</v>
      </c>
      <c r="F1708" s="24" t="s">
        <v>47</v>
      </c>
      <c r="G1708" s="24" t="s">
        <v>31</v>
      </c>
      <c r="H1708" s="24" t="s">
        <v>3864</v>
      </c>
      <c r="I1708" s="24" t="s">
        <v>16163</v>
      </c>
      <c r="J1708" s="24" t="s">
        <v>16164</v>
      </c>
      <c r="K1708" s="24"/>
      <c r="L1708" s="24" t="s">
        <v>52</v>
      </c>
      <c r="M1708" s="15" t="s">
        <v>16165</v>
      </c>
      <c r="N1708" s="15"/>
      <c r="O1708" s="15" t="s">
        <v>1110</v>
      </c>
      <c r="P1708" s="15" t="s">
        <v>272</v>
      </c>
      <c r="Q1708" s="15" t="s">
        <v>273</v>
      </c>
      <c r="R1708" s="15" t="s">
        <v>16166</v>
      </c>
      <c r="S1708" s="24" t="s">
        <v>39</v>
      </c>
      <c r="T1708" s="24" t="s">
        <v>39</v>
      </c>
      <c r="U1708" s="24" t="s">
        <v>39</v>
      </c>
      <c r="V1708" s="24" t="s">
        <v>39</v>
      </c>
      <c r="W1708" s="24"/>
      <c r="X1708" s="24"/>
      <c r="Y1708" s="15"/>
      <c r="Z1708" s="15"/>
      <c r="AA1708" s="24"/>
      <c r="AB1708" s="24"/>
      <c r="AC1708" s="24"/>
      <c r="AD1708" s="24"/>
      <c r="AE1708" s="24"/>
      <c r="AF1708" s="24"/>
      <c r="AG1708" s="24"/>
      <c r="AH1708" s="24"/>
    </row>
    <row r="1709" spans="1:34" ht="90" x14ac:dyDescent="0.25">
      <c r="A1709" s="24" t="str">
        <f>HYPERLINK("https://www.cpso.on.ca/DoctorDetails/Nicole-DavisFaroque/0265658-93260","Davis-Faroque, Nicole")</f>
        <v>Davis-Faroque, Nicole</v>
      </c>
      <c r="B1709" s="25" t="s">
        <v>16167</v>
      </c>
      <c r="C1709" s="24" t="s">
        <v>570</v>
      </c>
      <c r="D1709" s="24" t="s">
        <v>16168</v>
      </c>
      <c r="E1709" s="24" t="s">
        <v>29</v>
      </c>
      <c r="F1709" s="24" t="s">
        <v>47</v>
      </c>
      <c r="G1709" s="24" t="s">
        <v>31</v>
      </c>
      <c r="H1709" s="24" t="s">
        <v>1699</v>
      </c>
      <c r="I1709" s="24" t="s">
        <v>16169</v>
      </c>
      <c r="J1709" s="24" t="s">
        <v>1262</v>
      </c>
      <c r="K1709" s="24" t="s">
        <v>16170</v>
      </c>
      <c r="L1709" s="24" t="s">
        <v>52</v>
      </c>
      <c r="M1709" s="15"/>
      <c r="N1709" s="15"/>
      <c r="O1709" s="15" t="s">
        <v>793</v>
      </c>
      <c r="P1709" s="15" t="s">
        <v>7167</v>
      </c>
      <c r="Q1709" s="15" t="s">
        <v>16171</v>
      </c>
      <c r="R1709" s="15" t="s">
        <v>16172</v>
      </c>
      <c r="S1709" s="24" t="s">
        <v>39</v>
      </c>
      <c r="T1709" s="24" t="s">
        <v>39</v>
      </c>
      <c r="U1709" s="24" t="s">
        <v>39</v>
      </c>
      <c r="V1709" s="24" t="s">
        <v>39</v>
      </c>
      <c r="W1709" s="24" t="s">
        <v>16173</v>
      </c>
      <c r="X1709" s="24" t="s">
        <v>16174</v>
      </c>
      <c r="Y1709" s="15" t="s">
        <v>16175</v>
      </c>
      <c r="Z1709" s="15" t="s">
        <v>7621</v>
      </c>
      <c r="AA1709" s="24"/>
      <c r="AB1709" s="24"/>
      <c r="AC1709" s="24"/>
      <c r="AD1709" s="24"/>
      <c r="AE1709" s="24"/>
      <c r="AF1709" s="24"/>
      <c r="AG1709" s="24"/>
      <c r="AH1709" s="24"/>
    </row>
    <row r="1710" spans="1:34" ht="135" x14ac:dyDescent="0.25">
      <c r="A1710" s="24" t="str">
        <f>HYPERLINK("https://www.cpso.on.ca/DoctorDetails/Nicole-Rachel-Kozloff/0257810-91600","Kozloff, Nicole Rachel")</f>
        <v>Kozloff, Nicole Rachel</v>
      </c>
      <c r="B1710" s="25" t="s">
        <v>16176</v>
      </c>
      <c r="C1710" s="24" t="s">
        <v>442</v>
      </c>
      <c r="D1710" s="24" t="s">
        <v>16177</v>
      </c>
      <c r="E1710" s="24" t="s">
        <v>29</v>
      </c>
      <c r="F1710" s="24" t="s">
        <v>47</v>
      </c>
      <c r="G1710" s="24" t="s">
        <v>31</v>
      </c>
      <c r="H1710" s="24" t="s">
        <v>5192</v>
      </c>
      <c r="I1710" s="24" t="s">
        <v>16178</v>
      </c>
      <c r="J1710" s="24" t="s">
        <v>16179</v>
      </c>
      <c r="K1710" s="24" t="s">
        <v>16180</v>
      </c>
      <c r="L1710" s="24" t="s">
        <v>52</v>
      </c>
      <c r="M1710" s="15" t="s">
        <v>16181</v>
      </c>
      <c r="N1710" s="15"/>
      <c r="O1710" s="15" t="s">
        <v>6169</v>
      </c>
      <c r="P1710" s="15" t="s">
        <v>16182</v>
      </c>
      <c r="Q1710" s="15" t="s">
        <v>16183</v>
      </c>
      <c r="R1710" s="15" t="s">
        <v>16184</v>
      </c>
      <c r="S1710" s="24" t="s">
        <v>39</v>
      </c>
      <c r="T1710" s="24" t="s">
        <v>39</v>
      </c>
      <c r="U1710" s="24" t="s">
        <v>39</v>
      </c>
      <c r="V1710" s="24" t="s">
        <v>39</v>
      </c>
      <c r="W1710" s="24"/>
      <c r="X1710" s="24"/>
      <c r="Y1710" s="15"/>
      <c r="Z1710" s="15"/>
      <c r="AA1710" s="24"/>
      <c r="AB1710" s="24"/>
      <c r="AC1710" s="24"/>
      <c r="AD1710" s="24"/>
      <c r="AE1710" s="24"/>
      <c r="AF1710" s="24"/>
      <c r="AG1710" s="24"/>
      <c r="AH1710" s="24"/>
    </row>
    <row r="1711" spans="1:34" ht="75" x14ac:dyDescent="0.25">
      <c r="A1711" s="24" t="str">
        <f>HYPERLINK("https://www.cpso.on.ca/DoctorDetails/Nighat-Parveen/0240872-87175","Parveen, Nighat")</f>
        <v>Parveen, Nighat</v>
      </c>
      <c r="B1711" s="25" t="s">
        <v>16185</v>
      </c>
      <c r="C1711" s="24" t="s">
        <v>16186</v>
      </c>
      <c r="D1711" s="24" t="s">
        <v>16187</v>
      </c>
      <c r="E1711" s="24" t="s">
        <v>29</v>
      </c>
      <c r="F1711" s="24" t="s">
        <v>47</v>
      </c>
      <c r="G1711" s="24" t="s">
        <v>2425</v>
      </c>
      <c r="H1711" s="24" t="s">
        <v>16188</v>
      </c>
      <c r="I1711" s="24" t="s">
        <v>16189</v>
      </c>
      <c r="J1711" s="24" t="s">
        <v>16190</v>
      </c>
      <c r="K1711" s="24" t="s">
        <v>16191</v>
      </c>
      <c r="L1711" s="24" t="s">
        <v>52</v>
      </c>
      <c r="M1711" s="15"/>
      <c r="N1711" s="15"/>
      <c r="O1711" s="15" t="s">
        <v>958</v>
      </c>
      <c r="P1711" s="15" t="s">
        <v>590</v>
      </c>
      <c r="Q1711" s="15"/>
      <c r="R1711" s="15" t="s">
        <v>16192</v>
      </c>
      <c r="S1711" s="24" t="s">
        <v>39</v>
      </c>
      <c r="T1711" s="24" t="s">
        <v>39</v>
      </c>
      <c r="U1711" s="24" t="s">
        <v>39</v>
      </c>
      <c r="V1711" s="24" t="s">
        <v>39</v>
      </c>
      <c r="W1711" s="24" t="s">
        <v>16193</v>
      </c>
      <c r="X1711" s="24" t="s">
        <v>16194</v>
      </c>
      <c r="Y1711" s="15" t="s">
        <v>16195</v>
      </c>
      <c r="Z1711" s="15" t="s">
        <v>16196</v>
      </c>
      <c r="AA1711" s="24"/>
      <c r="AB1711" s="24"/>
      <c r="AC1711" s="24"/>
      <c r="AD1711" s="24"/>
      <c r="AE1711" s="24"/>
      <c r="AF1711" s="24"/>
      <c r="AG1711" s="24"/>
      <c r="AH1711" s="24"/>
    </row>
    <row r="1712" spans="1:34" ht="75" x14ac:dyDescent="0.25">
      <c r="A1712" s="24" t="str">
        <f>HYPERLINK("https://www.cpso.on.ca/DoctorDetails/Nikola-Grujich/0232827-84659","Grujich, Nikola")</f>
        <v>Grujich, Nikola</v>
      </c>
      <c r="B1712" s="25" t="s">
        <v>16197</v>
      </c>
      <c r="C1712" s="24" t="s">
        <v>16198</v>
      </c>
      <c r="D1712" s="24" t="s">
        <v>16199</v>
      </c>
      <c r="E1712" s="24" t="s">
        <v>29</v>
      </c>
      <c r="F1712" s="24" t="s">
        <v>30</v>
      </c>
      <c r="G1712" s="24" t="s">
        <v>31</v>
      </c>
      <c r="H1712" s="24" t="s">
        <v>649</v>
      </c>
      <c r="I1712" s="24" t="s">
        <v>16200</v>
      </c>
      <c r="J1712" s="24" t="s">
        <v>16201</v>
      </c>
      <c r="K1712" s="24" t="s">
        <v>6537</v>
      </c>
      <c r="L1712" s="24" t="s">
        <v>52</v>
      </c>
      <c r="M1712" s="15"/>
      <c r="N1712" s="15"/>
      <c r="O1712" s="15" t="s">
        <v>1397</v>
      </c>
      <c r="P1712" s="15" t="s">
        <v>654</v>
      </c>
      <c r="Q1712" s="15" t="s">
        <v>655</v>
      </c>
      <c r="R1712" s="15" t="s">
        <v>16202</v>
      </c>
      <c r="S1712" s="24" t="s">
        <v>39</v>
      </c>
      <c r="T1712" s="24" t="s">
        <v>39</v>
      </c>
      <c r="U1712" s="24" t="s">
        <v>39</v>
      </c>
      <c r="V1712" s="24" t="s">
        <v>39</v>
      </c>
      <c r="W1712" s="24" t="s">
        <v>16203</v>
      </c>
      <c r="X1712" s="24" t="s">
        <v>16204</v>
      </c>
      <c r="Y1712" s="15"/>
      <c r="Z1712" s="15"/>
      <c r="AA1712" s="24" t="s">
        <v>16203</v>
      </c>
      <c r="AB1712" s="24" t="s">
        <v>2076</v>
      </c>
      <c r="AC1712" s="24" t="s">
        <v>16205</v>
      </c>
      <c r="AD1712" s="24" t="s">
        <v>16206</v>
      </c>
      <c r="AE1712" s="24"/>
      <c r="AF1712" s="24"/>
      <c r="AG1712" s="24"/>
      <c r="AH1712" s="24"/>
    </row>
    <row r="1713" spans="1:34" ht="90" x14ac:dyDescent="0.25">
      <c r="A1713" s="24" t="str">
        <f>HYPERLINK("https://www.cpso.on.ca/DoctorDetails/Nikolay-Petrov-Horozov/0288076-100595","Horozov, Nikolay Petrov")</f>
        <v>Horozov, Nikolay Petrov</v>
      </c>
      <c r="B1713" s="25" t="s">
        <v>16207</v>
      </c>
      <c r="C1713" s="24" t="s">
        <v>16208</v>
      </c>
      <c r="D1713" s="24" t="s">
        <v>16209</v>
      </c>
      <c r="E1713" s="24" t="s">
        <v>29</v>
      </c>
      <c r="F1713" s="24" t="s">
        <v>30</v>
      </c>
      <c r="G1713" s="24" t="s">
        <v>1687</v>
      </c>
      <c r="H1713" s="24" t="s">
        <v>16210</v>
      </c>
      <c r="I1713" s="24" t="s">
        <v>16211</v>
      </c>
      <c r="J1713" s="24" t="s">
        <v>16212</v>
      </c>
      <c r="K1713" s="24"/>
      <c r="L1713" s="24"/>
      <c r="M1713" s="15"/>
      <c r="N1713" s="15" t="s">
        <v>16213</v>
      </c>
      <c r="O1713" s="15" t="s">
        <v>15613</v>
      </c>
      <c r="P1713" s="15" t="s">
        <v>16214</v>
      </c>
      <c r="Q1713" s="15"/>
      <c r="R1713" s="15" t="s">
        <v>16215</v>
      </c>
      <c r="S1713" s="24" t="s">
        <v>71</v>
      </c>
      <c r="T1713" s="24" t="s">
        <v>39</v>
      </c>
      <c r="U1713" s="24" t="s">
        <v>39</v>
      </c>
      <c r="V1713" s="24" t="s">
        <v>39</v>
      </c>
      <c r="W1713" s="24" t="s">
        <v>16216</v>
      </c>
      <c r="X1713" s="24" t="s">
        <v>16217</v>
      </c>
      <c r="Y1713" s="15"/>
      <c r="Z1713" s="15"/>
      <c r="AA1713" s="24"/>
      <c r="AB1713" s="24"/>
      <c r="AC1713" s="24"/>
      <c r="AD1713" s="24"/>
      <c r="AE1713" s="24"/>
      <c r="AF1713" s="24"/>
      <c r="AG1713" s="24"/>
      <c r="AH1713" s="24"/>
    </row>
    <row r="1714" spans="1:34" ht="30" x14ac:dyDescent="0.25">
      <c r="A1714" s="24" t="str">
        <f>HYPERLINK("https://www.cpso.on.ca/DoctorDetails/Nimishchandra-Natverlal-Purohit/0161143-73339","Purohit, Nimishchandra Natverlal")</f>
        <v>Purohit, Nimishchandra Natverlal</v>
      </c>
      <c r="B1714" s="25" t="s">
        <v>16218</v>
      </c>
      <c r="C1714" s="24" t="s">
        <v>16219</v>
      </c>
      <c r="D1714" s="24" t="s">
        <v>16220</v>
      </c>
      <c r="E1714" s="24" t="s">
        <v>29</v>
      </c>
      <c r="F1714" s="24" t="s">
        <v>30</v>
      </c>
      <c r="G1714" s="24" t="s">
        <v>3187</v>
      </c>
      <c r="H1714" s="24" t="s">
        <v>16221</v>
      </c>
      <c r="I1714" s="24" t="s">
        <v>16222</v>
      </c>
      <c r="J1714" s="24" t="s">
        <v>16223</v>
      </c>
      <c r="K1714" s="24" t="s">
        <v>16224</v>
      </c>
      <c r="L1714" s="24" t="s">
        <v>184</v>
      </c>
      <c r="M1714" s="15" t="s">
        <v>16225</v>
      </c>
      <c r="N1714" s="15"/>
      <c r="O1714" s="15"/>
      <c r="P1714" s="15" t="s">
        <v>1251</v>
      </c>
      <c r="Q1714" s="15"/>
      <c r="R1714" s="15" t="s">
        <v>16226</v>
      </c>
      <c r="S1714" s="24" t="s">
        <v>39</v>
      </c>
      <c r="T1714" s="24" t="s">
        <v>39</v>
      </c>
      <c r="U1714" s="24" t="s">
        <v>39</v>
      </c>
      <c r="V1714" s="24" t="s">
        <v>39</v>
      </c>
      <c r="W1714" s="24" t="s">
        <v>16227</v>
      </c>
      <c r="X1714" s="24" t="s">
        <v>12754</v>
      </c>
      <c r="Y1714" s="15" t="s">
        <v>16228</v>
      </c>
      <c r="Z1714" s="15" t="s">
        <v>16229</v>
      </c>
      <c r="AA1714" s="24"/>
      <c r="AB1714" s="24"/>
      <c r="AC1714" s="24"/>
      <c r="AD1714" s="24"/>
      <c r="AE1714" s="24"/>
      <c r="AF1714" s="24"/>
      <c r="AG1714" s="24"/>
      <c r="AH1714" s="24"/>
    </row>
    <row r="1715" spans="1:34" ht="75" x14ac:dyDescent="0.25">
      <c r="A1715" s="24" t="str">
        <f>HYPERLINK("https://www.cpso.on.ca/DoctorDetails/Nina-Leah-Desjardins/0132956-70571","Desjardins, Nina Leah")</f>
        <v>Desjardins, Nina Leah</v>
      </c>
      <c r="B1715" s="25" t="s">
        <v>16230</v>
      </c>
      <c r="C1715" s="24" t="s">
        <v>9044</v>
      </c>
      <c r="D1715" s="24" t="s">
        <v>9045</v>
      </c>
      <c r="E1715" s="24" t="s">
        <v>29</v>
      </c>
      <c r="F1715" s="24" t="s">
        <v>47</v>
      </c>
      <c r="G1715" s="24" t="s">
        <v>31</v>
      </c>
      <c r="H1715" s="24" t="s">
        <v>16231</v>
      </c>
      <c r="I1715" s="24" t="s">
        <v>16232</v>
      </c>
      <c r="J1715" s="24" t="s">
        <v>16233</v>
      </c>
      <c r="K1715" s="24"/>
      <c r="L1715" s="24" t="s">
        <v>135</v>
      </c>
      <c r="M1715" s="15" t="s">
        <v>16234</v>
      </c>
      <c r="N1715" s="15"/>
      <c r="O1715" s="15" t="s">
        <v>9760</v>
      </c>
      <c r="P1715" s="15" t="s">
        <v>16235</v>
      </c>
      <c r="Q1715" s="15" t="s">
        <v>3819</v>
      </c>
      <c r="R1715" s="15" t="s">
        <v>16236</v>
      </c>
      <c r="S1715" s="24" t="s">
        <v>39</v>
      </c>
      <c r="T1715" s="24" t="s">
        <v>39</v>
      </c>
      <c r="U1715" s="24" t="s">
        <v>39</v>
      </c>
      <c r="V1715" s="24" t="s">
        <v>39</v>
      </c>
      <c r="W1715" s="24" t="s">
        <v>16237</v>
      </c>
      <c r="X1715" s="24" t="s">
        <v>16238</v>
      </c>
      <c r="Y1715" s="15" t="s">
        <v>16239</v>
      </c>
      <c r="Z1715" s="15" t="s">
        <v>16240</v>
      </c>
      <c r="AA1715" s="24"/>
      <c r="AB1715" s="24"/>
      <c r="AC1715" s="24"/>
      <c r="AD1715" s="24"/>
      <c r="AE1715" s="24"/>
      <c r="AF1715" s="24"/>
      <c r="AG1715" s="24"/>
      <c r="AH1715" s="24"/>
    </row>
    <row r="1716" spans="1:34" x14ac:dyDescent="0.25">
      <c r="A1716" s="24" t="str">
        <f>HYPERLINK("https://www.cpso.on.ca/DoctorDetails/Nirmal-Singh-Kang/0052269-66248","Kang, Nirmal Singh")</f>
        <v>Kang, Nirmal Singh</v>
      </c>
      <c r="B1716" s="25" t="s">
        <v>16241</v>
      </c>
      <c r="C1716" s="24" t="s">
        <v>2589</v>
      </c>
      <c r="D1716" s="24" t="s">
        <v>2590</v>
      </c>
      <c r="E1716" s="24" t="s">
        <v>29</v>
      </c>
      <c r="F1716" s="24" t="s">
        <v>30</v>
      </c>
      <c r="G1716" s="24" t="s">
        <v>691</v>
      </c>
      <c r="H1716" s="24" t="s">
        <v>16242</v>
      </c>
      <c r="I1716" s="24" t="s">
        <v>16243</v>
      </c>
      <c r="J1716" s="24" t="s">
        <v>16244</v>
      </c>
      <c r="K1716" s="24" t="s">
        <v>16245</v>
      </c>
      <c r="L1716" s="24"/>
      <c r="M1716" s="15"/>
      <c r="N1716" s="15" t="s">
        <v>1370</v>
      </c>
      <c r="O1716" s="15"/>
      <c r="P1716" s="15" t="s">
        <v>2597</v>
      </c>
      <c r="Q1716" s="15"/>
      <c r="R1716" s="15" t="s">
        <v>2598</v>
      </c>
      <c r="S1716" s="24" t="s">
        <v>39</v>
      </c>
      <c r="T1716" s="24" t="s">
        <v>39</v>
      </c>
      <c r="U1716" s="24" t="s">
        <v>39</v>
      </c>
      <c r="V1716" s="24" t="s">
        <v>39</v>
      </c>
      <c r="W1716" s="24"/>
      <c r="X1716" s="24"/>
      <c r="Y1716" s="15"/>
      <c r="Z1716" s="15"/>
      <c r="AA1716" s="24"/>
      <c r="AB1716" s="24"/>
      <c r="AC1716" s="24"/>
      <c r="AD1716" s="24"/>
      <c r="AE1716" s="24"/>
      <c r="AF1716" s="24"/>
      <c r="AG1716" s="24"/>
      <c r="AH1716" s="24"/>
    </row>
    <row r="1717" spans="1:34" x14ac:dyDescent="0.25">
      <c r="A1717" s="24" t="str">
        <f>HYPERLINK("https://www.cpso.on.ca/DoctorDetails/Nirmala-Sundaralingam/0050935-64914","Sundaralingam, Nirmala")</f>
        <v>Sundaralingam, Nirmala</v>
      </c>
      <c r="B1717" s="25" t="s">
        <v>16246</v>
      </c>
      <c r="C1717" s="24" t="s">
        <v>16247</v>
      </c>
      <c r="D1717" s="24" t="s">
        <v>16248</v>
      </c>
      <c r="E1717" s="24" t="s">
        <v>29</v>
      </c>
      <c r="F1717" s="24" t="s">
        <v>47</v>
      </c>
      <c r="G1717" s="24" t="s">
        <v>2255</v>
      </c>
      <c r="H1717" s="24" t="s">
        <v>7428</v>
      </c>
      <c r="I1717" s="24" t="s">
        <v>16249</v>
      </c>
      <c r="J1717" s="24" t="s">
        <v>16250</v>
      </c>
      <c r="K1717" s="24"/>
      <c r="L1717" s="24" t="s">
        <v>36</v>
      </c>
      <c r="M1717" s="15"/>
      <c r="N1717" s="15"/>
      <c r="O1717" s="15" t="s">
        <v>3590</v>
      </c>
      <c r="P1717" s="15" t="s">
        <v>2470</v>
      </c>
      <c r="Q1717" s="15"/>
      <c r="R1717" s="15" t="s">
        <v>16251</v>
      </c>
      <c r="S1717" s="24" t="s">
        <v>39</v>
      </c>
      <c r="T1717" s="24" t="s">
        <v>39</v>
      </c>
      <c r="U1717" s="24" t="s">
        <v>39</v>
      </c>
      <c r="V1717" s="24" t="s">
        <v>39</v>
      </c>
      <c r="W1717" s="24"/>
      <c r="X1717" s="24"/>
      <c r="Y1717" s="15"/>
      <c r="Z1717" s="15"/>
      <c r="AA1717" s="24"/>
      <c r="AB1717" s="24"/>
      <c r="AC1717" s="24"/>
      <c r="AD1717" s="24"/>
      <c r="AE1717" s="24"/>
      <c r="AF1717" s="24"/>
      <c r="AG1717" s="24"/>
      <c r="AH1717" s="24"/>
    </row>
    <row r="1718" spans="1:34" ht="105" x14ac:dyDescent="0.25">
      <c r="A1718" s="24" t="str">
        <f>HYPERLINK("https://www.cpso.on.ca/DoctorDetails/Nisha-Indrajith-Ravindran/0235030-85429","Ravindran, Nisha Indrajith")</f>
        <v>Ravindran, Nisha Indrajith</v>
      </c>
      <c r="B1718" s="25" t="s">
        <v>16252</v>
      </c>
      <c r="C1718" s="24" t="s">
        <v>16253</v>
      </c>
      <c r="D1718" s="24" t="s">
        <v>16254</v>
      </c>
      <c r="E1718" s="24" t="s">
        <v>29</v>
      </c>
      <c r="F1718" s="24" t="s">
        <v>30</v>
      </c>
      <c r="G1718" s="24" t="s">
        <v>31</v>
      </c>
      <c r="H1718" s="24" t="s">
        <v>7066</v>
      </c>
      <c r="I1718" s="24" t="s">
        <v>16255</v>
      </c>
      <c r="J1718" s="24" t="s">
        <v>1262</v>
      </c>
      <c r="K1718" s="24"/>
      <c r="L1718" s="24" t="s">
        <v>52</v>
      </c>
      <c r="M1718" s="15"/>
      <c r="N1718" s="15"/>
      <c r="O1718" s="15" t="s">
        <v>981</v>
      </c>
      <c r="P1718" s="15" t="s">
        <v>654</v>
      </c>
      <c r="Q1718" s="15" t="s">
        <v>16256</v>
      </c>
      <c r="R1718" s="15" t="s">
        <v>16257</v>
      </c>
      <c r="S1718" s="24" t="s">
        <v>39</v>
      </c>
      <c r="T1718" s="24" t="s">
        <v>39</v>
      </c>
      <c r="U1718" s="24" t="s">
        <v>39</v>
      </c>
      <c r="V1718" s="24" t="s">
        <v>39</v>
      </c>
      <c r="W1718" s="24" t="s">
        <v>16258</v>
      </c>
      <c r="X1718" s="24" t="s">
        <v>16259</v>
      </c>
      <c r="Y1718" s="15" t="s">
        <v>16260</v>
      </c>
      <c r="Z1718" s="15" t="s">
        <v>16261</v>
      </c>
      <c r="AA1718" s="24"/>
      <c r="AB1718" s="24"/>
      <c r="AC1718" s="24"/>
      <c r="AD1718" s="24"/>
      <c r="AE1718" s="24"/>
      <c r="AF1718" s="24"/>
      <c r="AG1718" s="24"/>
      <c r="AH1718" s="24"/>
    </row>
    <row r="1719" spans="1:34" ht="90" x14ac:dyDescent="0.25">
      <c r="A1719" s="24" t="str">
        <f>HYPERLINK("https://www.cpso.on.ca/DoctorDetails/Nishardi-Tharu-WaidyaratneWijeratne/0266337-93947","Waidyaratne-Wijeratne, Nishardi Tharu")</f>
        <v>Waidyaratne-Wijeratne, Nishardi Tharu</v>
      </c>
      <c r="B1719" s="25" t="s">
        <v>16262</v>
      </c>
      <c r="C1719" s="24" t="s">
        <v>570</v>
      </c>
      <c r="D1719" s="24" t="s">
        <v>571</v>
      </c>
      <c r="E1719" s="24" t="s">
        <v>29</v>
      </c>
      <c r="F1719" s="24" t="s">
        <v>47</v>
      </c>
      <c r="G1719" s="24" t="s">
        <v>7427</v>
      </c>
      <c r="H1719" s="24" t="s">
        <v>16263</v>
      </c>
      <c r="I1719" s="24" t="s">
        <v>16264</v>
      </c>
      <c r="J1719" s="24" t="s">
        <v>16265</v>
      </c>
      <c r="K1719" s="24"/>
      <c r="L1719" s="24" t="s">
        <v>340</v>
      </c>
      <c r="M1719" s="15"/>
      <c r="N1719" s="15"/>
      <c r="O1719" s="15" t="s">
        <v>1914</v>
      </c>
      <c r="P1719" s="15" t="s">
        <v>629</v>
      </c>
      <c r="Q1719" s="15" t="s">
        <v>15255</v>
      </c>
      <c r="R1719" s="15" t="s">
        <v>2691</v>
      </c>
      <c r="S1719" s="24" t="s">
        <v>39</v>
      </c>
      <c r="T1719" s="24" t="s">
        <v>39</v>
      </c>
      <c r="U1719" s="24" t="s">
        <v>39</v>
      </c>
      <c r="V1719" s="24" t="s">
        <v>39</v>
      </c>
      <c r="W1719" s="24" t="s">
        <v>16266</v>
      </c>
      <c r="X1719" s="24" t="s">
        <v>16267</v>
      </c>
      <c r="Y1719" s="15" t="s">
        <v>16268</v>
      </c>
      <c r="Z1719" s="15" t="s">
        <v>16269</v>
      </c>
      <c r="AA1719" s="24"/>
      <c r="AB1719" s="24"/>
      <c r="AC1719" s="24"/>
      <c r="AD1719" s="24"/>
      <c r="AE1719" s="24"/>
      <c r="AF1719" s="24"/>
      <c r="AG1719" s="24"/>
      <c r="AH1719" s="24"/>
    </row>
    <row r="1720" spans="1:34" ht="75" x14ac:dyDescent="0.25">
      <c r="A1720" s="24" t="str">
        <f>HYPERLINK("https://www.cpso.on.ca/DoctorDetails/Nishka-Raghavan-Vijay/0180562-76378","Vijay, Nishka Raghavan")</f>
        <v>Vijay, Nishka Raghavan</v>
      </c>
      <c r="B1720" s="25" t="s">
        <v>16270</v>
      </c>
      <c r="C1720" s="24" t="s">
        <v>1130</v>
      </c>
      <c r="D1720" s="24" t="s">
        <v>4401</v>
      </c>
      <c r="E1720" s="24" t="s">
        <v>29</v>
      </c>
      <c r="F1720" s="24" t="s">
        <v>30</v>
      </c>
      <c r="G1720" s="24" t="s">
        <v>31</v>
      </c>
      <c r="H1720" s="24" t="s">
        <v>4402</v>
      </c>
      <c r="I1720" s="24" t="s">
        <v>16271</v>
      </c>
      <c r="J1720" s="24" t="s">
        <v>16272</v>
      </c>
      <c r="K1720" s="24" t="s">
        <v>16273</v>
      </c>
      <c r="L1720" s="24" t="s">
        <v>84</v>
      </c>
      <c r="M1720" s="15"/>
      <c r="N1720" s="15"/>
      <c r="O1720" s="15" t="s">
        <v>16274</v>
      </c>
      <c r="P1720" s="15" t="s">
        <v>1149</v>
      </c>
      <c r="Q1720" s="15" t="s">
        <v>3063</v>
      </c>
      <c r="R1720" s="15" t="s">
        <v>4407</v>
      </c>
      <c r="S1720" s="24" t="s">
        <v>39</v>
      </c>
      <c r="T1720" s="24" t="s">
        <v>39</v>
      </c>
      <c r="U1720" s="24" t="s">
        <v>39</v>
      </c>
      <c r="V1720" s="24" t="s">
        <v>39</v>
      </c>
      <c r="W1720" s="24" t="s">
        <v>16275</v>
      </c>
      <c r="X1720" s="24" t="s">
        <v>16276</v>
      </c>
      <c r="Y1720" s="15" t="s">
        <v>16277</v>
      </c>
      <c r="Z1720" s="15" t="s">
        <v>16278</v>
      </c>
      <c r="AA1720" s="24"/>
      <c r="AB1720" s="24"/>
      <c r="AC1720" s="24"/>
      <c r="AD1720" s="24"/>
      <c r="AE1720" s="24"/>
      <c r="AF1720" s="24"/>
      <c r="AG1720" s="24"/>
      <c r="AH1720" s="24"/>
    </row>
    <row r="1721" spans="1:34" ht="75" x14ac:dyDescent="0.25">
      <c r="A1721" s="24" t="str">
        <f>HYPERLINK("https://www.cpso.on.ca/DoctorDetails/Nitin-Chopra/0311506-110654","Chopra, Nitin")</f>
        <v>Chopra, Nitin</v>
      </c>
      <c r="B1721" s="25" t="s">
        <v>16279</v>
      </c>
      <c r="C1721" s="24" t="s">
        <v>16280</v>
      </c>
      <c r="D1721" s="24" t="s">
        <v>16281</v>
      </c>
      <c r="E1721" s="24" t="s">
        <v>29</v>
      </c>
      <c r="F1721" s="24" t="s">
        <v>30</v>
      </c>
      <c r="G1721" s="24" t="s">
        <v>31</v>
      </c>
      <c r="H1721" s="24" t="s">
        <v>16282</v>
      </c>
      <c r="I1721" s="24" t="s">
        <v>16283</v>
      </c>
      <c r="J1721" s="24" t="s">
        <v>1262</v>
      </c>
      <c r="K1721" s="24"/>
      <c r="L1721" s="24" t="s">
        <v>52</v>
      </c>
      <c r="M1721" s="15"/>
      <c r="N1721" s="15" t="s">
        <v>16284</v>
      </c>
      <c r="O1721" s="15"/>
      <c r="P1721" s="15" t="s">
        <v>16285</v>
      </c>
      <c r="Q1721" s="15" t="s">
        <v>16286</v>
      </c>
      <c r="R1721" s="15" t="s">
        <v>16287</v>
      </c>
      <c r="S1721" s="24" t="s">
        <v>71</v>
      </c>
      <c r="T1721" s="24" t="s">
        <v>39</v>
      </c>
      <c r="U1721" s="24" t="s">
        <v>39</v>
      </c>
      <c r="V1721" s="24" t="s">
        <v>39</v>
      </c>
      <c r="W1721" s="24"/>
      <c r="X1721" s="24"/>
      <c r="Y1721" s="15"/>
      <c r="Z1721" s="15"/>
      <c r="AA1721" s="24"/>
      <c r="AB1721" s="24"/>
      <c r="AC1721" s="24"/>
      <c r="AD1721" s="24"/>
      <c r="AE1721" s="24"/>
      <c r="AF1721" s="24"/>
      <c r="AG1721" s="24"/>
      <c r="AH1721" s="24"/>
    </row>
    <row r="1722" spans="1:34" ht="45" x14ac:dyDescent="0.25">
      <c r="A1722" s="24" t="str">
        <f>HYPERLINK("https://www.cpso.on.ca/DoctorDetails/Nives-AntolovicStanfel/0153602-72734","Antolovic-Stanfel, Nives")</f>
        <v>Antolovic-Stanfel, Nives</v>
      </c>
      <c r="B1722" s="25" t="s">
        <v>16288</v>
      </c>
      <c r="C1722" s="24" t="s">
        <v>16289</v>
      </c>
      <c r="D1722" s="24" t="s">
        <v>16290</v>
      </c>
      <c r="E1722" s="24" t="s">
        <v>29</v>
      </c>
      <c r="F1722" s="24" t="s">
        <v>47</v>
      </c>
      <c r="G1722" s="24" t="s">
        <v>15119</v>
      </c>
      <c r="H1722" s="24" t="s">
        <v>16291</v>
      </c>
      <c r="I1722" s="24" t="s">
        <v>16292</v>
      </c>
      <c r="J1722" s="24" t="s">
        <v>16293</v>
      </c>
      <c r="K1722" s="24"/>
      <c r="L1722" s="24"/>
      <c r="M1722" s="15"/>
      <c r="N1722" s="15" t="s">
        <v>16294</v>
      </c>
      <c r="O1722" s="15"/>
      <c r="P1722" s="15" t="s">
        <v>1677</v>
      </c>
      <c r="Q1722" s="15" t="s">
        <v>16295</v>
      </c>
      <c r="R1722" s="15" t="s">
        <v>16296</v>
      </c>
      <c r="S1722" s="24" t="s">
        <v>39</v>
      </c>
      <c r="T1722" s="24" t="s">
        <v>39</v>
      </c>
      <c r="U1722" s="24" t="s">
        <v>39</v>
      </c>
      <c r="V1722" s="24" t="s">
        <v>39</v>
      </c>
      <c r="W1722" s="24"/>
      <c r="X1722" s="24"/>
      <c r="Y1722" s="15"/>
      <c r="Z1722" s="15"/>
      <c r="AA1722" s="24"/>
      <c r="AB1722" s="24"/>
      <c r="AC1722" s="24"/>
      <c r="AD1722" s="24"/>
      <c r="AE1722" s="24"/>
      <c r="AF1722" s="24"/>
      <c r="AG1722" s="24"/>
      <c r="AH1722" s="24"/>
    </row>
    <row r="1723" spans="1:34" ht="60" x14ac:dyDescent="0.25">
      <c r="A1723" s="24" t="str">
        <f>HYPERLINK("https://www.cpso.on.ca/DoctorDetails/Nnamdi-Ugochukwu-Ugwunze/0299667-110668","Ugwunze, Nnamdi Ugochukwu")</f>
        <v>Ugwunze, Nnamdi Ugochukwu</v>
      </c>
      <c r="B1723" s="25" t="s">
        <v>16297</v>
      </c>
      <c r="C1723" s="24" t="s">
        <v>16298</v>
      </c>
      <c r="D1723" s="24" t="s">
        <v>16299</v>
      </c>
      <c r="E1723" s="24" t="s">
        <v>29</v>
      </c>
      <c r="F1723" s="24" t="s">
        <v>30</v>
      </c>
      <c r="G1723" s="24" t="s">
        <v>4624</v>
      </c>
      <c r="H1723" s="24" t="s">
        <v>9003</v>
      </c>
      <c r="I1723" s="24" t="s">
        <v>16300</v>
      </c>
      <c r="J1723" s="24" t="s">
        <v>16301</v>
      </c>
      <c r="K1723" s="24"/>
      <c r="L1723" s="24" t="s">
        <v>135</v>
      </c>
      <c r="M1723" s="15" t="s">
        <v>16302</v>
      </c>
      <c r="N1723" s="15"/>
      <c r="O1723" s="15" t="s">
        <v>16303</v>
      </c>
      <c r="P1723" s="15" t="s">
        <v>2105</v>
      </c>
      <c r="Q1723" s="15"/>
      <c r="R1723" s="15" t="s">
        <v>16304</v>
      </c>
      <c r="S1723" s="24" t="s">
        <v>71</v>
      </c>
      <c r="T1723" s="24" t="s">
        <v>39</v>
      </c>
      <c r="U1723" s="24" t="s">
        <v>39</v>
      </c>
      <c r="V1723" s="24" t="s">
        <v>39</v>
      </c>
      <c r="W1723" s="24" t="s">
        <v>16305</v>
      </c>
      <c r="X1723" s="24" t="s">
        <v>11188</v>
      </c>
      <c r="Y1723" s="15" t="s">
        <v>16306</v>
      </c>
      <c r="Z1723" s="15" t="s">
        <v>16307</v>
      </c>
      <c r="AA1723" s="24"/>
      <c r="AB1723" s="24"/>
      <c r="AC1723" s="24"/>
      <c r="AD1723" s="24"/>
      <c r="AE1723" s="24"/>
      <c r="AF1723" s="24"/>
      <c r="AG1723" s="24"/>
      <c r="AH1723" s="24"/>
    </row>
    <row r="1724" spans="1:34" ht="120" x14ac:dyDescent="0.25">
      <c r="A1724" s="24" t="str">
        <f>HYPERLINK("https://www.cpso.on.ca/DoctorDetails/Noam-Soreni/0205443-80124","Soreni, Noam")</f>
        <v>Soreni, Noam</v>
      </c>
      <c r="B1724" s="25" t="s">
        <v>16308</v>
      </c>
      <c r="C1724" s="24" t="s">
        <v>16309</v>
      </c>
      <c r="D1724" s="24" t="s">
        <v>16310</v>
      </c>
      <c r="E1724" s="24" t="s">
        <v>16311</v>
      </c>
      <c r="F1724" s="24" t="s">
        <v>30</v>
      </c>
      <c r="G1724" s="24" t="s">
        <v>252</v>
      </c>
      <c r="H1724" s="24" t="s">
        <v>16312</v>
      </c>
      <c r="I1724" s="24" t="s">
        <v>16313</v>
      </c>
      <c r="J1724" s="24" t="s">
        <v>14087</v>
      </c>
      <c r="K1724" s="24" t="s">
        <v>725</v>
      </c>
      <c r="L1724" s="24" t="s">
        <v>184</v>
      </c>
      <c r="M1724" s="15" t="s">
        <v>16314</v>
      </c>
      <c r="N1724" s="15" t="s">
        <v>1356</v>
      </c>
      <c r="O1724" s="15" t="s">
        <v>6565</v>
      </c>
      <c r="P1724" s="15" t="s">
        <v>16315</v>
      </c>
      <c r="Q1724" s="15" t="s">
        <v>16316</v>
      </c>
      <c r="R1724" s="15" t="s">
        <v>16317</v>
      </c>
      <c r="S1724" s="24" t="s">
        <v>71</v>
      </c>
      <c r="T1724" s="24" t="s">
        <v>39</v>
      </c>
      <c r="U1724" s="24" t="s">
        <v>39</v>
      </c>
      <c r="V1724" s="24" t="s">
        <v>39</v>
      </c>
      <c r="W1724" s="24" t="s">
        <v>16318</v>
      </c>
      <c r="X1724" s="24" t="s">
        <v>16319</v>
      </c>
      <c r="Y1724" s="15" t="s">
        <v>16320</v>
      </c>
      <c r="Z1724" s="15" t="s">
        <v>16321</v>
      </c>
      <c r="AA1724" s="24"/>
      <c r="AB1724" s="24"/>
      <c r="AC1724" s="24"/>
      <c r="AD1724" s="24"/>
      <c r="AE1724" s="24"/>
      <c r="AF1724" s="24"/>
      <c r="AG1724" s="24"/>
      <c r="AH1724" s="24"/>
    </row>
    <row r="1725" spans="1:34" ht="75" x14ac:dyDescent="0.25">
      <c r="A1725" s="24" t="str">
        <f>HYPERLINK("https://www.cpso.on.ca/DoctorDetails/Noel-Philip-Laporte/0185692-76603","Laporte, Noel Philip")</f>
        <v>Laporte, Noel Philip</v>
      </c>
      <c r="B1725" s="25" t="s">
        <v>16322</v>
      </c>
      <c r="C1725" s="24" t="s">
        <v>1130</v>
      </c>
      <c r="D1725" s="24" t="s">
        <v>4401</v>
      </c>
      <c r="E1725" s="24" t="s">
        <v>29</v>
      </c>
      <c r="F1725" s="24" t="s">
        <v>30</v>
      </c>
      <c r="G1725" s="24" t="s">
        <v>31</v>
      </c>
      <c r="H1725" s="24" t="s">
        <v>3697</v>
      </c>
      <c r="I1725" s="24" t="s">
        <v>16323</v>
      </c>
      <c r="J1725" s="24" t="s">
        <v>16324</v>
      </c>
      <c r="K1725" s="24"/>
      <c r="L1725" s="24" t="s">
        <v>135</v>
      </c>
      <c r="M1725" s="15"/>
      <c r="N1725" s="15"/>
      <c r="O1725" s="15" t="s">
        <v>16325</v>
      </c>
      <c r="P1725" s="15" t="s">
        <v>1149</v>
      </c>
      <c r="Q1725" s="15" t="s">
        <v>16326</v>
      </c>
      <c r="R1725" s="15" t="s">
        <v>4407</v>
      </c>
      <c r="S1725" s="24" t="s">
        <v>39</v>
      </c>
      <c r="T1725" s="24" t="s">
        <v>39</v>
      </c>
      <c r="U1725" s="24" t="s">
        <v>39</v>
      </c>
      <c r="V1725" s="24" t="s">
        <v>39</v>
      </c>
      <c r="W1725" s="24" t="s">
        <v>16327</v>
      </c>
      <c r="X1725" s="24" t="s">
        <v>16328</v>
      </c>
      <c r="Y1725" s="15" t="s">
        <v>16329</v>
      </c>
      <c r="Z1725" s="15" t="s">
        <v>16330</v>
      </c>
      <c r="AA1725" s="24"/>
      <c r="AB1725" s="24"/>
      <c r="AC1725" s="24"/>
      <c r="AD1725" s="24"/>
      <c r="AE1725" s="24"/>
      <c r="AF1725" s="24"/>
      <c r="AG1725" s="24"/>
      <c r="AH1725" s="24"/>
    </row>
    <row r="1726" spans="1:34" ht="90" x14ac:dyDescent="0.25">
      <c r="A1726" s="24" t="str">
        <f>HYPERLINK("https://www.cpso.on.ca/DoctorDetails/Noel-Rufus-Amaladoss/0233920-85368","Amaladoss, Noel Rufus")</f>
        <v>Amaladoss, Noel Rufus</v>
      </c>
      <c r="B1726" s="25" t="s">
        <v>16331</v>
      </c>
      <c r="C1726" s="24" t="s">
        <v>16332</v>
      </c>
      <c r="D1726" s="24" t="s">
        <v>648</v>
      </c>
      <c r="E1726" s="24" t="s">
        <v>29</v>
      </c>
      <c r="F1726" s="24" t="s">
        <v>30</v>
      </c>
      <c r="G1726" s="24" t="s">
        <v>31</v>
      </c>
      <c r="H1726" s="24" t="s">
        <v>16333</v>
      </c>
      <c r="I1726" s="24" t="s">
        <v>16334</v>
      </c>
      <c r="J1726" s="24" t="s">
        <v>2205</v>
      </c>
      <c r="K1726" s="24" t="s">
        <v>2206</v>
      </c>
      <c r="L1726" s="24" t="s">
        <v>184</v>
      </c>
      <c r="M1726" s="15" t="s">
        <v>16335</v>
      </c>
      <c r="N1726" s="15"/>
      <c r="O1726" s="15" t="s">
        <v>1572</v>
      </c>
      <c r="P1726" s="15" t="s">
        <v>654</v>
      </c>
      <c r="Q1726" s="15" t="s">
        <v>16336</v>
      </c>
      <c r="R1726" s="15" t="s">
        <v>16337</v>
      </c>
      <c r="S1726" s="24" t="s">
        <v>39</v>
      </c>
      <c r="T1726" s="24" t="s">
        <v>39</v>
      </c>
      <c r="U1726" s="24" t="s">
        <v>39</v>
      </c>
      <c r="V1726" s="24" t="s">
        <v>39</v>
      </c>
      <c r="W1726" s="24" t="s">
        <v>16338</v>
      </c>
      <c r="X1726" s="24" t="s">
        <v>16339</v>
      </c>
      <c r="Y1726" s="15" t="s">
        <v>16340</v>
      </c>
      <c r="Z1726" s="15" t="s">
        <v>16341</v>
      </c>
      <c r="AA1726" s="24"/>
      <c r="AB1726" s="24"/>
      <c r="AC1726" s="24"/>
      <c r="AD1726" s="24"/>
      <c r="AE1726" s="24"/>
      <c r="AF1726" s="24"/>
      <c r="AG1726" s="24"/>
      <c r="AH1726" s="24"/>
    </row>
    <row r="1727" spans="1:34" x14ac:dyDescent="0.25">
      <c r="A1727" s="24" t="str">
        <f>HYPERLINK("https://www.cpso.on.ca/DoctorDetails/Norman-Bethune-Levine/0039449-53425","Levine, Norman Bethune")</f>
        <v>Levine, Norman Bethune</v>
      </c>
      <c r="B1727" s="25" t="s">
        <v>16342</v>
      </c>
      <c r="C1727" s="24" t="s">
        <v>16343</v>
      </c>
      <c r="D1727" s="24" t="s">
        <v>16344</v>
      </c>
      <c r="E1727" s="24" t="s">
        <v>29</v>
      </c>
      <c r="F1727" s="24" t="s">
        <v>30</v>
      </c>
      <c r="G1727" s="24" t="s">
        <v>813</v>
      </c>
      <c r="H1727" s="24" t="s">
        <v>2926</v>
      </c>
      <c r="I1727" s="24" t="s">
        <v>5907</v>
      </c>
      <c r="J1727" s="24" t="s">
        <v>16345</v>
      </c>
      <c r="K1727" s="24"/>
      <c r="L1727" s="24" t="s">
        <v>84</v>
      </c>
      <c r="M1727" s="15"/>
      <c r="N1727" s="15"/>
      <c r="O1727" s="15"/>
      <c r="P1727" s="15" t="s">
        <v>4936</v>
      </c>
      <c r="Q1727" s="15"/>
      <c r="R1727" s="15" t="s">
        <v>16346</v>
      </c>
      <c r="S1727" s="24" t="s">
        <v>39</v>
      </c>
      <c r="T1727" s="24" t="s">
        <v>39</v>
      </c>
      <c r="U1727" s="24" t="s">
        <v>39</v>
      </c>
      <c r="V1727" s="24" t="s">
        <v>39</v>
      </c>
      <c r="W1727" s="24"/>
      <c r="X1727" s="24"/>
      <c r="Y1727" s="15"/>
      <c r="Z1727" s="15"/>
      <c r="AA1727" s="24"/>
      <c r="AB1727" s="24"/>
      <c r="AC1727" s="24"/>
      <c r="AD1727" s="24"/>
      <c r="AE1727" s="24"/>
      <c r="AF1727" s="24"/>
      <c r="AG1727" s="24"/>
      <c r="AH1727" s="24"/>
    </row>
    <row r="1728" spans="1:34" ht="30" x14ac:dyDescent="0.25">
      <c r="A1728" s="24" t="str">
        <f>HYPERLINK("https://www.cpso.on.ca/DoctorDetails/Norman-Robert-Doidge/0038797-52773","Doidge, Norman Robert")</f>
        <v>Doidge, Norman Robert</v>
      </c>
      <c r="B1728" s="25" t="s">
        <v>16347</v>
      </c>
      <c r="C1728" s="24" t="s">
        <v>3561</v>
      </c>
      <c r="D1728" s="24" t="s">
        <v>16348</v>
      </c>
      <c r="E1728" s="24" t="s">
        <v>29</v>
      </c>
      <c r="F1728" s="24" t="s">
        <v>30</v>
      </c>
      <c r="G1728" s="24" t="s">
        <v>31</v>
      </c>
      <c r="H1728" s="24" t="s">
        <v>3563</v>
      </c>
      <c r="I1728" s="24" t="s">
        <v>16349</v>
      </c>
      <c r="J1728" s="24" t="s">
        <v>16350</v>
      </c>
      <c r="K1728" s="24"/>
      <c r="L1728" s="24" t="s">
        <v>52</v>
      </c>
      <c r="M1728" s="15"/>
      <c r="N1728" s="15"/>
      <c r="O1728" s="15"/>
      <c r="P1728" s="15" t="s">
        <v>4499</v>
      </c>
      <c r="Q1728" s="15"/>
      <c r="R1728" s="15" t="s">
        <v>16351</v>
      </c>
      <c r="S1728" s="24" t="s">
        <v>39</v>
      </c>
      <c r="T1728" s="24" t="s">
        <v>39</v>
      </c>
      <c r="U1728" s="24" t="s">
        <v>39</v>
      </c>
      <c r="V1728" s="24" t="s">
        <v>39</v>
      </c>
      <c r="W1728" s="24"/>
      <c r="X1728" s="24"/>
      <c r="Y1728" s="15"/>
      <c r="Z1728" s="15"/>
      <c r="AA1728" s="24"/>
      <c r="AB1728" s="24"/>
      <c r="AC1728" s="24"/>
      <c r="AD1728" s="24"/>
      <c r="AE1728" s="24"/>
      <c r="AF1728" s="24"/>
      <c r="AG1728" s="24"/>
      <c r="AH1728" s="24"/>
    </row>
    <row r="1729" spans="1:34" ht="105" x14ac:dyDescent="0.25">
      <c r="A1729" s="24" t="str">
        <f>HYPERLINK("https://www.cpso.on.ca/DoctorDetails/Nourhan-Safwat-Mohamed/0281098-97815","Mohamed, Nourhan Safwat")</f>
        <v>Mohamed, Nourhan Safwat</v>
      </c>
      <c r="B1729" s="25" t="s">
        <v>16352</v>
      </c>
      <c r="C1729" s="24" t="s">
        <v>544</v>
      </c>
      <c r="D1729" s="24" t="s">
        <v>545</v>
      </c>
      <c r="E1729" s="24" t="s">
        <v>29</v>
      </c>
      <c r="F1729" s="24" t="s">
        <v>47</v>
      </c>
      <c r="G1729" s="24" t="s">
        <v>31</v>
      </c>
      <c r="H1729" s="24" t="s">
        <v>2650</v>
      </c>
      <c r="I1729" s="24" t="s">
        <v>16353</v>
      </c>
      <c r="J1729" s="24" t="s">
        <v>16354</v>
      </c>
      <c r="K1729" s="24" t="s">
        <v>16355</v>
      </c>
      <c r="L1729" s="24" t="s">
        <v>36</v>
      </c>
      <c r="M1729" s="15" t="s">
        <v>16356</v>
      </c>
      <c r="N1729" s="15"/>
      <c r="O1729" s="15" t="s">
        <v>972</v>
      </c>
      <c r="P1729" s="15" t="s">
        <v>550</v>
      </c>
      <c r="Q1729" s="15" t="s">
        <v>16357</v>
      </c>
      <c r="R1729" s="15" t="s">
        <v>552</v>
      </c>
      <c r="S1729" s="24" t="s">
        <v>39</v>
      </c>
      <c r="T1729" s="24" t="s">
        <v>39</v>
      </c>
      <c r="U1729" s="24" t="s">
        <v>39</v>
      </c>
      <c r="V1729" s="24" t="s">
        <v>39</v>
      </c>
      <c r="W1729" s="24" t="s">
        <v>16358</v>
      </c>
      <c r="X1729" s="24" t="s">
        <v>16359</v>
      </c>
      <c r="Y1729" s="15" t="s">
        <v>16360</v>
      </c>
      <c r="Z1729" s="15" t="s">
        <v>16361</v>
      </c>
      <c r="AA1729" s="24"/>
      <c r="AB1729" s="24"/>
      <c r="AC1729" s="24"/>
      <c r="AD1729" s="24"/>
      <c r="AE1729" s="24"/>
      <c r="AF1729" s="24"/>
      <c r="AG1729" s="24"/>
      <c r="AH1729" s="24"/>
    </row>
    <row r="1730" spans="1:34" x14ac:dyDescent="0.25">
      <c r="A1730" s="24" t="str">
        <f>HYPERLINK("https://www.cpso.on.ca/DoctorDetails/Nural-Alam/0024167-28989","Alam, Nural")</f>
        <v>Alam, Nural</v>
      </c>
      <c r="B1730" s="25" t="s">
        <v>16362</v>
      </c>
      <c r="C1730" s="24" t="s">
        <v>16363</v>
      </c>
      <c r="D1730" s="24" t="s">
        <v>16364</v>
      </c>
      <c r="E1730" s="24" t="s">
        <v>29</v>
      </c>
      <c r="F1730" s="24" t="s">
        <v>30</v>
      </c>
      <c r="G1730" s="24" t="s">
        <v>8438</v>
      </c>
      <c r="H1730" s="24" t="s">
        <v>16365</v>
      </c>
      <c r="I1730" s="24" t="s">
        <v>107</v>
      </c>
      <c r="J1730" s="24"/>
      <c r="K1730" s="24"/>
      <c r="L1730" s="24"/>
      <c r="M1730" s="15"/>
      <c r="N1730" s="15"/>
      <c r="O1730" s="15"/>
      <c r="P1730" s="15" t="s">
        <v>6552</v>
      </c>
      <c r="Q1730" s="15"/>
      <c r="R1730" s="15" t="s">
        <v>16366</v>
      </c>
      <c r="S1730" s="24" t="s">
        <v>39</v>
      </c>
      <c r="T1730" s="24" t="s">
        <v>39</v>
      </c>
      <c r="U1730" s="24" t="s">
        <v>39</v>
      </c>
      <c r="V1730" s="24" t="s">
        <v>39</v>
      </c>
      <c r="W1730" s="24"/>
      <c r="X1730" s="24"/>
      <c r="Y1730" s="15"/>
      <c r="Z1730" s="15"/>
      <c r="AA1730" s="24"/>
      <c r="AB1730" s="24"/>
      <c r="AC1730" s="24"/>
      <c r="AD1730" s="24"/>
      <c r="AE1730" s="24"/>
      <c r="AF1730" s="24"/>
      <c r="AG1730" s="24"/>
      <c r="AH1730" s="24"/>
    </row>
    <row r="1731" spans="1:34" x14ac:dyDescent="0.25">
      <c r="A1731" s="24" t="str">
        <f>HYPERLINK("https://www.cpso.on.ca/DoctorDetails/Obioma-Kenechukwu-Ozumba/0322588-114115","Ozumba, Obioma Kenechukwu")</f>
        <v>Ozumba, Obioma Kenechukwu</v>
      </c>
      <c r="B1731" s="25" t="s">
        <v>16367</v>
      </c>
      <c r="C1731" s="24" t="s">
        <v>16368</v>
      </c>
      <c r="D1731" s="24" t="s">
        <v>16369</v>
      </c>
      <c r="E1731" s="24" t="s">
        <v>29</v>
      </c>
      <c r="F1731" s="24" t="s">
        <v>30</v>
      </c>
      <c r="G1731" s="24" t="s">
        <v>4624</v>
      </c>
      <c r="H1731" s="24" t="s">
        <v>16370</v>
      </c>
      <c r="I1731" s="24" t="s">
        <v>16371</v>
      </c>
      <c r="J1731" s="24" t="s">
        <v>16372</v>
      </c>
      <c r="K1731" s="24" t="s">
        <v>16373</v>
      </c>
      <c r="L1731" s="24" t="s">
        <v>65</v>
      </c>
      <c r="M1731" s="15"/>
      <c r="N1731" s="15" t="s">
        <v>4485</v>
      </c>
      <c r="O1731" s="15"/>
      <c r="P1731" s="15" t="s">
        <v>3603</v>
      </c>
      <c r="Q1731" s="15"/>
      <c r="R1731" s="15" t="s">
        <v>16374</v>
      </c>
      <c r="S1731" s="24" t="s">
        <v>39</v>
      </c>
      <c r="T1731" s="24" t="s">
        <v>39</v>
      </c>
      <c r="U1731" s="24" t="s">
        <v>39</v>
      </c>
      <c r="V1731" s="24" t="s">
        <v>39</v>
      </c>
      <c r="W1731" s="24" t="s">
        <v>16375</v>
      </c>
      <c r="X1731" s="24" t="s">
        <v>16376</v>
      </c>
      <c r="Y1731" s="15" t="s">
        <v>16377</v>
      </c>
      <c r="Z1731" s="15" t="s">
        <v>8149</v>
      </c>
      <c r="AA1731" s="24"/>
      <c r="AB1731" s="24"/>
      <c r="AC1731" s="24"/>
      <c r="AD1731" s="24"/>
      <c r="AE1731" s="24"/>
      <c r="AF1731" s="24"/>
      <c r="AG1731" s="24"/>
      <c r="AH1731" s="24"/>
    </row>
    <row r="1732" spans="1:34" ht="30" x14ac:dyDescent="0.25">
      <c r="A1732" s="24" t="str">
        <f>HYPERLINK("https://www.cpso.on.ca/DoctorDetails/Obodai-Sai/0037578-51554","Sai, Obodai")</f>
        <v>Sai, Obodai</v>
      </c>
      <c r="B1732" s="25" t="s">
        <v>16378</v>
      </c>
      <c r="C1732" s="24" t="s">
        <v>492</v>
      </c>
      <c r="D1732" s="24" t="s">
        <v>16348</v>
      </c>
      <c r="E1732" s="24" t="s">
        <v>29</v>
      </c>
      <c r="F1732" s="24" t="s">
        <v>30</v>
      </c>
      <c r="G1732" s="24" t="s">
        <v>6396</v>
      </c>
      <c r="H1732" s="24" t="s">
        <v>16379</v>
      </c>
      <c r="I1732" s="24" t="s">
        <v>16380</v>
      </c>
      <c r="J1732" s="24" t="s">
        <v>16381</v>
      </c>
      <c r="K1732" s="24" t="s">
        <v>16381</v>
      </c>
      <c r="L1732" s="24" t="s">
        <v>52</v>
      </c>
      <c r="M1732" s="15" t="s">
        <v>16382</v>
      </c>
      <c r="N1732" s="15"/>
      <c r="O1732" s="15" t="s">
        <v>3497</v>
      </c>
      <c r="P1732" s="15" t="s">
        <v>1924</v>
      </c>
      <c r="Q1732" s="15"/>
      <c r="R1732" s="15" t="s">
        <v>16383</v>
      </c>
      <c r="S1732" s="24" t="s">
        <v>39</v>
      </c>
      <c r="T1732" s="24" t="s">
        <v>39</v>
      </c>
      <c r="U1732" s="24" t="s">
        <v>39</v>
      </c>
      <c r="V1732" s="24" t="s">
        <v>39</v>
      </c>
      <c r="W1732" s="24"/>
      <c r="X1732" s="24"/>
      <c r="Y1732" s="15"/>
      <c r="Z1732" s="15"/>
      <c r="AA1732" s="24"/>
      <c r="AB1732" s="24"/>
      <c r="AC1732" s="24"/>
      <c r="AD1732" s="24"/>
      <c r="AE1732" s="24"/>
      <c r="AF1732" s="24"/>
      <c r="AG1732" s="24"/>
      <c r="AH1732" s="24"/>
    </row>
    <row r="1733" spans="1:34" ht="150" x14ac:dyDescent="0.25">
      <c r="A1733" s="24" t="str">
        <f>HYPERLINK("https://www.cpso.on.ca/DoctorDetails/Ofer-Agid/0182586-76591","Agid, Ofer")</f>
        <v>Agid, Ofer</v>
      </c>
      <c r="B1733" s="25" t="s">
        <v>16384</v>
      </c>
      <c r="C1733" s="24" t="s">
        <v>16385</v>
      </c>
      <c r="D1733" s="24" t="s">
        <v>16386</v>
      </c>
      <c r="E1733" s="24" t="s">
        <v>29</v>
      </c>
      <c r="F1733" s="24" t="s">
        <v>30</v>
      </c>
      <c r="G1733" s="24" t="s">
        <v>252</v>
      </c>
      <c r="H1733" s="24" t="s">
        <v>16387</v>
      </c>
      <c r="I1733" s="24" t="s">
        <v>16388</v>
      </c>
      <c r="J1733" s="24" t="s">
        <v>1262</v>
      </c>
      <c r="K1733" s="24"/>
      <c r="L1733" s="24" t="s">
        <v>52</v>
      </c>
      <c r="M1733" s="15"/>
      <c r="N1733" s="15"/>
      <c r="O1733" s="15" t="s">
        <v>2483</v>
      </c>
      <c r="P1733" s="15" t="s">
        <v>16389</v>
      </c>
      <c r="Q1733" s="15" t="s">
        <v>16390</v>
      </c>
      <c r="R1733" s="15" t="s">
        <v>16391</v>
      </c>
      <c r="S1733" s="24" t="s">
        <v>71</v>
      </c>
      <c r="T1733" s="24" t="s">
        <v>39</v>
      </c>
      <c r="U1733" s="24" t="s">
        <v>39</v>
      </c>
      <c r="V1733" s="24" t="s">
        <v>39</v>
      </c>
      <c r="W1733" s="24" t="s">
        <v>16392</v>
      </c>
      <c r="X1733" s="24" t="s">
        <v>16393</v>
      </c>
      <c r="Y1733" s="15" t="s">
        <v>16394</v>
      </c>
      <c r="Z1733" s="15" t="s">
        <v>16395</v>
      </c>
      <c r="AA1733" s="24"/>
      <c r="AB1733" s="24"/>
      <c r="AC1733" s="24"/>
      <c r="AD1733" s="24"/>
      <c r="AE1733" s="24"/>
      <c r="AF1733" s="24"/>
      <c r="AG1733" s="24"/>
      <c r="AH1733" s="24"/>
    </row>
    <row r="1734" spans="1:34" x14ac:dyDescent="0.25">
      <c r="A1734" s="24" t="str">
        <f>HYPERLINK("https://www.cpso.on.ca/DoctorDetails/Oghoteru-Richardson-Tachere/0320587-113475","Tachere, Oghoteru Richardson")</f>
        <v>Tachere, Oghoteru Richardson</v>
      </c>
      <c r="B1734" s="25" t="s">
        <v>16396</v>
      </c>
      <c r="C1734" s="24" t="s">
        <v>16397</v>
      </c>
      <c r="D1734" s="24" t="s">
        <v>16398</v>
      </c>
      <c r="E1734" s="24" t="s">
        <v>29</v>
      </c>
      <c r="F1734" s="24" t="s">
        <v>30</v>
      </c>
      <c r="G1734" s="24" t="s">
        <v>31</v>
      </c>
      <c r="H1734" s="24" t="s">
        <v>16399</v>
      </c>
      <c r="I1734" s="24" t="s">
        <v>16400</v>
      </c>
      <c r="J1734" s="24" t="s">
        <v>16401</v>
      </c>
      <c r="K1734" s="24" t="s">
        <v>16402</v>
      </c>
      <c r="L1734" s="24"/>
      <c r="M1734" s="15"/>
      <c r="N1734" s="15" t="s">
        <v>258</v>
      </c>
      <c r="O1734" s="15"/>
      <c r="P1734" s="15" t="s">
        <v>550</v>
      </c>
      <c r="Q1734" s="15"/>
      <c r="R1734" s="15" t="s">
        <v>16403</v>
      </c>
      <c r="S1734" s="24" t="s">
        <v>39</v>
      </c>
      <c r="T1734" s="24" t="s">
        <v>39</v>
      </c>
      <c r="U1734" s="24" t="s">
        <v>39</v>
      </c>
      <c r="V1734" s="24" t="s">
        <v>39</v>
      </c>
      <c r="W1734" s="24" t="s">
        <v>16404</v>
      </c>
      <c r="X1734" s="24" t="s">
        <v>16405</v>
      </c>
      <c r="Y1734" s="15"/>
      <c r="Z1734" s="15"/>
      <c r="AA1734" s="24"/>
      <c r="AB1734" s="24"/>
      <c r="AC1734" s="24"/>
      <c r="AD1734" s="24"/>
      <c r="AE1734" s="24"/>
      <c r="AF1734" s="24"/>
      <c r="AG1734" s="24"/>
      <c r="AH1734" s="24"/>
    </row>
    <row r="1735" spans="1:34" x14ac:dyDescent="0.25">
      <c r="A1735" s="24" t="str">
        <f>HYPERLINK("https://www.cpso.on.ca/DoctorDetails/Okechukwu-Emmanuel-Anyaegbuna/0308927-108557","Anyaegbuna, Okechukwu Emmanuel")</f>
        <v>Anyaegbuna, Okechukwu Emmanuel</v>
      </c>
      <c r="B1735" s="25" t="s">
        <v>16406</v>
      </c>
      <c r="C1735" s="24" t="s">
        <v>16407</v>
      </c>
      <c r="D1735" s="24" t="s">
        <v>16408</v>
      </c>
      <c r="E1735" s="24" t="s">
        <v>29</v>
      </c>
      <c r="F1735" s="24" t="s">
        <v>30</v>
      </c>
      <c r="G1735" s="24" t="s">
        <v>4624</v>
      </c>
      <c r="H1735" s="24" t="s">
        <v>6598</v>
      </c>
      <c r="I1735" s="24" t="s">
        <v>16409</v>
      </c>
      <c r="J1735" s="24" t="s">
        <v>16372</v>
      </c>
      <c r="K1735" s="24"/>
      <c r="L1735" s="24" t="s">
        <v>65</v>
      </c>
      <c r="M1735" s="15"/>
      <c r="N1735" s="15"/>
      <c r="O1735" s="15" t="s">
        <v>4228</v>
      </c>
      <c r="P1735" s="15" t="s">
        <v>425</v>
      </c>
      <c r="Q1735" s="15"/>
      <c r="R1735" s="15" t="s">
        <v>16410</v>
      </c>
      <c r="S1735" s="24" t="s">
        <v>39</v>
      </c>
      <c r="T1735" s="24" t="s">
        <v>39</v>
      </c>
      <c r="U1735" s="24" t="s">
        <v>39</v>
      </c>
      <c r="V1735" s="24" t="s">
        <v>39</v>
      </c>
      <c r="W1735" s="24" t="s">
        <v>16411</v>
      </c>
      <c r="X1735" s="24" t="s">
        <v>16412</v>
      </c>
      <c r="Y1735" s="15" t="s">
        <v>16413</v>
      </c>
      <c r="Z1735" s="15" t="s">
        <v>16414</v>
      </c>
      <c r="AA1735" s="24"/>
      <c r="AB1735" s="24"/>
      <c r="AC1735" s="24"/>
      <c r="AD1735" s="24"/>
      <c r="AE1735" s="24"/>
      <c r="AF1735" s="24"/>
      <c r="AG1735" s="24"/>
      <c r="AH1735" s="24"/>
    </row>
    <row r="1736" spans="1:34" ht="75" x14ac:dyDescent="0.25">
      <c r="A1736" s="24" t="str">
        <f>HYPERLINK("https://www.cpso.on.ca/DoctorDetails/Oksana-Matsenko/0275474-97228","Matsenko, Oksana")</f>
        <v>Matsenko, Oksana</v>
      </c>
      <c r="B1736" s="25" t="s">
        <v>16415</v>
      </c>
      <c r="C1736" s="24" t="s">
        <v>16416</v>
      </c>
      <c r="D1736" s="24" t="s">
        <v>16417</v>
      </c>
      <c r="E1736" s="24" t="s">
        <v>29</v>
      </c>
      <c r="F1736" s="24" t="s">
        <v>47</v>
      </c>
      <c r="G1736" s="24" t="s">
        <v>873</v>
      </c>
      <c r="H1736" s="24" t="s">
        <v>16418</v>
      </c>
      <c r="I1736" s="24" t="s">
        <v>16419</v>
      </c>
      <c r="J1736" s="24" t="s">
        <v>5569</v>
      </c>
      <c r="K1736" s="24" t="s">
        <v>16420</v>
      </c>
      <c r="L1736" s="24" t="s">
        <v>36</v>
      </c>
      <c r="M1736" s="15"/>
      <c r="N1736" s="15"/>
      <c r="O1736" s="15"/>
      <c r="P1736" s="15" t="s">
        <v>16421</v>
      </c>
      <c r="Q1736" s="15"/>
      <c r="R1736" s="15" t="s">
        <v>16422</v>
      </c>
      <c r="S1736" s="24" t="s">
        <v>71</v>
      </c>
      <c r="T1736" s="24" t="s">
        <v>39</v>
      </c>
      <c r="U1736" s="24" t="s">
        <v>39</v>
      </c>
      <c r="V1736" s="24" t="s">
        <v>39</v>
      </c>
      <c r="W1736" s="24" t="s">
        <v>16423</v>
      </c>
      <c r="X1736" s="24" t="s">
        <v>16424</v>
      </c>
      <c r="Y1736" s="15" t="s">
        <v>16425</v>
      </c>
      <c r="Z1736" s="15" t="s">
        <v>16426</v>
      </c>
      <c r="AA1736" s="24"/>
      <c r="AB1736" s="24"/>
      <c r="AC1736" s="24"/>
      <c r="AD1736" s="24"/>
      <c r="AE1736" s="24"/>
      <c r="AF1736" s="24"/>
      <c r="AG1736" s="24"/>
      <c r="AH1736" s="24"/>
    </row>
    <row r="1737" spans="1:34" ht="90" x14ac:dyDescent="0.25">
      <c r="A1737" s="24" t="str">
        <f>HYPERLINK("https://www.cpso.on.ca/DoctorDetails/Olabisi-Idowu-Owoeye/0291631-102557","Owoeye, Olabisi Idowu")</f>
        <v>Owoeye, Olabisi Idowu</v>
      </c>
      <c r="B1737" s="25" t="s">
        <v>16427</v>
      </c>
      <c r="C1737" s="24" t="s">
        <v>16428</v>
      </c>
      <c r="D1737" s="24" t="s">
        <v>16429</v>
      </c>
      <c r="E1737" s="24" t="s">
        <v>29</v>
      </c>
      <c r="F1737" s="24" t="s">
        <v>30</v>
      </c>
      <c r="G1737" s="24" t="s">
        <v>148</v>
      </c>
      <c r="H1737" s="24" t="s">
        <v>16430</v>
      </c>
      <c r="I1737" s="24" t="s">
        <v>16431</v>
      </c>
      <c r="J1737" s="24" t="s">
        <v>16432</v>
      </c>
      <c r="K1737" s="24"/>
      <c r="L1737" s="24" t="s">
        <v>84</v>
      </c>
      <c r="M1737" s="15" t="s">
        <v>16433</v>
      </c>
      <c r="N1737" s="15"/>
      <c r="O1737" s="15" t="s">
        <v>498</v>
      </c>
      <c r="P1737" s="15" t="s">
        <v>682</v>
      </c>
      <c r="Q1737" s="15"/>
      <c r="R1737" s="15" t="s">
        <v>16434</v>
      </c>
      <c r="S1737" s="24" t="s">
        <v>71</v>
      </c>
      <c r="T1737" s="24" t="s">
        <v>39</v>
      </c>
      <c r="U1737" s="24" t="s">
        <v>39</v>
      </c>
      <c r="V1737" s="24" t="s">
        <v>39</v>
      </c>
      <c r="W1737" s="24" t="s">
        <v>16435</v>
      </c>
      <c r="X1737" s="24" t="s">
        <v>16436</v>
      </c>
      <c r="Y1737" s="15" t="s">
        <v>16437</v>
      </c>
      <c r="Z1737" s="15" t="s">
        <v>16438</v>
      </c>
      <c r="AA1737" s="24"/>
      <c r="AB1737" s="24"/>
      <c r="AC1737" s="24"/>
      <c r="AD1737" s="24"/>
      <c r="AE1737" s="24"/>
      <c r="AF1737" s="24"/>
      <c r="AG1737" s="24"/>
      <c r="AH1737" s="24"/>
    </row>
    <row r="1738" spans="1:34" ht="105" x14ac:dyDescent="0.25">
      <c r="A1738" s="24" t="str">
        <f>HYPERLINK("https://www.cpso.on.ca/DoctorDetails/Olabode-Olanrewaju-Akintan/0252589-89916","Akintan, Olabode Olanrewaju")</f>
        <v>Akintan, Olabode Olanrewaju</v>
      </c>
      <c r="B1738" s="25" t="s">
        <v>16439</v>
      </c>
      <c r="C1738" s="24" t="s">
        <v>16440</v>
      </c>
      <c r="D1738" s="24" t="s">
        <v>16441</v>
      </c>
      <c r="E1738" s="24" t="s">
        <v>29</v>
      </c>
      <c r="F1738" s="24" t="s">
        <v>30</v>
      </c>
      <c r="G1738" s="24" t="s">
        <v>148</v>
      </c>
      <c r="H1738" s="24" t="s">
        <v>16442</v>
      </c>
      <c r="I1738" s="24" t="s">
        <v>16443</v>
      </c>
      <c r="J1738" s="24" t="s">
        <v>10139</v>
      </c>
      <c r="K1738" s="24" t="s">
        <v>16444</v>
      </c>
      <c r="L1738" s="24" t="s">
        <v>184</v>
      </c>
      <c r="M1738" s="15"/>
      <c r="N1738" s="15"/>
      <c r="O1738" s="15" t="s">
        <v>16445</v>
      </c>
      <c r="P1738" s="15" t="s">
        <v>4149</v>
      </c>
      <c r="Q1738" s="15"/>
      <c r="R1738" s="15" t="s">
        <v>16446</v>
      </c>
      <c r="S1738" s="24" t="s">
        <v>39</v>
      </c>
      <c r="T1738" s="24" t="s">
        <v>39</v>
      </c>
      <c r="U1738" s="24" t="s">
        <v>39</v>
      </c>
      <c r="V1738" s="24" t="s">
        <v>39</v>
      </c>
      <c r="W1738" s="24" t="s">
        <v>16447</v>
      </c>
      <c r="X1738" s="24" t="s">
        <v>16448</v>
      </c>
      <c r="Y1738" s="15" t="s">
        <v>16449</v>
      </c>
      <c r="Z1738" s="15" t="s">
        <v>16450</v>
      </c>
      <c r="AA1738" s="24" t="s">
        <v>16305</v>
      </c>
      <c r="AB1738" s="24" t="s">
        <v>11188</v>
      </c>
      <c r="AC1738" s="24" t="s">
        <v>16306</v>
      </c>
      <c r="AD1738" s="15" t="s">
        <v>16307</v>
      </c>
      <c r="AE1738" s="24"/>
      <c r="AF1738" s="24"/>
      <c r="AG1738" s="24"/>
      <c r="AH1738" s="24"/>
    </row>
    <row r="1739" spans="1:34" ht="165" x14ac:dyDescent="0.25">
      <c r="A1739" s="24" t="str">
        <f>HYPERLINK("https://www.cpso.on.ca/DoctorDetails/Oladayo-Davidson-Shobola/0276648-97265","Shobola, Oladayo Davidson")</f>
        <v>Shobola, Oladayo Davidson</v>
      </c>
      <c r="B1739" s="25" t="s">
        <v>16451</v>
      </c>
      <c r="C1739" s="24" t="s">
        <v>16452</v>
      </c>
      <c r="D1739" s="24" t="s">
        <v>16453</v>
      </c>
      <c r="E1739" s="24" t="s">
        <v>29</v>
      </c>
      <c r="F1739" s="24" t="s">
        <v>30</v>
      </c>
      <c r="G1739" s="24" t="s">
        <v>148</v>
      </c>
      <c r="H1739" s="24" t="s">
        <v>16454</v>
      </c>
      <c r="I1739" s="24" t="s">
        <v>16455</v>
      </c>
      <c r="J1739" s="24" t="s">
        <v>16456</v>
      </c>
      <c r="K1739" s="24" t="s">
        <v>16457</v>
      </c>
      <c r="L1739" s="24" t="s">
        <v>65</v>
      </c>
      <c r="M1739" s="15" t="s">
        <v>16458</v>
      </c>
      <c r="N1739" s="15" t="s">
        <v>66</v>
      </c>
      <c r="O1739" s="15" t="s">
        <v>16459</v>
      </c>
      <c r="P1739" s="15" t="s">
        <v>16460</v>
      </c>
      <c r="Q1739" s="15"/>
      <c r="R1739" s="15" t="s">
        <v>16461</v>
      </c>
      <c r="S1739" s="24" t="s">
        <v>71</v>
      </c>
      <c r="T1739" s="24" t="s">
        <v>39</v>
      </c>
      <c r="U1739" s="24" t="s">
        <v>39</v>
      </c>
      <c r="V1739" s="24" t="s">
        <v>39</v>
      </c>
      <c r="W1739" s="24"/>
      <c r="X1739" s="24"/>
      <c r="Y1739" s="15"/>
      <c r="Z1739" s="15"/>
      <c r="AA1739" s="24"/>
      <c r="AB1739" s="24"/>
      <c r="AC1739" s="24"/>
      <c r="AD1739" s="24"/>
      <c r="AE1739" s="24"/>
      <c r="AF1739" s="24"/>
      <c r="AG1739" s="24"/>
      <c r="AH1739" s="24"/>
    </row>
    <row r="1740" spans="1:34" ht="60" x14ac:dyDescent="0.25">
      <c r="A1740" s="24" t="str">
        <f>HYPERLINK("https://www.cpso.on.ca/DoctorDetails/Olasunkanmi-Lawal-Mabifa/0269357-96756","Mabifa, Olasunkanmi Lawal")</f>
        <v>Mabifa, Olasunkanmi Lawal</v>
      </c>
      <c r="B1740" s="25" t="s">
        <v>16462</v>
      </c>
      <c r="C1740" s="24" t="s">
        <v>16463</v>
      </c>
      <c r="D1740" s="24" t="s">
        <v>16464</v>
      </c>
      <c r="E1740" s="24" t="s">
        <v>29</v>
      </c>
      <c r="F1740" s="24" t="s">
        <v>30</v>
      </c>
      <c r="G1740" s="24" t="s">
        <v>148</v>
      </c>
      <c r="H1740" s="24" t="s">
        <v>16465</v>
      </c>
      <c r="I1740" s="24" t="s">
        <v>16466</v>
      </c>
      <c r="J1740" s="24" t="s">
        <v>16467</v>
      </c>
      <c r="K1740" s="24" t="s">
        <v>16468</v>
      </c>
      <c r="L1740" s="24" t="s">
        <v>152</v>
      </c>
      <c r="M1740" s="15" t="s">
        <v>16469</v>
      </c>
      <c r="N1740" s="15" t="s">
        <v>398</v>
      </c>
      <c r="O1740" s="15" t="s">
        <v>95</v>
      </c>
      <c r="P1740" s="15" t="s">
        <v>16470</v>
      </c>
      <c r="Q1740" s="15"/>
      <c r="R1740" s="15" t="s">
        <v>16471</v>
      </c>
      <c r="S1740" s="24" t="s">
        <v>39</v>
      </c>
      <c r="T1740" s="24" t="s">
        <v>39</v>
      </c>
      <c r="U1740" s="24" t="s">
        <v>39</v>
      </c>
      <c r="V1740" s="24" t="s">
        <v>39</v>
      </c>
      <c r="W1740" s="24" t="s">
        <v>16472</v>
      </c>
      <c r="X1740" s="24" t="s">
        <v>16473</v>
      </c>
      <c r="Y1740" s="15" t="s">
        <v>16474</v>
      </c>
      <c r="Z1740" s="15" t="s">
        <v>16475</v>
      </c>
      <c r="AA1740" s="24"/>
      <c r="AB1740" s="24"/>
      <c r="AC1740" s="24"/>
      <c r="AD1740" s="24"/>
      <c r="AE1740" s="24"/>
      <c r="AF1740" s="24"/>
      <c r="AG1740" s="24"/>
      <c r="AH1740" s="24"/>
    </row>
    <row r="1741" spans="1:34" ht="75" x14ac:dyDescent="0.25">
      <c r="A1741" s="24" t="str">
        <f>HYPERLINK("https://www.cpso.on.ca/DoctorDetails/Oleg-Anatolievich-Savenkov/0184948-76830","Savenkov, Oleg Anatolievich")</f>
        <v>Savenkov, Oleg Anatolievich</v>
      </c>
      <c r="B1741" s="25" t="s">
        <v>16476</v>
      </c>
      <c r="C1741" s="24" t="s">
        <v>16477</v>
      </c>
      <c r="D1741" s="24" t="s">
        <v>16478</v>
      </c>
      <c r="E1741" s="24" t="s">
        <v>29</v>
      </c>
      <c r="F1741" s="24" t="s">
        <v>30</v>
      </c>
      <c r="G1741" s="24" t="s">
        <v>873</v>
      </c>
      <c r="H1741" s="24" t="s">
        <v>16479</v>
      </c>
      <c r="I1741" s="24" t="s">
        <v>16480</v>
      </c>
      <c r="J1741" s="24" t="s">
        <v>16063</v>
      </c>
      <c r="K1741" s="24"/>
      <c r="L1741" s="24" t="s">
        <v>184</v>
      </c>
      <c r="M1741" s="15"/>
      <c r="N1741" s="15"/>
      <c r="O1741" s="15"/>
      <c r="P1741" s="15" t="s">
        <v>16481</v>
      </c>
      <c r="Q1741" s="15" t="s">
        <v>16482</v>
      </c>
      <c r="R1741" s="15" t="s">
        <v>16483</v>
      </c>
      <c r="S1741" s="24" t="s">
        <v>39</v>
      </c>
      <c r="T1741" s="24" t="s">
        <v>39</v>
      </c>
      <c r="U1741" s="24" t="s">
        <v>39</v>
      </c>
      <c r="V1741" s="24" t="s">
        <v>39</v>
      </c>
      <c r="W1741" s="24" t="s">
        <v>16484</v>
      </c>
      <c r="X1741" s="24" t="s">
        <v>16485</v>
      </c>
      <c r="Y1741" s="15" t="s">
        <v>16486</v>
      </c>
      <c r="Z1741" s="15" t="s">
        <v>16487</v>
      </c>
      <c r="AA1741" s="24"/>
      <c r="AB1741" s="24"/>
      <c r="AC1741" s="24"/>
      <c r="AD1741" s="24"/>
      <c r="AE1741" s="24"/>
      <c r="AF1741" s="24"/>
      <c r="AG1741" s="24"/>
      <c r="AH1741" s="24"/>
    </row>
    <row r="1742" spans="1:34" ht="75" x14ac:dyDescent="0.25">
      <c r="A1742" s="24" t="str">
        <f>HYPERLINK("https://www.cpso.on.ca/DoctorDetails/Olivia-Mary-Jane-MacLeod/0257380-90601","MacLeod, Olivia Mary Jane")</f>
        <v>MacLeod, Olivia Mary Jane</v>
      </c>
      <c r="B1742" s="25" t="s">
        <v>16488</v>
      </c>
      <c r="C1742" s="24" t="s">
        <v>16489</v>
      </c>
      <c r="D1742" s="24" t="s">
        <v>16490</v>
      </c>
      <c r="E1742" s="24" t="s">
        <v>29</v>
      </c>
      <c r="F1742" s="24" t="s">
        <v>47</v>
      </c>
      <c r="G1742" s="24" t="s">
        <v>31</v>
      </c>
      <c r="H1742" s="24" t="s">
        <v>4225</v>
      </c>
      <c r="I1742" s="24" t="s">
        <v>16491</v>
      </c>
      <c r="J1742" s="24" t="s">
        <v>5537</v>
      </c>
      <c r="K1742" s="24" t="s">
        <v>5895</v>
      </c>
      <c r="L1742" s="24" t="s">
        <v>84</v>
      </c>
      <c r="M1742" s="15" t="s">
        <v>16492</v>
      </c>
      <c r="N1742" s="15"/>
      <c r="O1742" s="15" t="s">
        <v>2156</v>
      </c>
      <c r="P1742" s="15" t="s">
        <v>9853</v>
      </c>
      <c r="Q1742" s="15" t="s">
        <v>8507</v>
      </c>
      <c r="R1742" s="15" t="s">
        <v>16493</v>
      </c>
      <c r="S1742" s="24" t="s">
        <v>39</v>
      </c>
      <c r="T1742" s="24" t="s">
        <v>39</v>
      </c>
      <c r="U1742" s="24" t="s">
        <v>39</v>
      </c>
      <c r="V1742" s="24" t="s">
        <v>39</v>
      </c>
      <c r="W1742" s="24" t="s">
        <v>16494</v>
      </c>
      <c r="X1742" s="24" t="s">
        <v>16495</v>
      </c>
      <c r="Y1742" s="15" t="s">
        <v>16496</v>
      </c>
      <c r="Z1742" s="15" t="s">
        <v>16497</v>
      </c>
      <c r="AA1742" s="24"/>
      <c r="AB1742" s="24"/>
      <c r="AC1742" s="24"/>
      <c r="AD1742" s="24"/>
      <c r="AE1742" s="24"/>
      <c r="AF1742" s="24"/>
      <c r="AG1742" s="24"/>
      <c r="AH1742" s="24"/>
    </row>
    <row r="1743" spans="1:34" ht="90" x14ac:dyDescent="0.25">
      <c r="A1743" s="24" t="str">
        <f>HYPERLINK("https://www.cpso.on.ca/DoctorDetails/Olubukola-Folayemi-Kolawole/0275445-96940","Kolawole, Olubukola Folayemi")</f>
        <v>Kolawole, Olubukola Folayemi</v>
      </c>
      <c r="B1743" s="25" t="s">
        <v>16498</v>
      </c>
      <c r="C1743" s="24" t="s">
        <v>1564</v>
      </c>
      <c r="D1743" s="24" t="s">
        <v>1565</v>
      </c>
      <c r="E1743" s="24" t="s">
        <v>29</v>
      </c>
      <c r="F1743" s="24" t="s">
        <v>30</v>
      </c>
      <c r="G1743" s="24" t="s">
        <v>148</v>
      </c>
      <c r="H1743" s="24" t="s">
        <v>16499</v>
      </c>
      <c r="I1743" s="24" t="s">
        <v>16500</v>
      </c>
      <c r="J1743" s="24" t="s">
        <v>574</v>
      </c>
      <c r="K1743" s="24"/>
      <c r="L1743" s="24" t="s">
        <v>184</v>
      </c>
      <c r="M1743" s="15" t="s">
        <v>16501</v>
      </c>
      <c r="N1743" s="15" t="s">
        <v>398</v>
      </c>
      <c r="O1743" s="15" t="s">
        <v>16502</v>
      </c>
      <c r="P1743" s="15" t="s">
        <v>1379</v>
      </c>
      <c r="Q1743" s="15" t="s">
        <v>16503</v>
      </c>
      <c r="R1743" s="15" t="s">
        <v>16504</v>
      </c>
      <c r="S1743" s="24" t="s">
        <v>71</v>
      </c>
      <c r="T1743" s="24" t="s">
        <v>39</v>
      </c>
      <c r="U1743" s="24" t="s">
        <v>39</v>
      </c>
      <c r="V1743" s="24" t="s">
        <v>39</v>
      </c>
      <c r="W1743" s="24" t="s">
        <v>16505</v>
      </c>
      <c r="X1743" s="24" t="s">
        <v>16506</v>
      </c>
      <c r="Y1743" s="15" t="s">
        <v>16507</v>
      </c>
      <c r="Z1743" s="15" t="s">
        <v>16508</v>
      </c>
      <c r="AA1743" s="24"/>
      <c r="AB1743" s="24"/>
      <c r="AC1743" s="24"/>
      <c r="AD1743" s="24"/>
      <c r="AE1743" s="24"/>
      <c r="AF1743" s="24"/>
      <c r="AG1743" s="24"/>
      <c r="AH1743" s="24"/>
    </row>
    <row r="1744" spans="1:34" ht="75" x14ac:dyDescent="0.25">
      <c r="A1744" s="24" t="str">
        <f>HYPERLINK("https://www.cpso.on.ca/DoctorDetails/Olufemi-Banjo/0296900-104800","Banjo, Olufemi")</f>
        <v>Banjo, Olufemi</v>
      </c>
      <c r="B1744" s="25" t="s">
        <v>16509</v>
      </c>
      <c r="C1744" s="24" t="s">
        <v>16510</v>
      </c>
      <c r="D1744" s="24" t="s">
        <v>16511</v>
      </c>
      <c r="E1744" s="24" t="s">
        <v>29</v>
      </c>
      <c r="F1744" s="24" t="s">
        <v>30</v>
      </c>
      <c r="G1744" s="24" t="s">
        <v>148</v>
      </c>
      <c r="H1744" s="24" t="s">
        <v>16499</v>
      </c>
      <c r="I1744" s="24" t="s">
        <v>150</v>
      </c>
      <c r="J1744" s="24" t="s">
        <v>14836</v>
      </c>
      <c r="K1744" s="24"/>
      <c r="L1744" s="24" t="s">
        <v>152</v>
      </c>
      <c r="M1744" s="15"/>
      <c r="N1744" s="15"/>
      <c r="O1744" s="15"/>
      <c r="P1744" s="15" t="s">
        <v>16512</v>
      </c>
      <c r="Q1744" s="15"/>
      <c r="R1744" s="15" t="s">
        <v>16513</v>
      </c>
      <c r="S1744" s="24" t="s">
        <v>71</v>
      </c>
      <c r="T1744" s="24" t="s">
        <v>39</v>
      </c>
      <c r="U1744" s="24" t="s">
        <v>39</v>
      </c>
      <c r="V1744" s="24" t="s">
        <v>39</v>
      </c>
      <c r="W1744" s="24" t="s">
        <v>16514</v>
      </c>
      <c r="X1744" s="24" t="s">
        <v>16515</v>
      </c>
      <c r="Y1744" s="15" t="s">
        <v>16516</v>
      </c>
      <c r="Z1744" s="15" t="s">
        <v>16517</v>
      </c>
      <c r="AA1744" s="24"/>
      <c r="AB1744" s="24"/>
      <c r="AC1744" s="24"/>
      <c r="AD1744" s="24"/>
      <c r="AE1744" s="24"/>
      <c r="AF1744" s="24"/>
      <c r="AG1744" s="24"/>
      <c r="AH1744" s="24"/>
    </row>
    <row r="1745" spans="1:34" ht="45" x14ac:dyDescent="0.25">
      <c r="A1745" s="24" t="str">
        <f>HYPERLINK("https://www.cpso.on.ca/DoctorDetails/Olufumilayo-Aweni-Oguntoyinbo/0030486-42466","Oguntoyinbo, Olufumilayo Aweni")</f>
        <v>Oguntoyinbo, Olufumilayo Aweni</v>
      </c>
      <c r="B1745" s="25" t="s">
        <v>16518</v>
      </c>
      <c r="C1745" s="24" t="s">
        <v>16519</v>
      </c>
      <c r="D1745" s="24" t="s">
        <v>16520</v>
      </c>
      <c r="E1745" s="24" t="s">
        <v>29</v>
      </c>
      <c r="F1745" s="24" t="s">
        <v>47</v>
      </c>
      <c r="G1745" s="24" t="s">
        <v>148</v>
      </c>
      <c r="H1745" s="24" t="s">
        <v>16521</v>
      </c>
      <c r="I1745" s="24" t="s">
        <v>16522</v>
      </c>
      <c r="J1745" s="24" t="s">
        <v>16523</v>
      </c>
      <c r="K1745" s="24" t="s">
        <v>16524</v>
      </c>
      <c r="L1745" s="24" t="s">
        <v>52</v>
      </c>
      <c r="M1745" s="15" t="s">
        <v>16525</v>
      </c>
      <c r="N1745" s="15"/>
      <c r="O1745" s="15" t="s">
        <v>219</v>
      </c>
      <c r="P1745" s="15" t="s">
        <v>7499</v>
      </c>
      <c r="Q1745" s="15"/>
      <c r="R1745" s="15" t="s">
        <v>16526</v>
      </c>
      <c r="S1745" s="24" t="s">
        <v>39</v>
      </c>
      <c r="T1745" s="24" t="s">
        <v>39</v>
      </c>
      <c r="U1745" s="24" t="s">
        <v>39</v>
      </c>
      <c r="V1745" s="24" t="s">
        <v>39</v>
      </c>
      <c r="W1745" s="24"/>
      <c r="X1745" s="24"/>
      <c r="Y1745" s="15"/>
      <c r="Z1745" s="15"/>
      <c r="AA1745" s="24"/>
      <c r="AB1745" s="24"/>
      <c r="AC1745" s="24"/>
      <c r="AD1745" s="24"/>
      <c r="AE1745" s="24"/>
      <c r="AF1745" s="24"/>
      <c r="AG1745" s="24"/>
      <c r="AH1745" s="24"/>
    </row>
    <row r="1746" spans="1:34" ht="75" x14ac:dyDescent="0.25">
      <c r="A1746" s="24" t="str">
        <f>HYPERLINK("https://www.cpso.on.ca/DoctorDetails/Olusegun-Babatunde-Omoseni/0261433-92519","Omoseni, Olusegun Babatunde")</f>
        <v>Omoseni, Olusegun Babatunde</v>
      </c>
      <c r="B1746" s="25" t="s">
        <v>16527</v>
      </c>
      <c r="C1746" s="24" t="s">
        <v>16528</v>
      </c>
      <c r="D1746" s="24" t="s">
        <v>16529</v>
      </c>
      <c r="E1746" s="24" t="s">
        <v>29</v>
      </c>
      <c r="F1746" s="24" t="s">
        <v>30</v>
      </c>
      <c r="G1746" s="24" t="s">
        <v>148</v>
      </c>
      <c r="H1746" s="24" t="s">
        <v>325</v>
      </c>
      <c r="I1746" s="24" t="s">
        <v>16530</v>
      </c>
      <c r="J1746" s="24" t="s">
        <v>16531</v>
      </c>
      <c r="K1746" s="24" t="s">
        <v>16532</v>
      </c>
      <c r="L1746" s="24" t="s">
        <v>184</v>
      </c>
      <c r="M1746" s="15"/>
      <c r="N1746" s="15"/>
      <c r="O1746" s="15" t="s">
        <v>16533</v>
      </c>
      <c r="P1746" s="15" t="s">
        <v>7800</v>
      </c>
      <c r="Q1746" s="15"/>
      <c r="R1746" s="15" t="s">
        <v>16534</v>
      </c>
      <c r="S1746" s="24" t="s">
        <v>39</v>
      </c>
      <c r="T1746" s="24" t="s">
        <v>39</v>
      </c>
      <c r="U1746" s="24" t="s">
        <v>39</v>
      </c>
      <c r="V1746" s="24" t="s">
        <v>39</v>
      </c>
      <c r="W1746" s="24" t="s">
        <v>16535</v>
      </c>
      <c r="X1746" s="24" t="s">
        <v>16536</v>
      </c>
      <c r="Y1746" s="15" t="s">
        <v>16537</v>
      </c>
      <c r="Z1746" s="15" t="s">
        <v>16538</v>
      </c>
      <c r="AA1746" s="24"/>
      <c r="AB1746" s="24"/>
      <c r="AC1746" s="24"/>
      <c r="AD1746" s="24"/>
      <c r="AE1746" s="24"/>
      <c r="AF1746" s="24"/>
      <c r="AG1746" s="24"/>
      <c r="AH1746" s="24"/>
    </row>
    <row r="1747" spans="1:34" ht="120" x14ac:dyDescent="0.25">
      <c r="A1747" s="24" t="str">
        <f>HYPERLINK("https://www.cpso.on.ca/DoctorDetails/Omar-Ghaffar/0191118-77927","Ghaffar, Omar")</f>
        <v>Ghaffar, Omar</v>
      </c>
      <c r="B1747" s="25" t="s">
        <v>16539</v>
      </c>
      <c r="C1747" s="24" t="s">
        <v>921</v>
      </c>
      <c r="D1747" s="24" t="s">
        <v>922</v>
      </c>
      <c r="E1747" s="24" t="s">
        <v>29</v>
      </c>
      <c r="F1747" s="24" t="s">
        <v>30</v>
      </c>
      <c r="G1747" s="24" t="s">
        <v>31</v>
      </c>
      <c r="H1747" s="24" t="s">
        <v>4433</v>
      </c>
      <c r="I1747" s="24" t="s">
        <v>16540</v>
      </c>
      <c r="J1747" s="24" t="s">
        <v>16541</v>
      </c>
      <c r="K1747" s="24"/>
      <c r="L1747" s="24" t="s">
        <v>36</v>
      </c>
      <c r="M1747" s="15"/>
      <c r="N1747" s="15"/>
      <c r="O1747" s="15" t="s">
        <v>3590</v>
      </c>
      <c r="P1747" s="15" t="s">
        <v>488</v>
      </c>
      <c r="Q1747" s="15" t="s">
        <v>16542</v>
      </c>
      <c r="R1747" s="15" t="s">
        <v>929</v>
      </c>
      <c r="S1747" s="24" t="s">
        <v>39</v>
      </c>
      <c r="T1747" s="24" t="s">
        <v>39</v>
      </c>
      <c r="U1747" s="24" t="s">
        <v>39</v>
      </c>
      <c r="V1747" s="24" t="s">
        <v>39</v>
      </c>
      <c r="W1747" s="24" t="s">
        <v>16543</v>
      </c>
      <c r="X1747" s="24" t="s">
        <v>16544</v>
      </c>
      <c r="Y1747" s="15" t="s">
        <v>16545</v>
      </c>
      <c r="Z1747" s="15" t="s">
        <v>16546</v>
      </c>
      <c r="AA1747" s="24"/>
      <c r="AB1747" s="24"/>
      <c r="AC1747" s="24"/>
      <c r="AD1747" s="24"/>
      <c r="AE1747" s="24"/>
      <c r="AF1747" s="24"/>
      <c r="AG1747" s="24"/>
      <c r="AH1747" s="24"/>
    </row>
    <row r="1748" spans="1:34" ht="90" x14ac:dyDescent="0.25">
      <c r="A1748" s="24" t="str">
        <f>HYPERLINK("https://www.cpso.on.ca/DoctorDetails/Omotola-Ibitayo-Laura-AdegboyegaConde/0270030-96281","Adegboyega-Conde, Omotola Ibitayo Laura")</f>
        <v>Adegboyega-Conde, Omotola Ibitayo Laura</v>
      </c>
      <c r="B1748" s="25" t="s">
        <v>16547</v>
      </c>
      <c r="C1748" s="24" t="s">
        <v>16548</v>
      </c>
      <c r="D1748" s="24" t="s">
        <v>16549</v>
      </c>
      <c r="E1748" s="24" t="s">
        <v>29</v>
      </c>
      <c r="F1748" s="24" t="s">
        <v>47</v>
      </c>
      <c r="G1748" s="24" t="s">
        <v>148</v>
      </c>
      <c r="H1748" s="24" t="s">
        <v>9003</v>
      </c>
      <c r="I1748" s="24" t="s">
        <v>15660</v>
      </c>
      <c r="J1748" s="24" t="s">
        <v>16550</v>
      </c>
      <c r="K1748" s="24" t="s">
        <v>2168</v>
      </c>
      <c r="L1748" s="24" t="s">
        <v>184</v>
      </c>
      <c r="M1748" s="15"/>
      <c r="N1748" s="15" t="s">
        <v>16551</v>
      </c>
      <c r="O1748" s="15" t="s">
        <v>16552</v>
      </c>
      <c r="P1748" s="15" t="s">
        <v>7386</v>
      </c>
      <c r="Q1748" s="15"/>
      <c r="R1748" s="15" t="s">
        <v>16553</v>
      </c>
      <c r="S1748" s="24" t="s">
        <v>39</v>
      </c>
      <c r="T1748" s="24" t="s">
        <v>39</v>
      </c>
      <c r="U1748" s="24" t="s">
        <v>39</v>
      </c>
      <c r="V1748" s="24" t="s">
        <v>39</v>
      </c>
      <c r="W1748" s="24" t="s">
        <v>16554</v>
      </c>
      <c r="X1748" s="24" t="s">
        <v>9580</v>
      </c>
      <c r="Y1748" s="15" t="s">
        <v>16555</v>
      </c>
      <c r="Z1748" s="15" t="s">
        <v>5623</v>
      </c>
      <c r="AA1748" s="24"/>
      <c r="AB1748" s="24"/>
      <c r="AC1748" s="24"/>
      <c r="AD1748" s="24"/>
      <c r="AE1748" s="24"/>
      <c r="AF1748" s="24"/>
      <c r="AG1748" s="24"/>
      <c r="AH1748" s="24"/>
    </row>
    <row r="1749" spans="1:34" x14ac:dyDescent="0.25">
      <c r="A1749" s="24" t="str">
        <f>HYPERLINK("https://www.cpso.on.ca/DoctorDetails/Ophelia-Lynn-MacDonald/0025634-30457","MacDonald, Ophelia Lynn")</f>
        <v>MacDonald, Ophelia Lynn</v>
      </c>
      <c r="B1749" s="25" t="s">
        <v>16556</v>
      </c>
      <c r="C1749" s="24" t="s">
        <v>16557</v>
      </c>
      <c r="D1749" s="24" t="s">
        <v>16558</v>
      </c>
      <c r="E1749" s="24" t="s">
        <v>29</v>
      </c>
      <c r="F1749" s="24" t="s">
        <v>47</v>
      </c>
      <c r="G1749" s="24" t="s">
        <v>31</v>
      </c>
      <c r="H1749" s="24" t="s">
        <v>16559</v>
      </c>
      <c r="I1749" s="24" t="s">
        <v>16560</v>
      </c>
      <c r="J1749" s="24" t="s">
        <v>16561</v>
      </c>
      <c r="K1749" s="24" t="s">
        <v>16562</v>
      </c>
      <c r="L1749" s="24" t="s">
        <v>340</v>
      </c>
      <c r="M1749" s="15" t="s">
        <v>16563</v>
      </c>
      <c r="N1749" s="15" t="s">
        <v>258</v>
      </c>
      <c r="O1749" s="15"/>
      <c r="P1749" s="15" t="s">
        <v>3636</v>
      </c>
      <c r="Q1749" s="15"/>
      <c r="R1749" s="15" t="s">
        <v>16564</v>
      </c>
      <c r="S1749" s="24" t="s">
        <v>39</v>
      </c>
      <c r="T1749" s="24" t="s">
        <v>39</v>
      </c>
      <c r="U1749" s="24" t="s">
        <v>39</v>
      </c>
      <c r="V1749" s="24" t="s">
        <v>39</v>
      </c>
      <c r="W1749" s="24"/>
      <c r="X1749" s="24"/>
      <c r="Y1749" s="15"/>
      <c r="Z1749" s="15"/>
      <c r="AA1749" s="24"/>
      <c r="AB1749" s="24"/>
      <c r="AC1749" s="24"/>
      <c r="AD1749" s="24"/>
      <c r="AE1749" s="24"/>
      <c r="AF1749" s="24"/>
      <c r="AG1749" s="24"/>
      <c r="AH1749" s="24"/>
    </row>
    <row r="1750" spans="1:34" ht="75" x14ac:dyDescent="0.25">
      <c r="A1750" s="24" t="str">
        <f>HYPERLINK("https://www.cpso.on.ca/DoctorDetails/Orit-Zamir/0266382-93582","Zamir, Orit")</f>
        <v>Zamir, Orit</v>
      </c>
      <c r="B1750" s="25" t="s">
        <v>16565</v>
      </c>
      <c r="C1750" s="24" t="s">
        <v>570</v>
      </c>
      <c r="D1750" s="24" t="s">
        <v>571</v>
      </c>
      <c r="E1750" s="24" t="s">
        <v>29</v>
      </c>
      <c r="F1750" s="24" t="s">
        <v>47</v>
      </c>
      <c r="G1750" s="24" t="s">
        <v>31</v>
      </c>
      <c r="H1750" s="24" t="s">
        <v>968</v>
      </c>
      <c r="I1750" s="24" t="s">
        <v>16566</v>
      </c>
      <c r="J1750" s="24" t="s">
        <v>16567</v>
      </c>
      <c r="K1750" s="24" t="s">
        <v>16568</v>
      </c>
      <c r="L1750" s="24" t="s">
        <v>52</v>
      </c>
      <c r="M1750" s="15" t="s">
        <v>16569</v>
      </c>
      <c r="N1750" s="15"/>
      <c r="O1750" s="15" t="s">
        <v>16570</v>
      </c>
      <c r="P1750" s="15" t="s">
        <v>629</v>
      </c>
      <c r="Q1750" s="15" t="s">
        <v>16571</v>
      </c>
      <c r="R1750" s="15" t="s">
        <v>1706</v>
      </c>
      <c r="S1750" s="24" t="s">
        <v>39</v>
      </c>
      <c r="T1750" s="24" t="s">
        <v>39</v>
      </c>
      <c r="U1750" s="24" t="s">
        <v>39</v>
      </c>
      <c r="V1750" s="24" t="s">
        <v>39</v>
      </c>
      <c r="W1750" s="24" t="s">
        <v>16572</v>
      </c>
      <c r="X1750" s="24" t="s">
        <v>16573</v>
      </c>
      <c r="Y1750" s="15" t="s">
        <v>16574</v>
      </c>
      <c r="Z1750" s="15" t="s">
        <v>16575</v>
      </c>
      <c r="AA1750" s="24"/>
      <c r="AB1750" s="24"/>
      <c r="AC1750" s="24"/>
      <c r="AD1750" s="24"/>
      <c r="AE1750" s="24"/>
      <c r="AF1750" s="24"/>
      <c r="AG1750" s="24"/>
      <c r="AH1750" s="24"/>
    </row>
    <row r="1751" spans="1:34" x14ac:dyDescent="0.25">
      <c r="A1751" s="24" t="str">
        <f>HYPERLINK("https://www.cpso.on.ca/DoctorDetails/Oscar-Samuel-Izenberg/0022407-27197","Izenberg, Oscar Samuel")</f>
        <v>Izenberg, Oscar Samuel</v>
      </c>
      <c r="B1751" s="25" t="s">
        <v>16576</v>
      </c>
      <c r="C1751" s="24" t="s">
        <v>16577</v>
      </c>
      <c r="D1751" s="24" t="s">
        <v>16578</v>
      </c>
      <c r="E1751" s="24" t="s">
        <v>29</v>
      </c>
      <c r="F1751" s="24" t="s">
        <v>30</v>
      </c>
      <c r="G1751" s="24" t="s">
        <v>252</v>
      </c>
      <c r="H1751" s="24" t="s">
        <v>7741</v>
      </c>
      <c r="I1751" s="24" t="s">
        <v>16579</v>
      </c>
      <c r="J1751" s="24" t="s">
        <v>16580</v>
      </c>
      <c r="K1751" s="24"/>
      <c r="L1751" s="24" t="s">
        <v>52</v>
      </c>
      <c r="M1751" s="15"/>
      <c r="N1751" s="15"/>
      <c r="O1751" s="15" t="s">
        <v>219</v>
      </c>
      <c r="P1751" s="15" t="s">
        <v>3887</v>
      </c>
      <c r="Q1751" s="15"/>
      <c r="R1751" s="15" t="s">
        <v>16581</v>
      </c>
      <c r="S1751" s="24" t="s">
        <v>39</v>
      </c>
      <c r="T1751" s="24" t="s">
        <v>39</v>
      </c>
      <c r="U1751" s="24" t="s">
        <v>39</v>
      </c>
      <c r="V1751" s="24" t="s">
        <v>39</v>
      </c>
      <c r="W1751" s="24" t="s">
        <v>16582</v>
      </c>
      <c r="X1751" s="24" t="s">
        <v>16583</v>
      </c>
      <c r="Y1751" s="15" t="s">
        <v>16584</v>
      </c>
      <c r="Z1751" s="15" t="s">
        <v>16585</v>
      </c>
      <c r="AA1751" s="24"/>
      <c r="AB1751" s="24"/>
      <c r="AC1751" s="24"/>
      <c r="AD1751" s="24"/>
      <c r="AE1751" s="24"/>
      <c r="AF1751" s="24"/>
      <c r="AG1751" s="24"/>
      <c r="AH1751" s="24"/>
    </row>
    <row r="1752" spans="1:34" ht="75" x14ac:dyDescent="0.25">
      <c r="A1752" s="24" t="str">
        <f>HYPERLINK("https://www.cpso.on.ca/DoctorDetails/Oshrit-Wanono/0242497-86383","Wanono, Oshrit")</f>
        <v>Wanono, Oshrit</v>
      </c>
      <c r="B1752" s="25" t="s">
        <v>16586</v>
      </c>
      <c r="C1752" s="24" t="s">
        <v>1115</v>
      </c>
      <c r="D1752" s="24" t="s">
        <v>1594</v>
      </c>
      <c r="E1752" s="24" t="s">
        <v>29</v>
      </c>
      <c r="F1752" s="24" t="s">
        <v>47</v>
      </c>
      <c r="G1752" s="24" t="s">
        <v>31</v>
      </c>
      <c r="H1752" s="24" t="s">
        <v>4320</v>
      </c>
      <c r="I1752" s="24" t="s">
        <v>16587</v>
      </c>
      <c r="J1752" s="24" t="s">
        <v>16588</v>
      </c>
      <c r="K1752" s="24"/>
      <c r="L1752" s="24" t="s">
        <v>52</v>
      </c>
      <c r="M1752" s="15"/>
      <c r="N1752" s="15"/>
      <c r="O1752" s="15" t="s">
        <v>981</v>
      </c>
      <c r="P1752" s="15" t="s">
        <v>16589</v>
      </c>
      <c r="Q1752" s="15" t="s">
        <v>1601</v>
      </c>
      <c r="R1752" s="15" t="s">
        <v>1602</v>
      </c>
      <c r="S1752" s="24" t="s">
        <v>39</v>
      </c>
      <c r="T1752" s="24" t="s">
        <v>39</v>
      </c>
      <c r="U1752" s="24" t="s">
        <v>39</v>
      </c>
      <c r="V1752" s="24" t="s">
        <v>39</v>
      </c>
      <c r="W1752" s="24" t="s">
        <v>16590</v>
      </c>
      <c r="X1752" s="24" t="s">
        <v>16591</v>
      </c>
      <c r="Y1752" s="15" t="s">
        <v>16592</v>
      </c>
      <c r="Z1752" s="15" t="s">
        <v>16593</v>
      </c>
      <c r="AA1752" s="24"/>
      <c r="AB1752" s="24"/>
      <c r="AC1752" s="24"/>
      <c r="AD1752" s="24"/>
      <c r="AE1752" s="24"/>
      <c r="AF1752" s="24"/>
      <c r="AG1752" s="24"/>
      <c r="AH1752" s="24"/>
    </row>
    <row r="1753" spans="1:34" ht="45" x14ac:dyDescent="0.25">
      <c r="A1753" s="24" t="str">
        <f>HYPERLINK("https://www.cpso.on.ca/DoctorDetails/Oyedeji-Adebayo-Ayonrinde/0313546-111862","Ayonrinde, Oyedeji Adebayo")</f>
        <v>Ayonrinde, Oyedeji Adebayo</v>
      </c>
      <c r="B1753" s="25" t="s">
        <v>16594</v>
      </c>
      <c r="C1753" s="24" t="s">
        <v>16595</v>
      </c>
      <c r="D1753" s="24" t="s">
        <v>16596</v>
      </c>
      <c r="E1753" s="24" t="s">
        <v>29</v>
      </c>
      <c r="F1753" s="24" t="s">
        <v>30</v>
      </c>
      <c r="G1753" s="24" t="s">
        <v>31</v>
      </c>
      <c r="H1753" s="24" t="s">
        <v>16597</v>
      </c>
      <c r="I1753" s="24" t="s">
        <v>16598</v>
      </c>
      <c r="J1753" s="24" t="s">
        <v>16599</v>
      </c>
      <c r="K1753" s="24"/>
      <c r="L1753" s="24" t="s">
        <v>340</v>
      </c>
      <c r="M1753" s="15"/>
      <c r="N1753" s="15"/>
      <c r="O1753" s="15" t="s">
        <v>1914</v>
      </c>
      <c r="P1753" s="15" t="s">
        <v>16600</v>
      </c>
      <c r="Q1753" s="15"/>
      <c r="R1753" s="15" t="s">
        <v>16601</v>
      </c>
      <c r="S1753" s="24" t="s">
        <v>71</v>
      </c>
      <c r="T1753" s="24" t="s">
        <v>39</v>
      </c>
      <c r="U1753" s="24" t="s">
        <v>39</v>
      </c>
      <c r="V1753" s="24" t="s">
        <v>39</v>
      </c>
      <c r="W1753" s="24"/>
      <c r="X1753" s="24"/>
      <c r="Y1753" s="15"/>
      <c r="Z1753" s="15"/>
      <c r="AA1753" s="24"/>
      <c r="AB1753" s="24"/>
      <c r="AC1753" s="24"/>
      <c r="AD1753" s="24"/>
      <c r="AE1753" s="24"/>
      <c r="AF1753" s="24"/>
      <c r="AG1753" s="24"/>
      <c r="AH1753" s="24"/>
    </row>
    <row r="1754" spans="1:34" x14ac:dyDescent="0.25">
      <c r="A1754" s="24" t="str">
        <f>HYPERLINK("https://www.cpso.on.ca/DoctorDetails/Oyewale-Ademola-Afolabi/0305546-107960","Afolabi, Oyewale Ademola")</f>
        <v>Afolabi, Oyewale Ademola</v>
      </c>
      <c r="B1754" s="25" t="s">
        <v>16602</v>
      </c>
      <c r="C1754" s="24" t="s">
        <v>16603</v>
      </c>
      <c r="D1754" s="24" t="s">
        <v>16604</v>
      </c>
      <c r="E1754" s="24" t="s">
        <v>29</v>
      </c>
      <c r="F1754" s="24" t="s">
        <v>30</v>
      </c>
      <c r="G1754" s="24" t="s">
        <v>31</v>
      </c>
      <c r="H1754" s="24" t="s">
        <v>16605</v>
      </c>
      <c r="I1754" s="24" t="s">
        <v>16606</v>
      </c>
      <c r="J1754" s="24" t="s">
        <v>16607</v>
      </c>
      <c r="K1754" s="24"/>
      <c r="L1754" s="24"/>
      <c r="M1754" s="15"/>
      <c r="N1754" s="15" t="s">
        <v>3698</v>
      </c>
      <c r="O1754" s="15"/>
      <c r="P1754" s="15" t="s">
        <v>682</v>
      </c>
      <c r="Q1754" s="15"/>
      <c r="R1754" s="15" t="s">
        <v>16608</v>
      </c>
      <c r="S1754" s="24" t="s">
        <v>39</v>
      </c>
      <c r="T1754" s="24" t="s">
        <v>39</v>
      </c>
      <c r="U1754" s="24" t="s">
        <v>39</v>
      </c>
      <c r="V1754" s="24" t="s">
        <v>39</v>
      </c>
      <c r="W1754" s="24"/>
      <c r="X1754" s="24"/>
      <c r="Y1754" s="15"/>
      <c r="Z1754" s="15"/>
      <c r="AA1754" s="24"/>
      <c r="AB1754" s="24"/>
      <c r="AC1754" s="24"/>
      <c r="AD1754" s="24"/>
      <c r="AE1754" s="24"/>
      <c r="AF1754" s="24"/>
      <c r="AG1754" s="24"/>
      <c r="AH1754" s="24"/>
    </row>
    <row r="1755" spans="1:34" ht="45" x14ac:dyDescent="0.25">
      <c r="A1755" s="24" t="str">
        <f>HYPERLINK("https://www.cpso.on.ca/DoctorDetails/Pablo-DiazHermosillo/0041066-55042","Diaz-Hermosillo, Pablo")</f>
        <v>Diaz-Hermosillo, Pablo</v>
      </c>
      <c r="B1755" s="25" t="s">
        <v>16609</v>
      </c>
      <c r="C1755" s="24" t="s">
        <v>16610</v>
      </c>
      <c r="D1755" s="24" t="s">
        <v>16611</v>
      </c>
      <c r="E1755" s="24" t="s">
        <v>29</v>
      </c>
      <c r="F1755" s="24" t="s">
        <v>30</v>
      </c>
      <c r="G1755" s="24" t="s">
        <v>115</v>
      </c>
      <c r="H1755" s="24" t="s">
        <v>5257</v>
      </c>
      <c r="I1755" s="24" t="s">
        <v>16612</v>
      </c>
      <c r="J1755" s="24" t="s">
        <v>16613</v>
      </c>
      <c r="K1755" s="24" t="s">
        <v>10698</v>
      </c>
      <c r="L1755" s="24" t="s">
        <v>52</v>
      </c>
      <c r="M1755" s="15" t="s">
        <v>16614</v>
      </c>
      <c r="N1755" s="15"/>
      <c r="O1755" s="15" t="s">
        <v>842</v>
      </c>
      <c r="P1755" s="15" t="s">
        <v>3433</v>
      </c>
      <c r="Q1755" s="15" t="s">
        <v>16615</v>
      </c>
      <c r="R1755" s="15" t="s">
        <v>16616</v>
      </c>
      <c r="S1755" s="24" t="s">
        <v>39</v>
      </c>
      <c r="T1755" s="24" t="s">
        <v>39</v>
      </c>
      <c r="U1755" s="24" t="s">
        <v>39</v>
      </c>
      <c r="V1755" s="24" t="s">
        <v>39</v>
      </c>
      <c r="W1755" s="24" t="s">
        <v>16617</v>
      </c>
      <c r="X1755" s="24" t="s">
        <v>16618</v>
      </c>
      <c r="Y1755" s="15" t="s">
        <v>16619</v>
      </c>
      <c r="Z1755" s="15" t="s">
        <v>16620</v>
      </c>
      <c r="AA1755" s="24"/>
      <c r="AB1755" s="24"/>
      <c r="AC1755" s="24"/>
      <c r="AD1755" s="24"/>
      <c r="AE1755" s="24"/>
      <c r="AF1755" s="24"/>
      <c r="AG1755" s="24"/>
      <c r="AH1755" s="24"/>
    </row>
    <row r="1756" spans="1:34" ht="45" x14ac:dyDescent="0.25">
      <c r="A1756" s="24" t="str">
        <f>HYPERLINK("https://www.cpso.on.ca/DoctorDetails/Pablo-Eduardo-Rogelio-Fernando-Sanhueza-Luco/0037596-51572","Sanhueza Luco, Pablo Eduardo Rogelio Fernando")</f>
        <v>Sanhueza Luco, Pablo Eduardo Rogelio Fernando</v>
      </c>
      <c r="B1756" s="25" t="s">
        <v>16621</v>
      </c>
      <c r="C1756" s="24" t="s">
        <v>826</v>
      </c>
      <c r="D1756" s="24" t="s">
        <v>15919</v>
      </c>
      <c r="E1756" s="24" t="s">
        <v>29</v>
      </c>
      <c r="F1756" s="24" t="s">
        <v>30</v>
      </c>
      <c r="G1756" s="24" t="s">
        <v>16622</v>
      </c>
      <c r="H1756" s="24" t="s">
        <v>16623</v>
      </c>
      <c r="I1756" s="24" t="s">
        <v>16624</v>
      </c>
      <c r="J1756" s="24" t="s">
        <v>16625</v>
      </c>
      <c r="K1756" s="24" t="s">
        <v>16626</v>
      </c>
      <c r="L1756" s="24" t="s">
        <v>328</v>
      </c>
      <c r="M1756" s="15"/>
      <c r="N1756" s="15"/>
      <c r="O1756" s="15"/>
      <c r="P1756" s="15" t="s">
        <v>1924</v>
      </c>
      <c r="Q1756" s="15"/>
      <c r="R1756" s="15" t="s">
        <v>16627</v>
      </c>
      <c r="S1756" s="24" t="s">
        <v>39</v>
      </c>
      <c r="T1756" s="24" t="s">
        <v>39</v>
      </c>
      <c r="U1756" s="24" t="s">
        <v>39</v>
      </c>
      <c r="V1756" s="24" t="s">
        <v>39</v>
      </c>
      <c r="W1756" s="24"/>
      <c r="X1756" s="24"/>
      <c r="Y1756" s="15"/>
      <c r="Z1756" s="15"/>
      <c r="AA1756" s="24"/>
      <c r="AB1756" s="24"/>
      <c r="AC1756" s="24"/>
      <c r="AD1756" s="24"/>
      <c r="AE1756" s="24"/>
      <c r="AF1756" s="24"/>
      <c r="AG1756" s="24"/>
      <c r="AH1756" s="24"/>
    </row>
    <row r="1757" spans="1:34" ht="45" x14ac:dyDescent="0.25">
      <c r="A1757" s="24" t="str">
        <f>HYPERLINK("https://www.cpso.on.ca/DoctorDetails/Padraig-Liam-Darby/0030383-42363","Darby, Padraig Liam")</f>
        <v>Darby, Padraig Liam</v>
      </c>
      <c r="B1757" s="25" t="s">
        <v>16628</v>
      </c>
      <c r="C1757" s="24" t="s">
        <v>6427</v>
      </c>
      <c r="D1757" s="24" t="s">
        <v>16629</v>
      </c>
      <c r="E1757" s="24" t="s">
        <v>29</v>
      </c>
      <c r="F1757" s="24" t="s">
        <v>30</v>
      </c>
      <c r="G1757" s="24" t="s">
        <v>31</v>
      </c>
      <c r="H1757" s="24" t="s">
        <v>16630</v>
      </c>
      <c r="I1757" s="24" t="s">
        <v>16631</v>
      </c>
      <c r="J1757" s="24" t="s">
        <v>16632</v>
      </c>
      <c r="K1757" s="24" t="s">
        <v>10072</v>
      </c>
      <c r="L1757" s="24" t="s">
        <v>52</v>
      </c>
      <c r="M1757" s="15"/>
      <c r="N1757" s="15"/>
      <c r="O1757" s="15" t="s">
        <v>842</v>
      </c>
      <c r="P1757" s="15" t="s">
        <v>5751</v>
      </c>
      <c r="Q1757" s="15"/>
      <c r="R1757" s="15" t="s">
        <v>16633</v>
      </c>
      <c r="S1757" s="24" t="s">
        <v>39</v>
      </c>
      <c r="T1757" s="24" t="s">
        <v>39</v>
      </c>
      <c r="U1757" s="24" t="s">
        <v>39</v>
      </c>
      <c r="V1757" s="24" t="s">
        <v>39</v>
      </c>
      <c r="W1757" s="24" t="s">
        <v>16634</v>
      </c>
      <c r="X1757" s="24" t="s">
        <v>16635</v>
      </c>
      <c r="Y1757" s="15" t="s">
        <v>16636</v>
      </c>
      <c r="Z1757" s="15" t="s">
        <v>16637</v>
      </c>
      <c r="AA1757" s="24"/>
      <c r="AB1757" s="24"/>
      <c r="AC1757" s="24"/>
      <c r="AD1757" s="24"/>
      <c r="AE1757" s="24"/>
      <c r="AF1757" s="24"/>
      <c r="AG1757" s="24"/>
      <c r="AH1757" s="24"/>
    </row>
    <row r="1758" spans="1:34" ht="135" x14ac:dyDescent="0.25">
      <c r="A1758" s="24" t="str">
        <f>HYPERLINK("https://www.cpso.on.ca/DoctorDetails/Pallavi-Shailesh-Nadkarni/0274076-96924","Nadkarni, Pallavi Shailesh")</f>
        <v>Nadkarni, Pallavi Shailesh</v>
      </c>
      <c r="B1758" s="25" t="s">
        <v>16638</v>
      </c>
      <c r="C1758" s="24" t="s">
        <v>16253</v>
      </c>
      <c r="D1758" s="24" t="s">
        <v>16639</v>
      </c>
      <c r="E1758" s="24" t="s">
        <v>29</v>
      </c>
      <c r="F1758" s="24" t="s">
        <v>47</v>
      </c>
      <c r="G1758" s="24" t="s">
        <v>2248</v>
      </c>
      <c r="H1758" s="24" t="s">
        <v>16640</v>
      </c>
      <c r="I1758" s="24" t="s">
        <v>16641</v>
      </c>
      <c r="J1758" s="24" t="s">
        <v>16642</v>
      </c>
      <c r="K1758" s="24" t="s">
        <v>16643</v>
      </c>
      <c r="L1758" s="24" t="s">
        <v>340</v>
      </c>
      <c r="M1758" s="15"/>
      <c r="N1758" s="15"/>
      <c r="O1758" s="15" t="s">
        <v>1122</v>
      </c>
      <c r="P1758" s="15" t="s">
        <v>6388</v>
      </c>
      <c r="Q1758" s="15"/>
      <c r="R1758" s="15" t="s">
        <v>16644</v>
      </c>
      <c r="S1758" s="24" t="s">
        <v>71</v>
      </c>
      <c r="T1758" s="24" t="s">
        <v>39</v>
      </c>
      <c r="U1758" s="24" t="s">
        <v>39</v>
      </c>
      <c r="V1758" s="24" t="s">
        <v>39</v>
      </c>
      <c r="W1758" s="24" t="s">
        <v>16645</v>
      </c>
      <c r="X1758" s="24" t="s">
        <v>16646</v>
      </c>
      <c r="Y1758" s="15" t="s">
        <v>16647</v>
      </c>
      <c r="Z1758" s="15" t="s">
        <v>16648</v>
      </c>
      <c r="AA1758" s="24"/>
      <c r="AB1758" s="24"/>
      <c r="AC1758" s="24"/>
      <c r="AD1758" s="24"/>
      <c r="AE1758" s="24"/>
      <c r="AF1758" s="24"/>
      <c r="AG1758" s="24"/>
      <c r="AH1758" s="24"/>
    </row>
    <row r="1759" spans="1:34" ht="75" x14ac:dyDescent="0.25">
      <c r="A1759" s="24" t="str">
        <f>HYPERLINK("https://www.cpso.on.ca/DoctorDetails/Pamela-Allen-Kaduri/0258967-92168","Kaduri, Pamela Allen")</f>
        <v>Kaduri, Pamela Allen</v>
      </c>
      <c r="B1759" s="25" t="s">
        <v>16649</v>
      </c>
      <c r="C1759" s="24" t="s">
        <v>16650</v>
      </c>
      <c r="D1759" s="24" t="s">
        <v>16651</v>
      </c>
      <c r="E1759" s="24" t="s">
        <v>29</v>
      </c>
      <c r="F1759" s="24" t="s">
        <v>47</v>
      </c>
      <c r="G1759" s="24" t="s">
        <v>31</v>
      </c>
      <c r="H1759" s="24" t="s">
        <v>16652</v>
      </c>
      <c r="I1759" s="24" t="s">
        <v>16653</v>
      </c>
      <c r="J1759" s="24" t="s">
        <v>3366</v>
      </c>
      <c r="K1759" s="24"/>
      <c r="L1759" s="24" t="s">
        <v>52</v>
      </c>
      <c r="M1759" s="15"/>
      <c r="N1759" s="15"/>
      <c r="O1759" s="15"/>
      <c r="P1759" s="15" t="s">
        <v>16654</v>
      </c>
      <c r="Q1759" s="15" t="s">
        <v>16655</v>
      </c>
      <c r="R1759" s="15" t="s">
        <v>16656</v>
      </c>
      <c r="S1759" s="24" t="s">
        <v>71</v>
      </c>
      <c r="T1759" s="24" t="s">
        <v>39</v>
      </c>
      <c r="U1759" s="24" t="s">
        <v>39</v>
      </c>
      <c r="V1759" s="24" t="s">
        <v>39</v>
      </c>
      <c r="W1759" s="24"/>
      <c r="X1759" s="24"/>
      <c r="Y1759" s="15"/>
      <c r="Z1759" s="15"/>
      <c r="AA1759" s="24"/>
      <c r="AB1759" s="24"/>
      <c r="AC1759" s="24"/>
      <c r="AD1759" s="24"/>
      <c r="AE1759" s="24"/>
      <c r="AF1759" s="24"/>
      <c r="AG1759" s="24"/>
      <c r="AH1759" s="24"/>
    </row>
    <row r="1760" spans="1:34" ht="60" x14ac:dyDescent="0.25">
      <c r="A1760" s="24" t="str">
        <f>HYPERLINK("https://www.cpso.on.ca/DoctorDetails/Pamela-Ann-Stewart/0044025-58003","Stewart, Pamela Ann")</f>
        <v>Stewart, Pamela Ann</v>
      </c>
      <c r="B1760" s="25" t="s">
        <v>16657</v>
      </c>
      <c r="C1760" s="24" t="s">
        <v>16658</v>
      </c>
      <c r="D1760" s="24" t="s">
        <v>16659</v>
      </c>
      <c r="E1760" s="24" t="s">
        <v>29</v>
      </c>
      <c r="F1760" s="24" t="s">
        <v>47</v>
      </c>
      <c r="G1760" s="24" t="s">
        <v>31</v>
      </c>
      <c r="H1760" s="24" t="s">
        <v>2189</v>
      </c>
      <c r="I1760" s="24" t="s">
        <v>16660</v>
      </c>
      <c r="J1760" s="24" t="s">
        <v>16661</v>
      </c>
      <c r="K1760" s="24" t="s">
        <v>16662</v>
      </c>
      <c r="L1760" s="24" t="s">
        <v>52</v>
      </c>
      <c r="M1760" s="15" t="s">
        <v>16663</v>
      </c>
      <c r="N1760" s="15"/>
      <c r="O1760" s="15" t="s">
        <v>3545</v>
      </c>
      <c r="P1760" s="15" t="s">
        <v>16664</v>
      </c>
      <c r="Q1760" s="15" t="s">
        <v>16665</v>
      </c>
      <c r="R1760" s="15" t="s">
        <v>16666</v>
      </c>
      <c r="S1760" s="24" t="s">
        <v>39</v>
      </c>
      <c r="T1760" s="24" t="s">
        <v>39</v>
      </c>
      <c r="U1760" s="24" t="s">
        <v>39</v>
      </c>
      <c r="V1760" s="24" t="s">
        <v>39</v>
      </c>
      <c r="W1760" s="24" t="s">
        <v>16667</v>
      </c>
      <c r="X1760" s="24" t="s">
        <v>16668</v>
      </c>
      <c r="Y1760" s="15" t="s">
        <v>16669</v>
      </c>
      <c r="Z1760" s="15" t="s">
        <v>16670</v>
      </c>
      <c r="AA1760" s="24"/>
      <c r="AB1760" s="24"/>
      <c r="AC1760" s="24"/>
      <c r="AD1760" s="24"/>
      <c r="AE1760" s="24"/>
      <c r="AF1760" s="24"/>
      <c r="AG1760" s="24"/>
      <c r="AH1760" s="24"/>
    </row>
    <row r="1761" spans="1:34" ht="75" x14ac:dyDescent="0.25">
      <c r="A1761" s="24" t="str">
        <f>HYPERLINK("https://www.cpso.on.ca/DoctorDetails/Pamela-Ellen-Horne/0276229-97086","Horne, Pamela Ellen")</f>
        <v>Horne, Pamela Ellen</v>
      </c>
      <c r="B1761" s="25" t="s">
        <v>16671</v>
      </c>
      <c r="C1761" s="24" t="s">
        <v>16672</v>
      </c>
      <c r="D1761" s="24" t="s">
        <v>16673</v>
      </c>
      <c r="E1761" s="24" t="s">
        <v>29</v>
      </c>
      <c r="F1761" s="24" t="s">
        <v>47</v>
      </c>
      <c r="G1761" s="24" t="s">
        <v>31</v>
      </c>
      <c r="H1761" s="24" t="s">
        <v>16674</v>
      </c>
      <c r="I1761" s="24" t="s">
        <v>16675</v>
      </c>
      <c r="J1761" s="24" t="s">
        <v>16676</v>
      </c>
      <c r="K1761" s="24" t="s">
        <v>16677</v>
      </c>
      <c r="L1761" s="24" t="s">
        <v>135</v>
      </c>
      <c r="M1761" s="15"/>
      <c r="N1761" s="15" t="s">
        <v>10486</v>
      </c>
      <c r="O1761" s="15" t="s">
        <v>16678</v>
      </c>
      <c r="P1761" s="15" t="s">
        <v>16679</v>
      </c>
      <c r="Q1761" s="15"/>
      <c r="R1761" s="15" t="s">
        <v>16680</v>
      </c>
      <c r="S1761" s="24" t="s">
        <v>71</v>
      </c>
      <c r="T1761" s="24" t="s">
        <v>39</v>
      </c>
      <c r="U1761" s="24" t="s">
        <v>39</v>
      </c>
      <c r="V1761" s="24" t="s">
        <v>39</v>
      </c>
      <c r="W1761" s="24"/>
      <c r="X1761" s="24"/>
      <c r="Y1761" s="15"/>
      <c r="Z1761" s="15"/>
      <c r="AA1761" s="24"/>
      <c r="AB1761" s="24"/>
      <c r="AC1761" s="24"/>
      <c r="AD1761" s="24"/>
      <c r="AE1761" s="24"/>
      <c r="AF1761" s="24"/>
      <c r="AG1761" s="24"/>
      <c r="AH1761" s="24"/>
    </row>
    <row r="1762" spans="1:34" ht="90" x14ac:dyDescent="0.25">
      <c r="A1762" s="24" t="str">
        <f>HYPERLINK("https://www.cpso.on.ca/DoctorDetails/Pamela-Joy-Johnson/0046680-60658","Johnson, Pamela Joy")</f>
        <v>Johnson, Pamela Joy</v>
      </c>
      <c r="B1762" s="25" t="s">
        <v>16681</v>
      </c>
      <c r="C1762" s="24" t="s">
        <v>2629</v>
      </c>
      <c r="D1762" s="24" t="s">
        <v>5466</v>
      </c>
      <c r="E1762" s="24" t="s">
        <v>29</v>
      </c>
      <c r="F1762" s="24" t="s">
        <v>47</v>
      </c>
      <c r="G1762" s="24" t="s">
        <v>115</v>
      </c>
      <c r="H1762" s="24" t="s">
        <v>767</v>
      </c>
      <c r="I1762" s="24" t="s">
        <v>10755</v>
      </c>
      <c r="J1762" s="24" t="s">
        <v>16682</v>
      </c>
      <c r="K1762" s="24" t="s">
        <v>16683</v>
      </c>
      <c r="L1762" s="24" t="s">
        <v>3849</v>
      </c>
      <c r="M1762" s="15"/>
      <c r="N1762" s="15"/>
      <c r="O1762" s="15" t="s">
        <v>4262</v>
      </c>
      <c r="P1762" s="15" t="s">
        <v>488</v>
      </c>
      <c r="Q1762" s="15" t="s">
        <v>16684</v>
      </c>
      <c r="R1762" s="15" t="s">
        <v>16685</v>
      </c>
      <c r="S1762" s="24" t="s">
        <v>39</v>
      </c>
      <c r="T1762" s="24" t="s">
        <v>39</v>
      </c>
      <c r="U1762" s="24" t="s">
        <v>39</v>
      </c>
      <c r="V1762" s="24" t="s">
        <v>39</v>
      </c>
      <c r="W1762" s="24"/>
      <c r="X1762" s="24"/>
      <c r="Y1762" s="15"/>
      <c r="Z1762" s="15"/>
      <c r="AA1762" s="24"/>
      <c r="AB1762" s="24"/>
      <c r="AC1762" s="24"/>
      <c r="AD1762" s="24"/>
      <c r="AE1762" s="24"/>
      <c r="AF1762" s="24"/>
      <c r="AG1762" s="24"/>
      <c r="AH1762" s="24"/>
    </row>
    <row r="1763" spans="1:34" ht="60" x14ac:dyDescent="0.25">
      <c r="A1763" s="24" t="str">
        <f>HYPERLINK("https://www.cpso.on.ca/DoctorDetails/Paola-Leon/0043383-57361","Leon, Paola")</f>
        <v>Leon, Paola</v>
      </c>
      <c r="B1763" s="25" t="s">
        <v>16686</v>
      </c>
      <c r="C1763" s="24" t="s">
        <v>3463</v>
      </c>
      <c r="D1763" s="24" t="s">
        <v>16687</v>
      </c>
      <c r="E1763" s="24" t="s">
        <v>29</v>
      </c>
      <c r="F1763" s="24" t="s">
        <v>47</v>
      </c>
      <c r="G1763" s="24" t="s">
        <v>706</v>
      </c>
      <c r="H1763" s="24" t="s">
        <v>9189</v>
      </c>
      <c r="I1763" s="24" t="s">
        <v>16688</v>
      </c>
      <c r="J1763" s="24" t="s">
        <v>16689</v>
      </c>
      <c r="K1763" s="24"/>
      <c r="L1763" s="24" t="s">
        <v>52</v>
      </c>
      <c r="M1763" s="15"/>
      <c r="N1763" s="15"/>
      <c r="O1763" s="15"/>
      <c r="P1763" s="15" t="s">
        <v>2470</v>
      </c>
      <c r="Q1763" s="15" t="s">
        <v>6291</v>
      </c>
      <c r="R1763" s="15" t="s">
        <v>16690</v>
      </c>
      <c r="S1763" s="24" t="s">
        <v>39</v>
      </c>
      <c r="T1763" s="24" t="s">
        <v>39</v>
      </c>
      <c r="U1763" s="24" t="s">
        <v>39</v>
      </c>
      <c r="V1763" s="24" t="s">
        <v>39</v>
      </c>
      <c r="W1763" s="24"/>
      <c r="X1763" s="24"/>
      <c r="Y1763" s="15"/>
      <c r="Z1763" s="15"/>
      <c r="AA1763" s="24"/>
      <c r="AB1763" s="24"/>
      <c r="AC1763" s="24"/>
      <c r="AD1763" s="24"/>
      <c r="AE1763" s="24"/>
      <c r="AF1763" s="24"/>
      <c r="AG1763" s="24"/>
      <c r="AH1763" s="24"/>
    </row>
    <row r="1764" spans="1:34" ht="75" x14ac:dyDescent="0.25">
      <c r="A1764" s="24" t="str">
        <f>HYPERLINK("https://www.cpso.on.ca/DoctorDetails/Pappu-Srinivasa-Reddy/0292027-102587","Reddy, Pappu Srinivasa")</f>
        <v>Reddy, Pappu Srinivasa</v>
      </c>
      <c r="B1764" s="25" t="s">
        <v>16691</v>
      </c>
      <c r="C1764" s="24" t="s">
        <v>16692</v>
      </c>
      <c r="D1764" s="24" t="s">
        <v>16693</v>
      </c>
      <c r="E1764" s="24" t="s">
        <v>29</v>
      </c>
      <c r="F1764" s="24" t="s">
        <v>30</v>
      </c>
      <c r="G1764" s="24" t="s">
        <v>16694</v>
      </c>
      <c r="H1764" s="24" t="s">
        <v>16695</v>
      </c>
      <c r="I1764" s="24" t="s">
        <v>16696</v>
      </c>
      <c r="J1764" s="24" t="s">
        <v>7030</v>
      </c>
      <c r="K1764" s="24"/>
      <c r="L1764" s="24" t="s">
        <v>36</v>
      </c>
      <c r="M1764" s="15" t="s">
        <v>16697</v>
      </c>
      <c r="N1764" s="15"/>
      <c r="O1764" s="15" t="s">
        <v>4788</v>
      </c>
      <c r="P1764" s="15" t="s">
        <v>3308</v>
      </c>
      <c r="Q1764" s="15"/>
      <c r="R1764" s="15" t="s">
        <v>16698</v>
      </c>
      <c r="S1764" s="24" t="s">
        <v>39</v>
      </c>
      <c r="T1764" s="24" t="s">
        <v>39</v>
      </c>
      <c r="U1764" s="24" t="s">
        <v>39</v>
      </c>
      <c r="V1764" s="24" t="s">
        <v>39</v>
      </c>
      <c r="W1764" s="24" t="s">
        <v>16699</v>
      </c>
      <c r="X1764" s="24" t="s">
        <v>16700</v>
      </c>
      <c r="Y1764" s="15" t="s">
        <v>16701</v>
      </c>
      <c r="Z1764" s="15" t="s">
        <v>16702</v>
      </c>
      <c r="AA1764" s="24"/>
      <c r="AB1764" s="24"/>
      <c r="AC1764" s="24"/>
      <c r="AD1764" s="24"/>
      <c r="AE1764" s="24"/>
      <c r="AF1764" s="24"/>
      <c r="AG1764" s="24"/>
      <c r="AH1764" s="24"/>
    </row>
    <row r="1765" spans="1:34" ht="135" x14ac:dyDescent="0.25">
      <c r="A1765" s="24" t="str">
        <f>HYPERLINK("https://www.cpso.on.ca/DoctorDetails/Parkash-Kaur-Singh/0280688-97607","Singh, Parkash Kaur")</f>
        <v>Singh, Parkash Kaur</v>
      </c>
      <c r="B1765" s="25" t="s">
        <v>16703</v>
      </c>
      <c r="C1765" s="24" t="s">
        <v>16704</v>
      </c>
      <c r="D1765" s="24" t="s">
        <v>16705</v>
      </c>
      <c r="E1765" s="24" t="s">
        <v>29</v>
      </c>
      <c r="F1765" s="24" t="s">
        <v>47</v>
      </c>
      <c r="G1765" s="24" t="s">
        <v>31</v>
      </c>
      <c r="H1765" s="24" t="s">
        <v>2650</v>
      </c>
      <c r="I1765" s="24" t="s">
        <v>107</v>
      </c>
      <c r="J1765" s="24"/>
      <c r="K1765" s="24"/>
      <c r="L1765" s="24"/>
      <c r="M1765" s="15"/>
      <c r="N1765" s="15" t="s">
        <v>7258</v>
      </c>
      <c r="O1765" s="15"/>
      <c r="P1765" s="15" t="s">
        <v>16706</v>
      </c>
      <c r="Q1765" s="15" t="s">
        <v>16707</v>
      </c>
      <c r="R1765" s="15" t="s">
        <v>16708</v>
      </c>
      <c r="S1765" s="24" t="s">
        <v>39</v>
      </c>
      <c r="T1765" s="24" t="s">
        <v>39</v>
      </c>
      <c r="U1765" s="24" t="s">
        <v>39</v>
      </c>
      <c r="V1765" s="24" t="s">
        <v>39</v>
      </c>
      <c r="W1765" s="24"/>
      <c r="X1765" s="24"/>
      <c r="Y1765" s="15"/>
      <c r="Z1765" s="15"/>
      <c r="AA1765" s="24"/>
      <c r="AB1765" s="24"/>
      <c r="AC1765" s="24"/>
      <c r="AD1765" s="24"/>
      <c r="AE1765" s="24"/>
      <c r="AF1765" s="24"/>
      <c r="AG1765" s="24"/>
      <c r="AH1765" s="24"/>
    </row>
    <row r="1766" spans="1:34" x14ac:dyDescent="0.25">
      <c r="A1766" s="24" t="str">
        <f>HYPERLINK("https://www.cpso.on.ca/DoctorDetails/Partha-Acharyya/0049264-63242","Acharyya, Partha")</f>
        <v>Acharyya, Partha</v>
      </c>
      <c r="B1766" s="25" t="s">
        <v>16709</v>
      </c>
      <c r="C1766" s="24" t="s">
        <v>16710</v>
      </c>
      <c r="D1766" s="24" t="s">
        <v>14109</v>
      </c>
      <c r="E1766" s="24" t="s">
        <v>29</v>
      </c>
      <c r="F1766" s="24" t="s">
        <v>30</v>
      </c>
      <c r="G1766" s="24" t="s">
        <v>1375</v>
      </c>
      <c r="H1766" s="24" t="s">
        <v>16711</v>
      </c>
      <c r="I1766" s="24" t="s">
        <v>16712</v>
      </c>
      <c r="J1766" s="24" t="s">
        <v>16713</v>
      </c>
      <c r="K1766" s="24" t="s">
        <v>589</v>
      </c>
      <c r="L1766" s="24" t="s">
        <v>36</v>
      </c>
      <c r="M1766" s="15"/>
      <c r="N1766" s="15"/>
      <c r="O1766" s="15" t="s">
        <v>833</v>
      </c>
      <c r="P1766" s="15" t="s">
        <v>5402</v>
      </c>
      <c r="Q1766" s="15"/>
      <c r="R1766" s="15" t="s">
        <v>16714</v>
      </c>
      <c r="S1766" s="24" t="s">
        <v>39</v>
      </c>
      <c r="T1766" s="24" t="s">
        <v>39</v>
      </c>
      <c r="U1766" s="24" t="s">
        <v>39</v>
      </c>
      <c r="V1766" s="24" t="s">
        <v>39</v>
      </c>
      <c r="W1766" s="24" t="s">
        <v>16715</v>
      </c>
      <c r="X1766" s="24" t="s">
        <v>16716</v>
      </c>
      <c r="Y1766" s="15" t="s">
        <v>16717</v>
      </c>
      <c r="Z1766" s="15" t="s">
        <v>16718</v>
      </c>
      <c r="AA1766" s="24"/>
      <c r="AB1766" s="24"/>
      <c r="AC1766" s="24"/>
      <c r="AD1766" s="24"/>
      <c r="AE1766" s="24"/>
      <c r="AF1766" s="24"/>
      <c r="AG1766" s="24"/>
      <c r="AH1766" s="24"/>
    </row>
    <row r="1767" spans="1:34" ht="75" x14ac:dyDescent="0.25">
      <c r="A1767" s="24" t="str">
        <f>HYPERLINK("https://www.cpso.on.ca/DoctorDetails/Parul-Agarwal/0240756-87960","Agarwal, Parul")</f>
        <v>Agarwal, Parul</v>
      </c>
      <c r="B1767" s="25" t="s">
        <v>16719</v>
      </c>
      <c r="C1767" s="24" t="s">
        <v>442</v>
      </c>
      <c r="D1767" s="24" t="s">
        <v>2343</v>
      </c>
      <c r="E1767" s="24" t="s">
        <v>29</v>
      </c>
      <c r="F1767" s="24" t="s">
        <v>47</v>
      </c>
      <c r="G1767" s="24" t="s">
        <v>79</v>
      </c>
      <c r="H1767" s="24" t="s">
        <v>16720</v>
      </c>
      <c r="I1767" s="24" t="s">
        <v>16721</v>
      </c>
      <c r="J1767" s="24" t="s">
        <v>16722</v>
      </c>
      <c r="K1767" s="24" t="s">
        <v>16723</v>
      </c>
      <c r="L1767" s="24" t="s">
        <v>52</v>
      </c>
      <c r="M1767" s="15"/>
      <c r="N1767" s="15"/>
      <c r="O1767" s="15"/>
      <c r="P1767" s="15" t="s">
        <v>16724</v>
      </c>
      <c r="Q1767" s="15" t="s">
        <v>16725</v>
      </c>
      <c r="R1767" s="15" t="s">
        <v>16726</v>
      </c>
      <c r="S1767" s="24" t="s">
        <v>39</v>
      </c>
      <c r="T1767" s="24" t="s">
        <v>39</v>
      </c>
      <c r="U1767" s="24" t="s">
        <v>39</v>
      </c>
      <c r="V1767" s="24" t="s">
        <v>39</v>
      </c>
      <c r="W1767" s="24" t="s">
        <v>16727</v>
      </c>
      <c r="X1767" s="24" t="s">
        <v>10177</v>
      </c>
      <c r="Y1767" s="15" t="s">
        <v>16728</v>
      </c>
      <c r="Z1767" s="15" t="s">
        <v>16729</v>
      </c>
      <c r="AA1767" s="24"/>
      <c r="AB1767" s="24"/>
      <c r="AC1767" s="24"/>
      <c r="AD1767" s="24"/>
      <c r="AE1767" s="24"/>
      <c r="AF1767" s="24"/>
      <c r="AG1767" s="24"/>
      <c r="AH1767" s="24"/>
    </row>
    <row r="1768" spans="1:34" x14ac:dyDescent="0.25">
      <c r="A1768" s="24" t="str">
        <f>HYPERLINK("https://www.cpso.on.ca/DoctorDetails/Parviz-Aboulmalek-Jamal/0026087-30910","Jamal, Parviz Aboulmalek")</f>
        <v>Jamal, Parviz Aboulmalek</v>
      </c>
      <c r="B1768" s="25" t="s">
        <v>16730</v>
      </c>
      <c r="C1768" s="24" t="s">
        <v>16731</v>
      </c>
      <c r="D1768" s="24" t="s">
        <v>16732</v>
      </c>
      <c r="E1768" s="24" t="s">
        <v>29</v>
      </c>
      <c r="F1768" s="24" t="s">
        <v>47</v>
      </c>
      <c r="G1768" s="24" t="s">
        <v>5905</v>
      </c>
      <c r="H1768" s="24" t="s">
        <v>16733</v>
      </c>
      <c r="I1768" s="24" t="s">
        <v>16734</v>
      </c>
      <c r="J1768" s="24" t="s">
        <v>16735</v>
      </c>
      <c r="K1768" s="24" t="s">
        <v>16736</v>
      </c>
      <c r="L1768" s="24" t="s">
        <v>52</v>
      </c>
      <c r="M1768" s="15"/>
      <c r="N1768" s="15"/>
      <c r="O1768" s="15"/>
      <c r="P1768" s="15" t="s">
        <v>8792</v>
      </c>
      <c r="Q1768" s="15"/>
      <c r="R1768" s="15" t="s">
        <v>16737</v>
      </c>
      <c r="S1768" s="24" t="s">
        <v>39</v>
      </c>
      <c r="T1768" s="24" t="s">
        <v>39</v>
      </c>
      <c r="U1768" s="24" t="s">
        <v>39</v>
      </c>
      <c r="V1768" s="24" t="s">
        <v>39</v>
      </c>
      <c r="W1768" s="24" t="s">
        <v>16738</v>
      </c>
      <c r="X1768" s="24" t="s">
        <v>16739</v>
      </c>
      <c r="Y1768" s="15" t="s">
        <v>16740</v>
      </c>
      <c r="Z1768" s="15" t="s">
        <v>16741</v>
      </c>
      <c r="AA1768" s="24"/>
      <c r="AB1768" s="24"/>
      <c r="AC1768" s="24"/>
      <c r="AD1768" s="24"/>
      <c r="AE1768" s="24"/>
      <c r="AF1768" s="24"/>
      <c r="AG1768" s="24"/>
      <c r="AH1768" s="24"/>
    </row>
    <row r="1769" spans="1:34" ht="75" x14ac:dyDescent="0.25">
      <c r="A1769" s="24" t="str">
        <f>HYPERLINK("https://www.cpso.on.ca/DoctorDetails/Pasquale-Montaleone/0274504-95257","Montaleone, Pasquale")</f>
        <v>Montaleone, Pasquale</v>
      </c>
      <c r="B1769" s="25" t="s">
        <v>16742</v>
      </c>
      <c r="C1769" s="24" t="s">
        <v>4294</v>
      </c>
      <c r="D1769" s="24" t="s">
        <v>967</v>
      </c>
      <c r="E1769" s="24" t="s">
        <v>29</v>
      </c>
      <c r="F1769" s="24" t="s">
        <v>30</v>
      </c>
      <c r="G1769" s="24" t="s">
        <v>31</v>
      </c>
      <c r="H1769" s="24" t="s">
        <v>5003</v>
      </c>
      <c r="I1769" s="24" t="s">
        <v>16743</v>
      </c>
      <c r="J1769" s="24" t="s">
        <v>16744</v>
      </c>
      <c r="K1769" s="24" t="s">
        <v>16745</v>
      </c>
      <c r="L1769" s="24" t="s">
        <v>65</v>
      </c>
      <c r="M1769" s="15"/>
      <c r="N1769" s="15"/>
      <c r="O1769" s="15" t="s">
        <v>16746</v>
      </c>
      <c r="P1769" s="15" t="s">
        <v>973</v>
      </c>
      <c r="Q1769" s="15" t="s">
        <v>16747</v>
      </c>
      <c r="R1769" s="15" t="s">
        <v>16748</v>
      </c>
      <c r="S1769" s="24" t="s">
        <v>39</v>
      </c>
      <c r="T1769" s="24" t="s">
        <v>39</v>
      </c>
      <c r="U1769" s="24" t="s">
        <v>39</v>
      </c>
      <c r="V1769" s="24" t="s">
        <v>39</v>
      </c>
      <c r="W1769" s="24" t="s">
        <v>16749</v>
      </c>
      <c r="X1769" s="24" t="s">
        <v>822</v>
      </c>
      <c r="Y1769" s="15" t="s">
        <v>16750</v>
      </c>
      <c r="Z1769" s="15" t="s">
        <v>16751</v>
      </c>
      <c r="AA1769" s="24"/>
      <c r="AB1769" s="24"/>
      <c r="AC1769" s="24"/>
      <c r="AD1769" s="24"/>
      <c r="AE1769" s="24"/>
      <c r="AF1769" s="24"/>
      <c r="AG1769" s="24"/>
      <c r="AH1769" s="24"/>
    </row>
    <row r="1770" spans="1:34" ht="105" x14ac:dyDescent="0.25">
      <c r="A1770" s="24" t="str">
        <f>HYPERLINK("https://www.cpso.on.ca/DoctorDetails/Patricia-Allison-Lepage/0043000-56978","Lepage, Patricia Allison")</f>
        <v>Lepage, Patricia Allison</v>
      </c>
      <c r="B1770" s="25" t="s">
        <v>16752</v>
      </c>
      <c r="C1770" s="24" t="s">
        <v>16753</v>
      </c>
      <c r="D1770" s="24" t="s">
        <v>16754</v>
      </c>
      <c r="E1770" s="24" t="s">
        <v>29</v>
      </c>
      <c r="F1770" s="24" t="s">
        <v>47</v>
      </c>
      <c r="G1770" s="24" t="s">
        <v>31</v>
      </c>
      <c r="H1770" s="24" t="s">
        <v>4039</v>
      </c>
      <c r="I1770" s="24" t="s">
        <v>16755</v>
      </c>
      <c r="J1770" s="24" t="s">
        <v>16756</v>
      </c>
      <c r="K1770" s="24" t="s">
        <v>16757</v>
      </c>
      <c r="L1770" s="24" t="s">
        <v>36</v>
      </c>
      <c r="M1770" s="15"/>
      <c r="N1770" s="15"/>
      <c r="O1770" s="15" t="s">
        <v>1760</v>
      </c>
      <c r="P1770" s="15" t="s">
        <v>6227</v>
      </c>
      <c r="Q1770" s="15" t="s">
        <v>16758</v>
      </c>
      <c r="R1770" s="15" t="s">
        <v>16759</v>
      </c>
      <c r="S1770" s="24" t="s">
        <v>39</v>
      </c>
      <c r="T1770" s="24" t="s">
        <v>39</v>
      </c>
      <c r="U1770" s="24" t="s">
        <v>39</v>
      </c>
      <c r="V1770" s="24" t="s">
        <v>39</v>
      </c>
      <c r="W1770" s="24" t="s">
        <v>16760</v>
      </c>
      <c r="X1770" s="24" t="s">
        <v>16405</v>
      </c>
      <c r="Y1770" s="15"/>
      <c r="Z1770" s="15"/>
      <c r="AA1770" s="24"/>
      <c r="AB1770" s="24"/>
      <c r="AC1770" s="24"/>
      <c r="AD1770" s="24"/>
      <c r="AE1770" s="24"/>
      <c r="AF1770" s="24"/>
      <c r="AG1770" s="24"/>
      <c r="AH1770" s="24"/>
    </row>
    <row r="1771" spans="1:34" ht="150" x14ac:dyDescent="0.25">
      <c r="A1771" s="24" t="str">
        <f>HYPERLINK("https://www.cpso.on.ca/DoctorDetails/Patricia-Anne-Colton/0116882-70322","Colton, Patricia Anne")</f>
        <v>Colton, Patricia Anne</v>
      </c>
      <c r="B1771" s="25" t="s">
        <v>16761</v>
      </c>
      <c r="C1771" s="24" t="s">
        <v>2673</v>
      </c>
      <c r="D1771" s="24" t="s">
        <v>281</v>
      </c>
      <c r="E1771" s="24" t="s">
        <v>29</v>
      </c>
      <c r="F1771" s="24" t="s">
        <v>47</v>
      </c>
      <c r="G1771" s="24" t="s">
        <v>31</v>
      </c>
      <c r="H1771" s="24" t="s">
        <v>1107</v>
      </c>
      <c r="I1771" s="24" t="s">
        <v>16762</v>
      </c>
      <c r="J1771" s="24" t="s">
        <v>16763</v>
      </c>
      <c r="K1771" s="24" t="s">
        <v>16764</v>
      </c>
      <c r="L1771" s="24" t="s">
        <v>52</v>
      </c>
      <c r="M1771" s="15" t="s">
        <v>16765</v>
      </c>
      <c r="N1771" s="15"/>
      <c r="O1771" s="15" t="s">
        <v>2920</v>
      </c>
      <c r="P1771" s="15" t="s">
        <v>288</v>
      </c>
      <c r="Q1771" s="15" t="s">
        <v>16766</v>
      </c>
      <c r="R1771" s="15" t="s">
        <v>16767</v>
      </c>
      <c r="S1771" s="24" t="s">
        <v>39</v>
      </c>
      <c r="T1771" s="24" t="s">
        <v>39</v>
      </c>
      <c r="U1771" s="24" t="s">
        <v>39</v>
      </c>
      <c r="V1771" s="24" t="s">
        <v>39</v>
      </c>
      <c r="W1771" s="24" t="s">
        <v>16768</v>
      </c>
      <c r="X1771" s="24" t="s">
        <v>16769</v>
      </c>
      <c r="Y1771" s="15" t="s">
        <v>16770</v>
      </c>
      <c r="Z1771" s="15" t="s">
        <v>16771</v>
      </c>
      <c r="AA1771" s="24"/>
      <c r="AB1771" s="24"/>
      <c r="AC1771" s="24"/>
      <c r="AD1771" s="24"/>
      <c r="AE1771" s="24"/>
      <c r="AF1771" s="24"/>
      <c r="AG1771" s="24"/>
      <c r="AH1771" s="24"/>
    </row>
    <row r="1772" spans="1:34" ht="90" x14ac:dyDescent="0.25">
      <c r="A1772" s="24" t="str">
        <f>HYPERLINK("https://www.cpso.on.ca/DoctorDetails/Patricia-Anne-Hall/0210971-80875","Hall, Patricia Anne")</f>
        <v>Hall, Patricia Anne</v>
      </c>
      <c r="B1772" s="25" t="s">
        <v>16772</v>
      </c>
      <c r="C1772" s="24" t="s">
        <v>16773</v>
      </c>
      <c r="D1772" s="24" t="s">
        <v>16774</v>
      </c>
      <c r="E1772" s="24" t="s">
        <v>29</v>
      </c>
      <c r="F1772" s="24" t="s">
        <v>47</v>
      </c>
      <c r="G1772" s="24" t="s">
        <v>31</v>
      </c>
      <c r="H1772" s="24" t="s">
        <v>908</v>
      </c>
      <c r="I1772" s="24" t="s">
        <v>16775</v>
      </c>
      <c r="J1772" s="24" t="s">
        <v>8518</v>
      </c>
      <c r="K1772" s="24" t="s">
        <v>8519</v>
      </c>
      <c r="L1772" s="24" t="s">
        <v>135</v>
      </c>
      <c r="M1772" s="15"/>
      <c r="N1772" s="15"/>
      <c r="O1772" s="15" t="s">
        <v>16776</v>
      </c>
      <c r="P1772" s="15" t="s">
        <v>16777</v>
      </c>
      <c r="Q1772" s="15" t="s">
        <v>16778</v>
      </c>
      <c r="R1772" s="15" t="s">
        <v>16779</v>
      </c>
      <c r="S1772" s="24" t="s">
        <v>39</v>
      </c>
      <c r="T1772" s="24" t="s">
        <v>39</v>
      </c>
      <c r="U1772" s="24" t="s">
        <v>39</v>
      </c>
      <c r="V1772" s="24" t="s">
        <v>39</v>
      </c>
      <c r="W1772" s="24"/>
      <c r="X1772" s="24"/>
      <c r="Y1772" s="15"/>
      <c r="Z1772" s="15"/>
      <c r="AA1772" s="24"/>
      <c r="AB1772" s="24"/>
      <c r="AC1772" s="24"/>
      <c r="AD1772" s="24"/>
      <c r="AE1772" s="24"/>
      <c r="AF1772" s="24"/>
      <c r="AG1772" s="24"/>
      <c r="AH1772" s="24"/>
    </row>
    <row r="1773" spans="1:34" ht="120" x14ac:dyDescent="0.25">
      <c r="A1773" s="24" t="str">
        <f>HYPERLINK("https://www.cpso.on.ca/DoctorDetails/Patricia-Anne-Rutherford/0169367-74693","Rutherford, Patricia Anne")</f>
        <v>Rutherford, Patricia Anne</v>
      </c>
      <c r="B1773" s="25" t="s">
        <v>16780</v>
      </c>
      <c r="C1773" s="24" t="s">
        <v>16781</v>
      </c>
      <c r="D1773" s="24" t="s">
        <v>16782</v>
      </c>
      <c r="E1773" s="24" t="s">
        <v>29</v>
      </c>
      <c r="F1773" s="24" t="s">
        <v>47</v>
      </c>
      <c r="G1773" s="24" t="s">
        <v>31</v>
      </c>
      <c r="H1773" s="24" t="s">
        <v>4067</v>
      </c>
      <c r="I1773" s="24" t="s">
        <v>16783</v>
      </c>
      <c r="J1773" s="24" t="s">
        <v>16784</v>
      </c>
      <c r="K1773" s="24" t="s">
        <v>16785</v>
      </c>
      <c r="L1773" s="24" t="s">
        <v>184</v>
      </c>
      <c r="M1773" s="15" t="s">
        <v>16786</v>
      </c>
      <c r="N1773" s="15"/>
      <c r="O1773" s="15" t="s">
        <v>16787</v>
      </c>
      <c r="P1773" s="15" t="s">
        <v>16788</v>
      </c>
      <c r="Q1773" s="15" t="s">
        <v>16789</v>
      </c>
      <c r="R1773" s="15" t="s">
        <v>16790</v>
      </c>
      <c r="S1773" s="24" t="s">
        <v>39</v>
      </c>
      <c r="T1773" s="24" t="s">
        <v>39</v>
      </c>
      <c r="U1773" s="24" t="s">
        <v>39</v>
      </c>
      <c r="V1773" s="24" t="s">
        <v>39</v>
      </c>
      <c r="W1773" s="24" t="s">
        <v>16791</v>
      </c>
      <c r="X1773" s="24" t="s">
        <v>14278</v>
      </c>
      <c r="Y1773" s="15" t="s">
        <v>16792</v>
      </c>
      <c r="Z1773" s="15" t="s">
        <v>16793</v>
      </c>
      <c r="AA1773" s="24"/>
      <c r="AB1773" s="24"/>
      <c r="AC1773" s="24"/>
      <c r="AD1773" s="24"/>
      <c r="AE1773" s="24"/>
      <c r="AF1773" s="24"/>
      <c r="AG1773" s="24"/>
      <c r="AH1773" s="24"/>
    </row>
    <row r="1774" spans="1:34" x14ac:dyDescent="0.25">
      <c r="A1774" s="24" t="str">
        <f>HYPERLINK("https://www.cpso.on.ca/DoctorDetails/Patricia-Clare-Montemuro-Nolan/0312029-109390","Nolan, Patricia Clare Montemuro")</f>
        <v>Nolan, Patricia Clare Montemuro</v>
      </c>
      <c r="B1774" s="25" t="s">
        <v>16794</v>
      </c>
      <c r="C1774" s="24" t="s">
        <v>16795</v>
      </c>
      <c r="D1774" s="24" t="s">
        <v>16796</v>
      </c>
      <c r="E1774" s="24" t="s">
        <v>29</v>
      </c>
      <c r="F1774" s="24" t="s">
        <v>47</v>
      </c>
      <c r="G1774" s="24" t="s">
        <v>31</v>
      </c>
      <c r="H1774" s="24" t="s">
        <v>968</v>
      </c>
      <c r="I1774" s="24" t="s">
        <v>2614</v>
      </c>
      <c r="J1774" s="24" t="s">
        <v>3661</v>
      </c>
      <c r="K1774" s="24"/>
      <c r="L1774" s="24" t="s">
        <v>152</v>
      </c>
      <c r="M1774" s="15"/>
      <c r="N1774" s="15"/>
      <c r="O1774" s="15" t="s">
        <v>7014</v>
      </c>
      <c r="P1774" s="15" t="s">
        <v>629</v>
      </c>
      <c r="Q1774" s="15"/>
      <c r="R1774" s="15" t="s">
        <v>16797</v>
      </c>
      <c r="S1774" s="24" t="s">
        <v>39</v>
      </c>
      <c r="T1774" s="24" t="s">
        <v>39</v>
      </c>
      <c r="U1774" s="24" t="s">
        <v>39</v>
      </c>
      <c r="V1774" s="24" t="s">
        <v>39</v>
      </c>
      <c r="W1774" s="24" t="s">
        <v>16798</v>
      </c>
      <c r="X1774" s="24" t="s">
        <v>5223</v>
      </c>
      <c r="Y1774" s="15" t="s">
        <v>16799</v>
      </c>
      <c r="Z1774" s="15" t="s">
        <v>3666</v>
      </c>
      <c r="AA1774" s="24"/>
      <c r="AB1774" s="24"/>
      <c r="AC1774" s="24"/>
      <c r="AD1774" s="24"/>
      <c r="AE1774" s="24"/>
      <c r="AF1774" s="24"/>
      <c r="AG1774" s="24"/>
      <c r="AH1774" s="24"/>
    </row>
    <row r="1775" spans="1:34" ht="105" x14ac:dyDescent="0.25">
      <c r="A1775" s="24" t="str">
        <f>HYPERLINK("https://www.cpso.on.ca/DoctorDetails/Patricia-Dianne-Cavanagh/0046685-60663","Cavanagh, Patricia Dianne")</f>
        <v>Cavanagh, Patricia Dianne</v>
      </c>
      <c r="B1775" s="25" t="s">
        <v>16800</v>
      </c>
      <c r="C1775" s="24" t="s">
        <v>4126</v>
      </c>
      <c r="D1775" s="24" t="s">
        <v>16801</v>
      </c>
      <c r="E1775" s="24" t="s">
        <v>29</v>
      </c>
      <c r="F1775" s="24" t="s">
        <v>47</v>
      </c>
      <c r="G1775" s="24" t="s">
        <v>31</v>
      </c>
      <c r="H1775" s="24" t="s">
        <v>767</v>
      </c>
      <c r="I1775" s="24" t="s">
        <v>16802</v>
      </c>
      <c r="J1775" s="24" t="s">
        <v>16803</v>
      </c>
      <c r="K1775" s="24" t="s">
        <v>11365</v>
      </c>
      <c r="L1775" s="24" t="s">
        <v>52</v>
      </c>
      <c r="M1775" s="15"/>
      <c r="N1775" s="15"/>
      <c r="O1775" s="15" t="s">
        <v>16804</v>
      </c>
      <c r="P1775" s="15" t="s">
        <v>3954</v>
      </c>
      <c r="Q1775" s="15" t="s">
        <v>16805</v>
      </c>
      <c r="R1775" s="15" t="s">
        <v>16806</v>
      </c>
      <c r="S1775" s="24" t="s">
        <v>39</v>
      </c>
      <c r="T1775" s="24" t="s">
        <v>39</v>
      </c>
      <c r="U1775" s="24" t="s">
        <v>39</v>
      </c>
      <c r="V1775" s="24" t="s">
        <v>39</v>
      </c>
      <c r="W1775" s="24" t="s">
        <v>16807</v>
      </c>
      <c r="X1775" s="24" t="s">
        <v>16808</v>
      </c>
      <c r="Y1775" s="15" t="s">
        <v>16809</v>
      </c>
      <c r="Z1775" s="15" t="s">
        <v>16810</v>
      </c>
      <c r="AA1775" s="24"/>
      <c r="AB1775" s="24"/>
      <c r="AC1775" s="24"/>
      <c r="AD1775" s="24"/>
      <c r="AE1775" s="24"/>
      <c r="AF1775" s="24"/>
      <c r="AG1775" s="24"/>
      <c r="AH1775" s="24"/>
    </row>
    <row r="1776" spans="1:34" ht="75" x14ac:dyDescent="0.25">
      <c r="A1776" s="24" t="str">
        <f>HYPERLINK("https://www.cpso.on.ca/DoctorDetails/Patricia-Irene-Rosebush/0039608-53584","Rosebush, Patricia Irene")</f>
        <v>Rosebush, Patricia Irene</v>
      </c>
      <c r="B1776" s="25" t="s">
        <v>16811</v>
      </c>
      <c r="C1776" s="24" t="s">
        <v>16812</v>
      </c>
      <c r="D1776" s="24" t="s">
        <v>16813</v>
      </c>
      <c r="E1776" s="24" t="s">
        <v>29</v>
      </c>
      <c r="F1776" s="24" t="s">
        <v>47</v>
      </c>
      <c r="G1776" s="24" t="s">
        <v>31</v>
      </c>
      <c r="H1776" s="24" t="s">
        <v>2805</v>
      </c>
      <c r="I1776" s="24" t="s">
        <v>16814</v>
      </c>
      <c r="J1776" s="24" t="s">
        <v>16815</v>
      </c>
      <c r="K1776" s="24" t="s">
        <v>16816</v>
      </c>
      <c r="L1776" s="24" t="s">
        <v>184</v>
      </c>
      <c r="M1776" s="15" t="s">
        <v>16817</v>
      </c>
      <c r="N1776" s="15"/>
      <c r="O1776" s="15" t="s">
        <v>4002</v>
      </c>
      <c r="P1776" s="15" t="s">
        <v>5827</v>
      </c>
      <c r="Q1776" s="15"/>
      <c r="R1776" s="15" t="s">
        <v>16818</v>
      </c>
      <c r="S1776" s="24" t="s">
        <v>39</v>
      </c>
      <c r="T1776" s="24" t="s">
        <v>39</v>
      </c>
      <c r="U1776" s="24" t="s">
        <v>39</v>
      </c>
      <c r="V1776" s="24" t="s">
        <v>39</v>
      </c>
      <c r="W1776" s="24" t="s">
        <v>16819</v>
      </c>
      <c r="X1776" s="24" t="s">
        <v>16820</v>
      </c>
      <c r="Y1776" s="15" t="s">
        <v>16821</v>
      </c>
      <c r="Z1776" s="15" t="s">
        <v>16822</v>
      </c>
      <c r="AA1776" s="24"/>
      <c r="AB1776" s="24"/>
      <c r="AC1776" s="24"/>
      <c r="AD1776" s="24"/>
      <c r="AE1776" s="24"/>
      <c r="AF1776" s="24"/>
      <c r="AG1776" s="24"/>
      <c r="AH1776" s="24"/>
    </row>
    <row r="1777" spans="1:34" ht="105" x14ac:dyDescent="0.25">
      <c r="A1777" s="24" t="str">
        <f>HYPERLINK("https://www.cpso.on.ca/DoctorDetails/Patricia-Karen-Wiebe/0139956-71358","Wiebe, Patricia Karen")</f>
        <v>Wiebe, Patricia Karen</v>
      </c>
      <c r="B1777" s="25" t="s">
        <v>16823</v>
      </c>
      <c r="C1777" s="24" t="s">
        <v>16824</v>
      </c>
      <c r="D1777" s="24" t="s">
        <v>16825</v>
      </c>
      <c r="E1777" s="24" t="s">
        <v>29</v>
      </c>
      <c r="F1777" s="24" t="s">
        <v>47</v>
      </c>
      <c r="G1777" s="24" t="s">
        <v>31</v>
      </c>
      <c r="H1777" s="24" t="s">
        <v>1864</v>
      </c>
      <c r="I1777" s="24" t="s">
        <v>16826</v>
      </c>
      <c r="J1777" s="24" t="s">
        <v>16827</v>
      </c>
      <c r="K1777" s="24"/>
      <c r="L1777" s="24" t="s">
        <v>84</v>
      </c>
      <c r="M1777" s="15"/>
      <c r="N1777" s="15"/>
      <c r="O1777" s="15"/>
      <c r="P1777" s="15" t="s">
        <v>1868</v>
      </c>
      <c r="Q1777" s="15" t="s">
        <v>16828</v>
      </c>
      <c r="R1777" s="15" t="s">
        <v>16829</v>
      </c>
      <c r="S1777" s="24" t="s">
        <v>39</v>
      </c>
      <c r="T1777" s="24" t="s">
        <v>39</v>
      </c>
      <c r="U1777" s="24" t="s">
        <v>39</v>
      </c>
      <c r="V1777" s="24" t="s">
        <v>39</v>
      </c>
      <c r="W1777" s="24"/>
      <c r="X1777" s="24"/>
      <c r="Y1777" s="15"/>
      <c r="Z1777" s="15"/>
      <c r="AA1777" s="24"/>
      <c r="AB1777" s="24"/>
      <c r="AC1777" s="24"/>
      <c r="AD1777" s="24"/>
      <c r="AE1777" s="24"/>
      <c r="AF1777" s="24"/>
      <c r="AG1777" s="24"/>
      <c r="AH1777" s="24"/>
    </row>
    <row r="1778" spans="1:34" ht="90" x14ac:dyDescent="0.25">
      <c r="A1778" s="24" t="str">
        <f>HYPERLINK("https://www.cpso.on.ca/DoctorDetails/Patricia-Marie-Murphy/0037164-51140","Murphy, Patricia Marie")</f>
        <v>Murphy, Patricia Marie</v>
      </c>
      <c r="B1778" s="25" t="s">
        <v>16830</v>
      </c>
      <c r="C1778" s="24" t="s">
        <v>16831</v>
      </c>
      <c r="D1778" s="24" t="s">
        <v>16832</v>
      </c>
      <c r="E1778" s="24" t="s">
        <v>29</v>
      </c>
      <c r="F1778" s="24" t="s">
        <v>47</v>
      </c>
      <c r="G1778" s="24" t="s">
        <v>31</v>
      </c>
      <c r="H1778" s="24" t="s">
        <v>755</v>
      </c>
      <c r="I1778" s="24" t="s">
        <v>16833</v>
      </c>
      <c r="J1778" s="24" t="s">
        <v>16834</v>
      </c>
      <c r="K1778" s="24" t="s">
        <v>16835</v>
      </c>
      <c r="L1778" s="24" t="s">
        <v>184</v>
      </c>
      <c r="M1778" s="15" t="s">
        <v>16836</v>
      </c>
      <c r="N1778" s="15"/>
      <c r="O1778" s="15" t="s">
        <v>1135</v>
      </c>
      <c r="P1778" s="15" t="s">
        <v>4108</v>
      </c>
      <c r="Q1778" s="15" t="s">
        <v>16837</v>
      </c>
      <c r="R1778" s="15" t="s">
        <v>16838</v>
      </c>
      <c r="S1778" s="24" t="s">
        <v>39</v>
      </c>
      <c r="T1778" s="24" t="s">
        <v>39</v>
      </c>
      <c r="U1778" s="24" t="s">
        <v>39</v>
      </c>
      <c r="V1778" s="24" t="s">
        <v>39</v>
      </c>
      <c r="W1778" s="24"/>
      <c r="X1778" s="24"/>
      <c r="Y1778" s="15"/>
      <c r="Z1778" s="15"/>
      <c r="AA1778" s="24"/>
      <c r="AB1778" s="24"/>
      <c r="AC1778" s="24"/>
      <c r="AD1778" s="24"/>
      <c r="AE1778" s="24"/>
      <c r="AF1778" s="24"/>
      <c r="AG1778" s="24"/>
      <c r="AH1778" s="24"/>
    </row>
    <row r="1779" spans="1:34" ht="30" x14ac:dyDescent="0.25">
      <c r="A1779" s="24" t="str">
        <f>HYPERLINK("https://www.cpso.on.ca/DoctorDetails/Patricia-Mary-Achiume/0016243-21028","Achiume, Patricia Mary")</f>
        <v>Achiume, Patricia Mary</v>
      </c>
      <c r="B1779" s="25" t="s">
        <v>16839</v>
      </c>
      <c r="C1779" s="24" t="s">
        <v>16840</v>
      </c>
      <c r="D1779" s="24" t="s">
        <v>16841</v>
      </c>
      <c r="E1779" s="24" t="s">
        <v>29</v>
      </c>
      <c r="F1779" s="24" t="s">
        <v>47</v>
      </c>
      <c r="G1779" s="24" t="s">
        <v>31</v>
      </c>
      <c r="H1779" s="24" t="s">
        <v>6989</v>
      </c>
      <c r="I1779" s="24" t="s">
        <v>16842</v>
      </c>
      <c r="J1779" s="24" t="s">
        <v>16843</v>
      </c>
      <c r="K1779" s="24" t="s">
        <v>16844</v>
      </c>
      <c r="L1779" s="24" t="s">
        <v>328</v>
      </c>
      <c r="M1779" s="15" t="s">
        <v>16845</v>
      </c>
      <c r="N1779" s="15"/>
      <c r="O1779" s="15" t="s">
        <v>329</v>
      </c>
      <c r="P1779" s="15" t="s">
        <v>2864</v>
      </c>
      <c r="Q1779" s="15"/>
      <c r="R1779" s="15" t="s">
        <v>16846</v>
      </c>
      <c r="S1779" s="24" t="s">
        <v>39</v>
      </c>
      <c r="T1779" s="24" t="s">
        <v>39</v>
      </c>
      <c r="U1779" s="24" t="s">
        <v>39</v>
      </c>
      <c r="V1779" s="24" t="s">
        <v>39</v>
      </c>
      <c r="W1779" s="24"/>
      <c r="X1779" s="24"/>
      <c r="Y1779" s="15"/>
      <c r="Z1779" s="15"/>
      <c r="AA1779" s="24"/>
      <c r="AB1779" s="24"/>
      <c r="AC1779" s="24"/>
      <c r="AD1779" s="24"/>
      <c r="AE1779" s="24"/>
      <c r="AF1779" s="24"/>
      <c r="AG1779" s="24"/>
      <c r="AH1779" s="24"/>
    </row>
    <row r="1780" spans="1:34" ht="75" x14ac:dyDescent="0.25">
      <c r="A1780" s="24" t="str">
        <f>HYPERLINK("https://www.cpso.on.ca/DoctorDetails/Patrick-Che-Ching-Lo/0250013-88618","Lo, Patrick Che Ching")</f>
        <v>Lo, Patrick Che Ching</v>
      </c>
      <c r="B1780" s="25" t="s">
        <v>16847</v>
      </c>
      <c r="C1780" s="24" t="s">
        <v>1266</v>
      </c>
      <c r="D1780" s="24" t="s">
        <v>600</v>
      </c>
      <c r="E1780" s="24" t="s">
        <v>29</v>
      </c>
      <c r="F1780" s="24" t="s">
        <v>30</v>
      </c>
      <c r="G1780" s="24" t="s">
        <v>1392</v>
      </c>
      <c r="H1780" s="24" t="s">
        <v>2356</v>
      </c>
      <c r="I1780" s="24" t="s">
        <v>16848</v>
      </c>
      <c r="J1780" s="24" t="s">
        <v>8690</v>
      </c>
      <c r="K1780" s="24"/>
      <c r="L1780" s="24" t="s">
        <v>36</v>
      </c>
      <c r="M1780" s="15" t="s">
        <v>16849</v>
      </c>
      <c r="N1780" s="15"/>
      <c r="O1780" s="15" t="s">
        <v>3590</v>
      </c>
      <c r="P1780" s="15" t="s">
        <v>272</v>
      </c>
      <c r="Q1780" s="15" t="s">
        <v>273</v>
      </c>
      <c r="R1780" s="15" t="s">
        <v>16850</v>
      </c>
      <c r="S1780" s="24" t="s">
        <v>39</v>
      </c>
      <c r="T1780" s="24" t="s">
        <v>39</v>
      </c>
      <c r="U1780" s="24" t="s">
        <v>39</v>
      </c>
      <c r="V1780" s="24" t="s">
        <v>39</v>
      </c>
      <c r="W1780" s="24" t="s">
        <v>16851</v>
      </c>
      <c r="X1780" s="24" t="s">
        <v>16852</v>
      </c>
      <c r="Y1780" s="15" t="s">
        <v>16853</v>
      </c>
      <c r="Z1780" s="15" t="s">
        <v>16854</v>
      </c>
      <c r="AA1780" s="24"/>
      <c r="AB1780" s="24"/>
      <c r="AC1780" s="24"/>
      <c r="AD1780" s="24"/>
      <c r="AE1780" s="24"/>
      <c r="AF1780" s="24"/>
      <c r="AG1780" s="24"/>
      <c r="AH1780" s="24"/>
    </row>
    <row r="1781" spans="1:34" ht="75" x14ac:dyDescent="0.25">
      <c r="A1781" s="24" t="str">
        <f>HYPERLINK("https://www.cpso.on.ca/DoctorDetails/Patrick-St-John-Conlon/0036277-50253","Conlon, Patrick St John")</f>
        <v>Conlon, Patrick St John</v>
      </c>
      <c r="B1781" s="25" t="s">
        <v>16855</v>
      </c>
      <c r="C1781" s="24" t="s">
        <v>3417</v>
      </c>
      <c r="D1781" s="24" t="s">
        <v>16856</v>
      </c>
      <c r="E1781" s="24" t="s">
        <v>29</v>
      </c>
      <c r="F1781" s="24" t="s">
        <v>30</v>
      </c>
      <c r="G1781" s="24" t="s">
        <v>31</v>
      </c>
      <c r="H1781" s="24" t="s">
        <v>9687</v>
      </c>
      <c r="I1781" s="24" t="s">
        <v>16857</v>
      </c>
      <c r="J1781" s="24" t="s">
        <v>16858</v>
      </c>
      <c r="K1781" s="24" t="s">
        <v>16859</v>
      </c>
      <c r="L1781" s="24" t="s">
        <v>135</v>
      </c>
      <c r="M1781" s="15" t="s">
        <v>16860</v>
      </c>
      <c r="N1781" s="15"/>
      <c r="O1781" s="15" t="s">
        <v>16861</v>
      </c>
      <c r="P1781" s="15" t="s">
        <v>5839</v>
      </c>
      <c r="Q1781" s="15"/>
      <c r="R1781" s="15" t="s">
        <v>16862</v>
      </c>
      <c r="S1781" s="24" t="s">
        <v>39</v>
      </c>
      <c r="T1781" s="24" t="s">
        <v>39</v>
      </c>
      <c r="U1781" s="24" t="s">
        <v>39</v>
      </c>
      <c r="V1781" s="24" t="s">
        <v>39</v>
      </c>
      <c r="W1781" s="24" t="s">
        <v>16863</v>
      </c>
      <c r="X1781" s="24" t="s">
        <v>16864</v>
      </c>
      <c r="Y1781" s="15" t="s">
        <v>16865</v>
      </c>
      <c r="Z1781" s="15" t="s">
        <v>16866</v>
      </c>
      <c r="AA1781" s="24"/>
      <c r="AB1781" s="24"/>
      <c r="AC1781" s="24"/>
      <c r="AD1781" s="24"/>
      <c r="AE1781" s="24"/>
      <c r="AF1781" s="24"/>
      <c r="AG1781" s="24"/>
      <c r="AH1781" s="24"/>
    </row>
    <row r="1782" spans="1:34" ht="60" x14ac:dyDescent="0.25">
      <c r="A1782" s="24" t="str">
        <f>HYPERLINK("https://www.cpso.on.ca/DoctorDetails/Patrizia-Cavazzoni/0044465-58443","Cavazzoni, Patrizia")</f>
        <v>Cavazzoni, Patrizia</v>
      </c>
      <c r="B1782" s="25" t="s">
        <v>16867</v>
      </c>
      <c r="C1782" s="24" t="s">
        <v>16868</v>
      </c>
      <c r="D1782" s="24" t="s">
        <v>16869</v>
      </c>
      <c r="E1782" s="24" t="s">
        <v>29</v>
      </c>
      <c r="F1782" s="24" t="s">
        <v>47</v>
      </c>
      <c r="G1782" s="24" t="s">
        <v>706</v>
      </c>
      <c r="H1782" s="24" t="s">
        <v>4679</v>
      </c>
      <c r="I1782" s="24" t="s">
        <v>16870</v>
      </c>
      <c r="J1782" s="24" t="s">
        <v>16871</v>
      </c>
      <c r="K1782" s="24"/>
      <c r="L1782" s="24"/>
      <c r="M1782" s="15"/>
      <c r="N1782" s="15"/>
      <c r="O1782" s="15"/>
      <c r="P1782" s="15" t="s">
        <v>11675</v>
      </c>
      <c r="Q1782" s="15" t="s">
        <v>16872</v>
      </c>
      <c r="R1782" s="15" t="s">
        <v>16873</v>
      </c>
      <c r="S1782" s="24" t="s">
        <v>39</v>
      </c>
      <c r="T1782" s="24" t="s">
        <v>39</v>
      </c>
      <c r="U1782" s="24" t="s">
        <v>39</v>
      </c>
      <c r="V1782" s="24" t="s">
        <v>39</v>
      </c>
      <c r="W1782" s="24"/>
      <c r="X1782" s="24"/>
      <c r="Y1782" s="15"/>
      <c r="Z1782" s="15"/>
      <c r="AA1782" s="24"/>
      <c r="AB1782" s="24"/>
      <c r="AC1782" s="24"/>
      <c r="AD1782" s="24"/>
      <c r="AE1782" s="24"/>
      <c r="AF1782" s="24"/>
      <c r="AG1782" s="24"/>
      <c r="AH1782" s="24"/>
    </row>
    <row r="1783" spans="1:34" ht="120" x14ac:dyDescent="0.25">
      <c r="A1783" s="24" t="str">
        <f>HYPERLINK("https://www.cpso.on.ca/DoctorDetails/Paul-Andrew-Kurdyak/0139747-71392","Kurdyak, Paul Andrew")</f>
        <v>Kurdyak, Paul Andrew</v>
      </c>
      <c r="B1783" s="25" t="s">
        <v>16874</v>
      </c>
      <c r="C1783" s="24" t="s">
        <v>1390</v>
      </c>
      <c r="D1783" s="24" t="s">
        <v>1323</v>
      </c>
      <c r="E1783" s="24" t="s">
        <v>29</v>
      </c>
      <c r="F1783" s="24" t="s">
        <v>30</v>
      </c>
      <c r="G1783" s="24" t="s">
        <v>31</v>
      </c>
      <c r="H1783" s="24" t="s">
        <v>1864</v>
      </c>
      <c r="I1783" s="24" t="s">
        <v>16875</v>
      </c>
      <c r="J1783" s="24" t="s">
        <v>16876</v>
      </c>
      <c r="K1783" s="24" t="s">
        <v>16877</v>
      </c>
      <c r="L1783" s="24" t="s">
        <v>52</v>
      </c>
      <c r="M1783" s="15"/>
      <c r="N1783" s="15"/>
      <c r="O1783" s="15" t="s">
        <v>793</v>
      </c>
      <c r="P1783" s="15" t="s">
        <v>1330</v>
      </c>
      <c r="Q1783" s="15" t="s">
        <v>16878</v>
      </c>
      <c r="R1783" s="15" t="s">
        <v>16879</v>
      </c>
      <c r="S1783" s="24" t="s">
        <v>39</v>
      </c>
      <c r="T1783" s="24" t="s">
        <v>39</v>
      </c>
      <c r="U1783" s="24" t="s">
        <v>39</v>
      </c>
      <c r="V1783" s="24" t="s">
        <v>39</v>
      </c>
      <c r="W1783" s="24" t="s">
        <v>16768</v>
      </c>
      <c r="X1783" s="24" t="s">
        <v>16769</v>
      </c>
      <c r="Y1783" s="15" t="s">
        <v>16770</v>
      </c>
      <c r="Z1783" s="15" t="s">
        <v>16771</v>
      </c>
      <c r="AA1783" s="24"/>
      <c r="AB1783" s="24"/>
      <c r="AC1783" s="24"/>
      <c r="AD1783" s="24"/>
      <c r="AE1783" s="24"/>
      <c r="AF1783" s="24"/>
      <c r="AG1783" s="24"/>
      <c r="AH1783" s="24"/>
    </row>
    <row r="1784" spans="1:34" ht="90" x14ac:dyDescent="0.25">
      <c r="A1784" s="24" t="str">
        <f>HYPERLINK("https://www.cpso.on.ca/DoctorDetails/Paul-Andrew-Sedge/0150107-72571","Sedge, Paul Andrew")</f>
        <v>Sedge, Paul Andrew</v>
      </c>
      <c r="B1784" s="25" t="s">
        <v>16880</v>
      </c>
      <c r="C1784" s="24" t="s">
        <v>954</v>
      </c>
      <c r="D1784" s="24" t="s">
        <v>16881</v>
      </c>
      <c r="E1784" s="24" t="s">
        <v>29</v>
      </c>
      <c r="F1784" s="24" t="s">
        <v>30</v>
      </c>
      <c r="G1784" s="24" t="s">
        <v>31</v>
      </c>
      <c r="H1784" s="24" t="s">
        <v>8165</v>
      </c>
      <c r="I1784" s="24" t="s">
        <v>16882</v>
      </c>
      <c r="J1784" s="24" t="s">
        <v>11832</v>
      </c>
      <c r="K1784" s="24"/>
      <c r="L1784" s="24" t="s">
        <v>340</v>
      </c>
      <c r="M1784" s="15" t="s">
        <v>16883</v>
      </c>
      <c r="N1784" s="15"/>
      <c r="O1784" s="15" t="s">
        <v>3338</v>
      </c>
      <c r="P1784" s="15" t="s">
        <v>55</v>
      </c>
      <c r="Q1784" s="15" t="s">
        <v>16884</v>
      </c>
      <c r="R1784" s="15" t="s">
        <v>16885</v>
      </c>
      <c r="S1784" s="24" t="s">
        <v>39</v>
      </c>
      <c r="T1784" s="24" t="s">
        <v>39</v>
      </c>
      <c r="U1784" s="24" t="s">
        <v>39</v>
      </c>
      <c r="V1784" s="24" t="s">
        <v>39</v>
      </c>
      <c r="W1784" s="24" t="s">
        <v>16886</v>
      </c>
      <c r="X1784" s="24" t="s">
        <v>16887</v>
      </c>
      <c r="Y1784" s="15" t="s">
        <v>16888</v>
      </c>
      <c r="Z1784" s="15" t="s">
        <v>16889</v>
      </c>
      <c r="AA1784" s="24"/>
      <c r="AB1784" s="24"/>
      <c r="AC1784" s="24"/>
      <c r="AD1784" s="24"/>
      <c r="AE1784" s="24"/>
      <c r="AF1784" s="24"/>
      <c r="AG1784" s="24"/>
      <c r="AH1784" s="24"/>
    </row>
    <row r="1785" spans="1:34" x14ac:dyDescent="0.25">
      <c r="A1785" s="24" t="str">
        <f>HYPERLINK("https://www.cpso.on.ca/DoctorDetails/Paul-Bernard-Druckman/0014483-19266","Druckman, Paul Bernard")</f>
        <v>Druckman, Paul Bernard</v>
      </c>
      <c r="B1785" s="25" t="s">
        <v>16890</v>
      </c>
      <c r="C1785" s="24" t="s">
        <v>16891</v>
      </c>
      <c r="D1785" s="24" t="s">
        <v>16892</v>
      </c>
      <c r="E1785" s="24" t="s">
        <v>29</v>
      </c>
      <c r="F1785" s="24" t="s">
        <v>30</v>
      </c>
      <c r="G1785" s="24" t="s">
        <v>31</v>
      </c>
      <c r="H1785" s="24" t="s">
        <v>4648</v>
      </c>
      <c r="I1785" s="24" t="s">
        <v>16893</v>
      </c>
      <c r="J1785" s="24" t="s">
        <v>16894</v>
      </c>
      <c r="K1785" s="24" t="s">
        <v>16895</v>
      </c>
      <c r="L1785" s="24" t="s">
        <v>52</v>
      </c>
      <c r="M1785" s="15"/>
      <c r="N1785" s="15"/>
      <c r="O1785" s="15"/>
      <c r="P1785" s="15" t="s">
        <v>16896</v>
      </c>
      <c r="Q1785" s="15"/>
      <c r="R1785" s="15" t="s">
        <v>16897</v>
      </c>
      <c r="S1785" s="24" t="s">
        <v>39</v>
      </c>
      <c r="T1785" s="24" t="s">
        <v>39</v>
      </c>
      <c r="U1785" s="24" t="s">
        <v>39</v>
      </c>
      <c r="V1785" s="24" t="s">
        <v>39</v>
      </c>
      <c r="W1785" s="24"/>
      <c r="X1785" s="24"/>
      <c r="Y1785" s="15"/>
      <c r="Z1785" s="15"/>
      <c r="AA1785" s="24"/>
      <c r="AB1785" s="24"/>
      <c r="AC1785" s="24"/>
      <c r="AD1785" s="24"/>
      <c r="AE1785" s="24"/>
      <c r="AF1785" s="24"/>
      <c r="AG1785" s="24"/>
      <c r="AH1785" s="24"/>
    </row>
    <row r="1786" spans="1:34" x14ac:dyDescent="0.25">
      <c r="A1786" s="24" t="str">
        <f>HYPERLINK("https://www.cpso.on.ca/DoctorDetails/Paul-Charles-Wadden/0039569-53545","Wadden, Paul Charles")</f>
        <v>Wadden, Paul Charles</v>
      </c>
      <c r="B1786" s="25" t="s">
        <v>16898</v>
      </c>
      <c r="C1786" s="24" t="s">
        <v>16899</v>
      </c>
      <c r="D1786" s="24" t="s">
        <v>16900</v>
      </c>
      <c r="E1786" s="24" t="s">
        <v>29</v>
      </c>
      <c r="F1786" s="24" t="s">
        <v>30</v>
      </c>
      <c r="G1786" s="24" t="s">
        <v>31</v>
      </c>
      <c r="H1786" s="24" t="s">
        <v>13903</v>
      </c>
      <c r="I1786" s="24" t="s">
        <v>16901</v>
      </c>
      <c r="J1786" s="24" t="s">
        <v>16902</v>
      </c>
      <c r="K1786" s="24" t="s">
        <v>16903</v>
      </c>
      <c r="L1786" s="24" t="s">
        <v>135</v>
      </c>
      <c r="M1786" s="15"/>
      <c r="N1786" s="15"/>
      <c r="O1786" s="15"/>
      <c r="P1786" s="15" t="s">
        <v>2137</v>
      </c>
      <c r="Q1786" s="15"/>
      <c r="R1786" s="15" t="s">
        <v>16904</v>
      </c>
      <c r="S1786" s="24" t="s">
        <v>39</v>
      </c>
      <c r="T1786" s="24" t="s">
        <v>39</v>
      </c>
      <c r="U1786" s="24" t="s">
        <v>39</v>
      </c>
      <c r="V1786" s="24" t="s">
        <v>39</v>
      </c>
      <c r="W1786" s="24"/>
      <c r="X1786" s="24"/>
      <c r="Y1786" s="15"/>
      <c r="Z1786" s="15"/>
      <c r="AA1786" s="24"/>
      <c r="AB1786" s="24"/>
      <c r="AC1786" s="24"/>
      <c r="AD1786" s="24"/>
      <c r="AE1786" s="24"/>
      <c r="AF1786" s="24"/>
      <c r="AG1786" s="24"/>
      <c r="AH1786" s="24"/>
    </row>
    <row r="1787" spans="1:34" ht="30" x14ac:dyDescent="0.25">
      <c r="A1787" s="24" t="str">
        <f>HYPERLINK("https://www.cpso.on.ca/DoctorDetails/Paul-Damien-Roy/0050319-64298","Roy, Paul Damien")</f>
        <v>Roy, Paul Damien</v>
      </c>
      <c r="B1787" s="25" t="s">
        <v>16905</v>
      </c>
      <c r="C1787" s="24" t="s">
        <v>16906</v>
      </c>
      <c r="D1787" s="24" t="s">
        <v>162</v>
      </c>
      <c r="E1787" s="24" t="s">
        <v>29</v>
      </c>
      <c r="F1787" s="24" t="s">
        <v>30</v>
      </c>
      <c r="G1787" s="24" t="s">
        <v>813</v>
      </c>
      <c r="H1787" s="24" t="s">
        <v>16074</v>
      </c>
      <c r="I1787" s="24" t="s">
        <v>16907</v>
      </c>
      <c r="J1787" s="24" t="s">
        <v>16908</v>
      </c>
      <c r="K1787" s="24"/>
      <c r="L1787" s="24" t="s">
        <v>84</v>
      </c>
      <c r="M1787" s="15" t="s">
        <v>16909</v>
      </c>
      <c r="N1787" s="15"/>
      <c r="O1787" s="15"/>
      <c r="P1787" s="15" t="s">
        <v>3353</v>
      </c>
      <c r="Q1787" s="15" t="s">
        <v>773</v>
      </c>
      <c r="R1787" s="15" t="s">
        <v>16910</v>
      </c>
      <c r="S1787" s="24" t="s">
        <v>39</v>
      </c>
      <c r="T1787" s="24" t="s">
        <v>39</v>
      </c>
      <c r="U1787" s="24" t="s">
        <v>39</v>
      </c>
      <c r="V1787" s="24" t="s">
        <v>39</v>
      </c>
      <c r="W1787" s="24" t="s">
        <v>16911</v>
      </c>
      <c r="X1787" s="24" t="s">
        <v>16912</v>
      </c>
      <c r="Y1787" s="15" t="s">
        <v>16913</v>
      </c>
      <c r="Z1787" s="15" t="s">
        <v>16914</v>
      </c>
      <c r="AA1787" s="24"/>
      <c r="AB1787" s="24"/>
      <c r="AC1787" s="24"/>
      <c r="AD1787" s="24"/>
      <c r="AE1787" s="24"/>
      <c r="AF1787" s="24"/>
      <c r="AG1787" s="24"/>
      <c r="AH1787" s="24"/>
    </row>
    <row r="1788" spans="1:34" ht="30" x14ac:dyDescent="0.25">
      <c r="A1788" s="24" t="str">
        <f>HYPERLINK("https://www.cpso.on.ca/DoctorDetails/Paul-Earl-Garfinkel/0017924-22710","Garfinkel, Paul Earl")</f>
        <v>Garfinkel, Paul Earl</v>
      </c>
      <c r="B1788" s="25" t="s">
        <v>16915</v>
      </c>
      <c r="C1788" s="24" t="s">
        <v>16916</v>
      </c>
      <c r="D1788" s="24" t="s">
        <v>16917</v>
      </c>
      <c r="E1788" s="24" t="s">
        <v>29</v>
      </c>
      <c r="F1788" s="24" t="s">
        <v>30</v>
      </c>
      <c r="G1788" s="24" t="s">
        <v>31</v>
      </c>
      <c r="H1788" s="24" t="s">
        <v>16918</v>
      </c>
      <c r="I1788" s="24" t="s">
        <v>16919</v>
      </c>
      <c r="J1788" s="24" t="s">
        <v>16920</v>
      </c>
      <c r="K1788" s="24" t="s">
        <v>1219</v>
      </c>
      <c r="L1788" s="24" t="s">
        <v>52</v>
      </c>
      <c r="M1788" s="15"/>
      <c r="N1788" s="15"/>
      <c r="O1788" s="15" t="s">
        <v>793</v>
      </c>
      <c r="P1788" s="15" t="s">
        <v>2400</v>
      </c>
      <c r="Q1788" s="15"/>
      <c r="R1788" s="15" t="s">
        <v>16921</v>
      </c>
      <c r="S1788" s="24" t="s">
        <v>39</v>
      </c>
      <c r="T1788" s="24" t="s">
        <v>39</v>
      </c>
      <c r="U1788" s="24" t="s">
        <v>39</v>
      </c>
      <c r="V1788" s="24" t="s">
        <v>39</v>
      </c>
      <c r="W1788" s="24" t="s">
        <v>2841</v>
      </c>
      <c r="X1788" s="24" t="s">
        <v>2842</v>
      </c>
      <c r="Y1788" s="15" t="s">
        <v>2843</v>
      </c>
      <c r="Z1788" s="15" t="s">
        <v>2844</v>
      </c>
      <c r="AA1788" s="24"/>
      <c r="AB1788" s="24"/>
      <c r="AC1788" s="24"/>
      <c r="AD1788" s="24"/>
      <c r="AE1788" s="24"/>
      <c r="AF1788" s="24"/>
      <c r="AG1788" s="24"/>
      <c r="AH1788" s="24"/>
    </row>
    <row r="1789" spans="1:34" ht="75" x14ac:dyDescent="0.25">
      <c r="A1789" s="24" t="str">
        <f>HYPERLINK("https://www.cpso.on.ca/DoctorDetails/Paul-Erik-Westlind/0116711-70065","Westlind, Paul Erik")</f>
        <v>Westlind, Paul Erik</v>
      </c>
      <c r="B1789" s="25" t="s">
        <v>16922</v>
      </c>
      <c r="C1789" s="24" t="s">
        <v>16923</v>
      </c>
      <c r="D1789" s="24" t="s">
        <v>16924</v>
      </c>
      <c r="E1789" s="24" t="s">
        <v>29</v>
      </c>
      <c r="F1789" s="24" t="s">
        <v>30</v>
      </c>
      <c r="G1789" s="24" t="s">
        <v>31</v>
      </c>
      <c r="H1789" s="24" t="s">
        <v>9666</v>
      </c>
      <c r="I1789" s="24" t="s">
        <v>16925</v>
      </c>
      <c r="J1789" s="24" t="s">
        <v>16926</v>
      </c>
      <c r="K1789" s="24" t="s">
        <v>1200</v>
      </c>
      <c r="L1789" s="24" t="s">
        <v>52</v>
      </c>
      <c r="M1789" s="15"/>
      <c r="N1789" s="15"/>
      <c r="O1789" s="15" t="s">
        <v>3056</v>
      </c>
      <c r="P1789" s="15" t="s">
        <v>16235</v>
      </c>
      <c r="Q1789" s="15" t="s">
        <v>1112</v>
      </c>
      <c r="R1789" s="15" t="s">
        <v>16927</v>
      </c>
      <c r="S1789" s="24" t="s">
        <v>39</v>
      </c>
      <c r="T1789" s="24" t="s">
        <v>39</v>
      </c>
      <c r="U1789" s="24" t="s">
        <v>39</v>
      </c>
      <c r="V1789" s="24" t="s">
        <v>39</v>
      </c>
      <c r="W1789" s="24"/>
      <c r="X1789" s="24"/>
      <c r="Y1789" s="15"/>
      <c r="Z1789" s="15"/>
      <c r="AA1789" s="24"/>
      <c r="AB1789" s="24"/>
      <c r="AC1789" s="24"/>
      <c r="AD1789" s="24"/>
      <c r="AE1789" s="24"/>
      <c r="AF1789" s="24"/>
      <c r="AG1789" s="24"/>
      <c r="AH1789" s="24"/>
    </row>
    <row r="1790" spans="1:34" ht="75" x14ac:dyDescent="0.25">
      <c r="A1790" s="24" t="str">
        <f>HYPERLINK("https://www.cpso.on.ca/DoctorDetails/Paul-Gerard-Casola/0040076-54052","Casola, Paul Gerard")</f>
        <v>Casola, Paul Gerard</v>
      </c>
      <c r="B1790" s="25" t="s">
        <v>16928</v>
      </c>
      <c r="C1790" s="24" t="s">
        <v>3450</v>
      </c>
      <c r="D1790" s="24" t="s">
        <v>827</v>
      </c>
      <c r="E1790" s="24" t="s">
        <v>29</v>
      </c>
      <c r="F1790" s="24" t="s">
        <v>30</v>
      </c>
      <c r="G1790" s="24" t="s">
        <v>31</v>
      </c>
      <c r="H1790" s="24" t="s">
        <v>3452</v>
      </c>
      <c r="I1790" s="24" t="s">
        <v>16929</v>
      </c>
      <c r="J1790" s="24" t="s">
        <v>16930</v>
      </c>
      <c r="K1790" s="24"/>
      <c r="L1790" s="24" t="s">
        <v>52</v>
      </c>
      <c r="M1790" s="15"/>
      <c r="N1790" s="15"/>
      <c r="O1790" s="15" t="s">
        <v>6169</v>
      </c>
      <c r="P1790" s="15" t="s">
        <v>2137</v>
      </c>
      <c r="Q1790" s="15" t="s">
        <v>16931</v>
      </c>
      <c r="R1790" s="15" t="s">
        <v>16932</v>
      </c>
      <c r="S1790" s="24" t="s">
        <v>39</v>
      </c>
      <c r="T1790" s="24" t="s">
        <v>39</v>
      </c>
      <c r="U1790" s="24" t="s">
        <v>39</v>
      </c>
      <c r="V1790" s="24" t="s">
        <v>39</v>
      </c>
      <c r="W1790" s="24" t="s">
        <v>16933</v>
      </c>
      <c r="X1790" s="24" t="s">
        <v>16934</v>
      </c>
      <c r="Y1790" s="15" t="s">
        <v>16935</v>
      </c>
      <c r="Z1790" s="15" t="s">
        <v>16936</v>
      </c>
      <c r="AA1790" s="24"/>
      <c r="AB1790" s="24"/>
      <c r="AC1790" s="24"/>
      <c r="AD1790" s="24"/>
      <c r="AE1790" s="24"/>
      <c r="AF1790" s="24"/>
      <c r="AG1790" s="24"/>
      <c r="AH1790" s="24"/>
    </row>
    <row r="1791" spans="1:34" ht="60" x14ac:dyDescent="0.25">
      <c r="A1791" s="24" t="str">
        <f>HYPERLINK("https://www.cpso.on.ca/DoctorDetails/Paul-Gerard-George-Mulzer/0045871-59849","Mulzer, Paul Gerard George")</f>
        <v>Mulzer, Paul Gerard George</v>
      </c>
      <c r="B1791" s="25" t="s">
        <v>16937</v>
      </c>
      <c r="C1791" s="24" t="s">
        <v>3463</v>
      </c>
      <c r="D1791" s="24" t="s">
        <v>16938</v>
      </c>
      <c r="E1791" s="24" t="s">
        <v>29</v>
      </c>
      <c r="F1791" s="24" t="s">
        <v>30</v>
      </c>
      <c r="G1791" s="24" t="s">
        <v>31</v>
      </c>
      <c r="H1791" s="24" t="s">
        <v>6839</v>
      </c>
      <c r="I1791" s="24" t="s">
        <v>16939</v>
      </c>
      <c r="J1791" s="24" t="s">
        <v>1935</v>
      </c>
      <c r="K1791" s="24" t="s">
        <v>1936</v>
      </c>
      <c r="L1791" s="24" t="s">
        <v>36</v>
      </c>
      <c r="M1791" s="15"/>
      <c r="N1791" s="15"/>
      <c r="O1791" s="15" t="s">
        <v>1760</v>
      </c>
      <c r="P1791" s="15" t="s">
        <v>288</v>
      </c>
      <c r="Q1791" s="15" t="s">
        <v>16940</v>
      </c>
      <c r="R1791" s="15" t="s">
        <v>16941</v>
      </c>
      <c r="S1791" s="24" t="s">
        <v>39</v>
      </c>
      <c r="T1791" s="24" t="s">
        <v>39</v>
      </c>
      <c r="U1791" s="24" t="s">
        <v>39</v>
      </c>
      <c r="V1791" s="24" t="s">
        <v>39</v>
      </c>
      <c r="W1791" s="24" t="s">
        <v>16942</v>
      </c>
      <c r="X1791" s="24" t="s">
        <v>16943</v>
      </c>
      <c r="Y1791" s="15" t="s">
        <v>16944</v>
      </c>
      <c r="Z1791" s="15" t="s">
        <v>16945</v>
      </c>
      <c r="AA1791" s="24"/>
      <c r="AB1791" s="24"/>
      <c r="AC1791" s="24"/>
      <c r="AD1791" s="24"/>
      <c r="AE1791" s="24"/>
      <c r="AF1791" s="24"/>
      <c r="AG1791" s="24"/>
      <c r="AH1791" s="24"/>
    </row>
    <row r="1792" spans="1:34" ht="75" x14ac:dyDescent="0.25">
      <c r="A1792" s="24" t="str">
        <f>HYPERLINK("https://www.cpso.on.ca/DoctorDetails/Paul-Gilbert-Uy/0273386-95214","Uy, Paul Gilbert")</f>
        <v>Uy, Paul Gilbert</v>
      </c>
      <c r="B1792" s="25" t="s">
        <v>16946</v>
      </c>
      <c r="C1792" s="24" t="s">
        <v>8247</v>
      </c>
      <c r="D1792" s="24" t="s">
        <v>16947</v>
      </c>
      <c r="E1792" s="24" t="s">
        <v>29</v>
      </c>
      <c r="F1792" s="24" t="s">
        <v>30</v>
      </c>
      <c r="G1792" s="24" t="s">
        <v>31</v>
      </c>
      <c r="H1792" s="24" t="s">
        <v>4055</v>
      </c>
      <c r="I1792" s="24" t="s">
        <v>16948</v>
      </c>
      <c r="J1792" s="24" t="s">
        <v>16949</v>
      </c>
      <c r="K1792" s="24" t="s">
        <v>16950</v>
      </c>
      <c r="L1792" s="24" t="s">
        <v>52</v>
      </c>
      <c r="M1792" s="15" t="s">
        <v>16951</v>
      </c>
      <c r="N1792" s="15"/>
      <c r="O1792" s="15"/>
      <c r="P1792" s="15" t="s">
        <v>973</v>
      </c>
      <c r="Q1792" s="15" t="s">
        <v>4058</v>
      </c>
      <c r="R1792" s="15" t="s">
        <v>16952</v>
      </c>
      <c r="S1792" s="24" t="s">
        <v>39</v>
      </c>
      <c r="T1792" s="24" t="s">
        <v>39</v>
      </c>
      <c r="U1792" s="24" t="s">
        <v>39</v>
      </c>
      <c r="V1792" s="24" t="s">
        <v>39</v>
      </c>
      <c r="W1792" s="24" t="s">
        <v>16953</v>
      </c>
      <c r="X1792" s="24" t="s">
        <v>16954</v>
      </c>
      <c r="Y1792" s="15" t="s">
        <v>16955</v>
      </c>
      <c r="Z1792" s="15" t="s">
        <v>16956</v>
      </c>
      <c r="AA1792" s="24"/>
      <c r="AB1792" s="24"/>
      <c r="AC1792" s="24"/>
      <c r="AD1792" s="24"/>
      <c r="AE1792" s="24"/>
      <c r="AF1792" s="24"/>
      <c r="AG1792" s="24"/>
      <c r="AH1792" s="24"/>
    </row>
    <row r="1793" spans="1:34" ht="60" x14ac:dyDescent="0.25">
      <c r="A1793" s="24" t="str">
        <f>HYPERLINK("https://www.cpso.on.ca/DoctorDetails/Paul-Grof/0028986-33809","Grof, Paul")</f>
        <v>Grof, Paul</v>
      </c>
      <c r="B1793" s="25" t="s">
        <v>16957</v>
      </c>
      <c r="C1793" s="24" t="s">
        <v>16958</v>
      </c>
      <c r="D1793" s="24" t="s">
        <v>16959</v>
      </c>
      <c r="E1793" s="24" t="s">
        <v>29</v>
      </c>
      <c r="F1793" s="24" t="s">
        <v>30</v>
      </c>
      <c r="G1793" s="24" t="s">
        <v>8618</v>
      </c>
      <c r="H1793" s="24" t="s">
        <v>16960</v>
      </c>
      <c r="I1793" s="24" t="s">
        <v>16961</v>
      </c>
      <c r="J1793" s="24" t="s">
        <v>3279</v>
      </c>
      <c r="K1793" s="24" t="s">
        <v>16962</v>
      </c>
      <c r="L1793" s="24" t="s">
        <v>84</v>
      </c>
      <c r="M1793" s="15" t="s">
        <v>16963</v>
      </c>
      <c r="N1793" s="15"/>
      <c r="O1793" s="15" t="s">
        <v>793</v>
      </c>
      <c r="P1793" s="15" t="s">
        <v>16964</v>
      </c>
      <c r="Q1793" s="15"/>
      <c r="R1793" s="15" t="s">
        <v>16965</v>
      </c>
      <c r="S1793" s="24" t="s">
        <v>39</v>
      </c>
      <c r="T1793" s="24" t="s">
        <v>39</v>
      </c>
      <c r="U1793" s="24" t="s">
        <v>39</v>
      </c>
      <c r="V1793" s="24" t="s">
        <v>39</v>
      </c>
      <c r="W1793" s="24"/>
      <c r="X1793" s="24"/>
      <c r="Y1793" s="15"/>
      <c r="Z1793" s="15"/>
      <c r="AA1793" s="24"/>
      <c r="AB1793" s="24"/>
      <c r="AC1793" s="24"/>
      <c r="AD1793" s="24"/>
      <c r="AE1793" s="24"/>
      <c r="AF1793" s="24"/>
      <c r="AG1793" s="24"/>
      <c r="AH1793" s="24"/>
    </row>
    <row r="1794" spans="1:34" ht="60" x14ac:dyDescent="0.25">
      <c r="A1794" s="24" t="str">
        <f>HYPERLINK("https://www.cpso.on.ca/DoctorDetails/Paul-James-William-Singleton/0044012-57990","Singleton, Paul James William")</f>
        <v>Singleton, Paul James William</v>
      </c>
      <c r="B1794" s="25" t="s">
        <v>16966</v>
      </c>
      <c r="C1794" s="24" t="s">
        <v>3161</v>
      </c>
      <c r="D1794" s="24" t="s">
        <v>16967</v>
      </c>
      <c r="E1794" s="24" t="s">
        <v>29</v>
      </c>
      <c r="F1794" s="24" t="s">
        <v>30</v>
      </c>
      <c r="G1794" s="24" t="s">
        <v>31</v>
      </c>
      <c r="H1794" s="24" t="s">
        <v>1981</v>
      </c>
      <c r="I1794" s="24" t="s">
        <v>5141</v>
      </c>
      <c r="J1794" s="24" t="s">
        <v>16968</v>
      </c>
      <c r="K1794" s="24" t="s">
        <v>16969</v>
      </c>
      <c r="L1794" s="24" t="s">
        <v>184</v>
      </c>
      <c r="M1794" s="15" t="s">
        <v>16970</v>
      </c>
      <c r="N1794" s="15"/>
      <c r="O1794" s="15" t="s">
        <v>2169</v>
      </c>
      <c r="P1794" s="15" t="s">
        <v>1033</v>
      </c>
      <c r="Q1794" s="15" t="s">
        <v>16971</v>
      </c>
      <c r="R1794" s="15" t="s">
        <v>16972</v>
      </c>
      <c r="S1794" s="24" t="s">
        <v>39</v>
      </c>
      <c r="T1794" s="24" t="s">
        <v>39</v>
      </c>
      <c r="U1794" s="24" t="s">
        <v>39</v>
      </c>
      <c r="V1794" s="24" t="s">
        <v>39</v>
      </c>
      <c r="W1794" s="24"/>
      <c r="X1794" s="24"/>
      <c r="Y1794" s="15"/>
      <c r="Z1794" s="15"/>
      <c r="AA1794" s="24"/>
      <c r="AB1794" s="24"/>
      <c r="AC1794" s="24"/>
      <c r="AD1794" s="24"/>
      <c r="AE1794" s="24"/>
      <c r="AF1794" s="24"/>
      <c r="AG1794" s="24"/>
      <c r="AH1794" s="24"/>
    </row>
    <row r="1795" spans="1:34" ht="75" x14ac:dyDescent="0.25">
      <c r="A1795" s="24" t="str">
        <f>HYPERLINK("https://www.cpso.on.ca/DoctorDetails/Paul-Lindsay-Posner/0042880-56858","Posner, Paul Lindsay")</f>
        <v>Posner, Paul Lindsay</v>
      </c>
      <c r="B1795" s="25" t="s">
        <v>16973</v>
      </c>
      <c r="C1795" s="24" t="s">
        <v>3427</v>
      </c>
      <c r="D1795" s="24" t="s">
        <v>16974</v>
      </c>
      <c r="E1795" s="24" t="s">
        <v>29</v>
      </c>
      <c r="F1795" s="24" t="s">
        <v>30</v>
      </c>
      <c r="G1795" s="24" t="s">
        <v>31</v>
      </c>
      <c r="H1795" s="24" t="s">
        <v>3429</v>
      </c>
      <c r="I1795" s="24" t="s">
        <v>16975</v>
      </c>
      <c r="J1795" s="24" t="s">
        <v>16976</v>
      </c>
      <c r="K1795" s="24" t="s">
        <v>16977</v>
      </c>
      <c r="L1795" s="24" t="s">
        <v>52</v>
      </c>
      <c r="M1795" s="15" t="s">
        <v>16978</v>
      </c>
      <c r="N1795" s="15"/>
      <c r="O1795" s="15" t="s">
        <v>1784</v>
      </c>
      <c r="P1795" s="15" t="s">
        <v>3433</v>
      </c>
      <c r="Q1795" s="15" t="s">
        <v>16979</v>
      </c>
      <c r="R1795" s="15" t="s">
        <v>16980</v>
      </c>
      <c r="S1795" s="24" t="s">
        <v>39</v>
      </c>
      <c r="T1795" s="24" t="s">
        <v>39</v>
      </c>
      <c r="U1795" s="24" t="s">
        <v>39</v>
      </c>
      <c r="V1795" s="24" t="s">
        <v>39</v>
      </c>
      <c r="W1795" s="24" t="s">
        <v>16981</v>
      </c>
      <c r="X1795" s="24" t="s">
        <v>1544</v>
      </c>
      <c r="Y1795" s="15" t="s">
        <v>16982</v>
      </c>
      <c r="Z1795" s="15" t="s">
        <v>16983</v>
      </c>
      <c r="AA1795" s="24"/>
      <c r="AB1795" s="24"/>
      <c r="AC1795" s="24"/>
      <c r="AD1795" s="24"/>
      <c r="AE1795" s="24"/>
      <c r="AF1795" s="24"/>
      <c r="AG1795" s="24"/>
      <c r="AH1795" s="24"/>
    </row>
    <row r="1796" spans="1:34" x14ac:dyDescent="0.25">
      <c r="A1796" s="24" t="str">
        <f>HYPERLINK("https://www.cpso.on.ca/DoctorDetails/Paul-Max/0011827-16603","Max, Paul")</f>
        <v>Max, Paul</v>
      </c>
      <c r="B1796" s="25" t="s">
        <v>16984</v>
      </c>
      <c r="C1796" s="24" t="s">
        <v>16985</v>
      </c>
      <c r="D1796" s="24" t="s">
        <v>16986</v>
      </c>
      <c r="E1796" s="24" t="s">
        <v>29</v>
      </c>
      <c r="F1796" s="24" t="s">
        <v>30</v>
      </c>
      <c r="G1796" s="24" t="s">
        <v>31</v>
      </c>
      <c r="H1796" s="24" t="s">
        <v>16987</v>
      </c>
      <c r="I1796" s="24" t="s">
        <v>107</v>
      </c>
      <c r="J1796" s="24"/>
      <c r="K1796" s="24"/>
      <c r="L1796" s="24"/>
      <c r="M1796" s="15"/>
      <c r="N1796" s="15"/>
      <c r="O1796" s="15"/>
      <c r="P1796" s="15" t="s">
        <v>16988</v>
      </c>
      <c r="Q1796" s="15"/>
      <c r="R1796" s="15" t="s">
        <v>16989</v>
      </c>
      <c r="S1796" s="24" t="s">
        <v>39</v>
      </c>
      <c r="T1796" s="24" t="s">
        <v>39</v>
      </c>
      <c r="U1796" s="24" t="s">
        <v>39</v>
      </c>
      <c r="V1796" s="24" t="s">
        <v>39</v>
      </c>
      <c r="W1796" s="24"/>
      <c r="X1796" s="24"/>
      <c r="Y1796" s="15"/>
      <c r="Z1796" s="15"/>
      <c r="AA1796" s="24"/>
      <c r="AB1796" s="24"/>
      <c r="AC1796" s="24"/>
      <c r="AD1796" s="24"/>
      <c r="AE1796" s="24"/>
      <c r="AF1796" s="24"/>
      <c r="AG1796" s="24"/>
      <c r="AH1796" s="24"/>
    </row>
    <row r="1797" spans="1:34" ht="45" x14ac:dyDescent="0.25">
      <c r="A1797" s="24" t="str">
        <f>HYPERLINK("https://www.cpso.on.ca/DoctorDetails/Paul-Morton-Goldhamer/0023616-28408","Goldhamer, Paul Morton")</f>
        <v>Goldhamer, Paul Morton</v>
      </c>
      <c r="B1797" s="25" t="s">
        <v>16990</v>
      </c>
      <c r="C1797" s="24" t="s">
        <v>16991</v>
      </c>
      <c r="D1797" s="24" t="s">
        <v>16992</v>
      </c>
      <c r="E1797" s="24" t="s">
        <v>29</v>
      </c>
      <c r="F1797" s="24" t="s">
        <v>30</v>
      </c>
      <c r="G1797" s="24" t="s">
        <v>31</v>
      </c>
      <c r="H1797" s="24" t="s">
        <v>10416</v>
      </c>
      <c r="I1797" s="24" t="s">
        <v>16993</v>
      </c>
      <c r="J1797" s="24" t="s">
        <v>16994</v>
      </c>
      <c r="K1797" s="24" t="s">
        <v>16995</v>
      </c>
      <c r="L1797" s="24" t="s">
        <v>52</v>
      </c>
      <c r="M1797" s="15" t="s">
        <v>16996</v>
      </c>
      <c r="N1797" s="15"/>
      <c r="O1797" s="15" t="s">
        <v>1201</v>
      </c>
      <c r="P1797" s="15" t="s">
        <v>459</v>
      </c>
      <c r="Q1797" s="15"/>
      <c r="R1797" s="15" t="s">
        <v>16997</v>
      </c>
      <c r="S1797" s="24" t="s">
        <v>39</v>
      </c>
      <c r="T1797" s="24" t="s">
        <v>39</v>
      </c>
      <c r="U1797" s="24" t="s">
        <v>39</v>
      </c>
      <c r="V1797" s="24" t="s">
        <v>39</v>
      </c>
      <c r="W1797" s="24" t="s">
        <v>16998</v>
      </c>
      <c r="X1797" s="24" t="s">
        <v>16999</v>
      </c>
      <c r="Y1797" s="15" t="s">
        <v>17000</v>
      </c>
      <c r="Z1797" s="15" t="s">
        <v>17001</v>
      </c>
      <c r="AA1797" s="24"/>
      <c r="AB1797" s="24"/>
      <c r="AC1797" s="24"/>
      <c r="AD1797" s="24"/>
      <c r="AE1797" s="24"/>
      <c r="AF1797" s="24"/>
      <c r="AG1797" s="24"/>
      <c r="AH1797" s="24"/>
    </row>
    <row r="1798" spans="1:34" ht="30" x14ac:dyDescent="0.25">
      <c r="A1798" s="24" t="str">
        <f>HYPERLINK("https://www.cpso.on.ca/DoctorDetails/Paul-Robert-Zimmerman/0051634-65613","Zimmerman, Paul Robert")</f>
        <v>Zimmerman, Paul Robert</v>
      </c>
      <c r="B1798" s="25" t="s">
        <v>17002</v>
      </c>
      <c r="C1798" s="24" t="s">
        <v>17003</v>
      </c>
      <c r="D1798" s="24" t="s">
        <v>17004</v>
      </c>
      <c r="E1798" s="24" t="s">
        <v>29</v>
      </c>
      <c r="F1798" s="24" t="s">
        <v>30</v>
      </c>
      <c r="G1798" s="24" t="s">
        <v>31</v>
      </c>
      <c r="H1798" s="24" t="s">
        <v>10224</v>
      </c>
      <c r="I1798" s="24" t="s">
        <v>17005</v>
      </c>
      <c r="J1798" s="24" t="s">
        <v>17006</v>
      </c>
      <c r="K1798" s="24" t="s">
        <v>17007</v>
      </c>
      <c r="L1798" s="24" t="s">
        <v>340</v>
      </c>
      <c r="M1798" s="15" t="s">
        <v>17008</v>
      </c>
      <c r="N1798" s="15"/>
      <c r="O1798" s="15"/>
      <c r="P1798" s="15" t="s">
        <v>3954</v>
      </c>
      <c r="Q1798" s="15" t="s">
        <v>17009</v>
      </c>
      <c r="R1798" s="15" t="s">
        <v>17010</v>
      </c>
      <c r="S1798" s="24" t="s">
        <v>39</v>
      </c>
      <c r="T1798" s="24" t="s">
        <v>39</v>
      </c>
      <c r="U1798" s="24" t="s">
        <v>39</v>
      </c>
      <c r="V1798" s="24" t="s">
        <v>39</v>
      </c>
      <c r="W1798" s="24" t="s">
        <v>17011</v>
      </c>
      <c r="X1798" s="24" t="s">
        <v>17012</v>
      </c>
      <c r="Y1798" s="15" t="s">
        <v>17013</v>
      </c>
      <c r="Z1798" s="15" t="s">
        <v>17014</v>
      </c>
      <c r="AA1798" s="24"/>
      <c r="AB1798" s="24"/>
      <c r="AC1798" s="24"/>
      <c r="AD1798" s="24"/>
      <c r="AE1798" s="24"/>
      <c r="AF1798" s="24"/>
      <c r="AG1798" s="24"/>
      <c r="AH1798" s="24"/>
    </row>
    <row r="1799" spans="1:34" ht="30" x14ac:dyDescent="0.25">
      <c r="A1799" s="24" t="str">
        <f>HYPERLINK("https://www.cpso.on.ca/DoctorDetails/Paul-Skevington-Links/0023184-27975","Links, Paul Skevington")</f>
        <v>Links, Paul Skevington</v>
      </c>
      <c r="B1799" s="25" t="s">
        <v>17015</v>
      </c>
      <c r="C1799" s="24" t="s">
        <v>17016</v>
      </c>
      <c r="D1799" s="24" t="s">
        <v>17017</v>
      </c>
      <c r="E1799" s="24" t="s">
        <v>29</v>
      </c>
      <c r="F1799" s="24" t="s">
        <v>30</v>
      </c>
      <c r="G1799" s="24" t="s">
        <v>31</v>
      </c>
      <c r="H1799" s="24" t="s">
        <v>17018</v>
      </c>
      <c r="I1799" s="24" t="s">
        <v>17019</v>
      </c>
      <c r="J1799" s="24" t="s">
        <v>17020</v>
      </c>
      <c r="K1799" s="24"/>
      <c r="L1799" s="24" t="s">
        <v>184</v>
      </c>
      <c r="M1799" s="15" t="s">
        <v>17021</v>
      </c>
      <c r="N1799" s="15"/>
      <c r="O1799" s="15" t="s">
        <v>6565</v>
      </c>
      <c r="P1799" s="15" t="s">
        <v>17022</v>
      </c>
      <c r="Q1799" s="15"/>
      <c r="R1799" s="15" t="s">
        <v>17023</v>
      </c>
      <c r="S1799" s="24" t="s">
        <v>39</v>
      </c>
      <c r="T1799" s="24" t="s">
        <v>39</v>
      </c>
      <c r="U1799" s="24" t="s">
        <v>39</v>
      </c>
      <c r="V1799" s="24" t="s">
        <v>39</v>
      </c>
      <c r="W1799" s="24" t="s">
        <v>17024</v>
      </c>
      <c r="X1799" s="24" t="s">
        <v>17025</v>
      </c>
      <c r="Y1799" s="15" t="s">
        <v>17026</v>
      </c>
      <c r="Z1799" s="15" t="s">
        <v>17027</v>
      </c>
      <c r="AA1799" s="24"/>
      <c r="AB1799" s="24"/>
      <c r="AC1799" s="24"/>
      <c r="AD1799" s="24"/>
      <c r="AE1799" s="24"/>
      <c r="AF1799" s="24"/>
      <c r="AG1799" s="24"/>
      <c r="AH1799" s="24"/>
    </row>
    <row r="1800" spans="1:34" ht="30" x14ac:dyDescent="0.25">
      <c r="A1800" s="24" t="str">
        <f>HYPERLINK("https://www.cpso.on.ca/DoctorDetails/Paul-Stanley-Morris/0040383-54359","Morris, Paul Stanley")</f>
        <v>Morris, Paul Stanley</v>
      </c>
      <c r="B1800" s="25" t="s">
        <v>17028</v>
      </c>
      <c r="C1800" s="24" t="s">
        <v>704</v>
      </c>
      <c r="D1800" s="24" t="s">
        <v>8831</v>
      </c>
      <c r="E1800" s="24" t="s">
        <v>29</v>
      </c>
      <c r="F1800" s="24" t="s">
        <v>30</v>
      </c>
      <c r="G1800" s="24" t="s">
        <v>31</v>
      </c>
      <c r="H1800" s="24" t="s">
        <v>3412</v>
      </c>
      <c r="I1800" s="24" t="s">
        <v>9801</v>
      </c>
      <c r="J1800" s="24" t="s">
        <v>9802</v>
      </c>
      <c r="K1800" s="24" t="s">
        <v>9803</v>
      </c>
      <c r="L1800" s="24" t="s">
        <v>52</v>
      </c>
      <c r="M1800" s="15"/>
      <c r="N1800" s="15"/>
      <c r="O1800" s="15"/>
      <c r="P1800" s="15" t="s">
        <v>13609</v>
      </c>
      <c r="Q1800" s="15"/>
      <c r="R1800" s="15" t="s">
        <v>8838</v>
      </c>
      <c r="S1800" s="24" t="s">
        <v>39</v>
      </c>
      <c r="T1800" s="24" t="s">
        <v>39</v>
      </c>
      <c r="U1800" s="24" t="s">
        <v>39</v>
      </c>
      <c r="V1800" s="24" t="s">
        <v>39</v>
      </c>
      <c r="W1800" s="24" t="s">
        <v>17029</v>
      </c>
      <c r="X1800" s="24" t="s">
        <v>9806</v>
      </c>
      <c r="Y1800" s="15" t="s">
        <v>17030</v>
      </c>
      <c r="Z1800" s="15" t="s">
        <v>17031</v>
      </c>
      <c r="AA1800" s="24"/>
      <c r="AB1800" s="24"/>
      <c r="AC1800" s="24"/>
      <c r="AD1800" s="24"/>
      <c r="AE1800" s="24"/>
      <c r="AF1800" s="24"/>
      <c r="AG1800" s="24"/>
      <c r="AH1800" s="24"/>
    </row>
    <row r="1801" spans="1:34" ht="90" x14ac:dyDescent="0.25">
      <c r="A1801" s="24" t="str">
        <f>HYPERLINK("https://www.cpso.on.ca/DoctorDetails/Paul-Victor-Benassi/0273265-95125","Benassi, Paul Victor")</f>
        <v>Benassi, Paul Victor</v>
      </c>
      <c r="B1801" s="25" t="s">
        <v>17032</v>
      </c>
      <c r="C1801" s="24" t="s">
        <v>1266</v>
      </c>
      <c r="D1801" s="24" t="s">
        <v>967</v>
      </c>
      <c r="E1801" s="24" t="s">
        <v>29</v>
      </c>
      <c r="F1801" s="24" t="s">
        <v>30</v>
      </c>
      <c r="G1801" s="24" t="s">
        <v>31</v>
      </c>
      <c r="H1801" s="24" t="s">
        <v>4476</v>
      </c>
      <c r="I1801" s="24" t="s">
        <v>1147</v>
      </c>
      <c r="J1801" s="24" t="s">
        <v>1269</v>
      </c>
      <c r="K1801" s="24"/>
      <c r="L1801" s="24" t="s">
        <v>52</v>
      </c>
      <c r="M1801" s="15"/>
      <c r="N1801" s="15"/>
      <c r="O1801" s="15" t="s">
        <v>17033</v>
      </c>
      <c r="P1801" s="15" t="s">
        <v>973</v>
      </c>
      <c r="Q1801" s="15" t="s">
        <v>4537</v>
      </c>
      <c r="R1801" s="15" t="s">
        <v>4059</v>
      </c>
      <c r="S1801" s="24" t="s">
        <v>39</v>
      </c>
      <c r="T1801" s="24" t="s">
        <v>39</v>
      </c>
      <c r="U1801" s="24" t="s">
        <v>39</v>
      </c>
      <c r="V1801" s="24" t="s">
        <v>39</v>
      </c>
      <c r="W1801" s="24"/>
      <c r="X1801" s="24"/>
      <c r="Y1801" s="15"/>
      <c r="Z1801" s="15"/>
      <c r="AA1801" s="24"/>
      <c r="AB1801" s="24"/>
      <c r="AC1801" s="24"/>
      <c r="AD1801" s="24"/>
      <c r="AE1801" s="24"/>
      <c r="AF1801" s="24"/>
      <c r="AG1801" s="24"/>
      <c r="AH1801" s="24"/>
    </row>
    <row r="1802" spans="1:34" ht="45" x14ac:dyDescent="0.25">
      <c r="A1802" s="24" t="str">
        <f>HYPERLINK("https://www.cpso.on.ca/DoctorDetails/Paul-Victor-Silverstein/0024923-29746","Silverstein, Paul Victor")</f>
        <v>Silverstein, Paul Victor</v>
      </c>
      <c r="B1802" s="25" t="s">
        <v>17034</v>
      </c>
      <c r="C1802" s="24" t="s">
        <v>17035</v>
      </c>
      <c r="D1802" s="24" t="s">
        <v>17036</v>
      </c>
      <c r="E1802" s="24" t="s">
        <v>29</v>
      </c>
      <c r="F1802" s="24" t="s">
        <v>30</v>
      </c>
      <c r="G1802" s="24" t="s">
        <v>31</v>
      </c>
      <c r="H1802" s="24" t="s">
        <v>10416</v>
      </c>
      <c r="I1802" s="24" t="s">
        <v>17037</v>
      </c>
      <c r="J1802" s="24" t="s">
        <v>17038</v>
      </c>
      <c r="K1802" s="24" t="s">
        <v>17039</v>
      </c>
      <c r="L1802" s="24" t="s">
        <v>52</v>
      </c>
      <c r="M1802" s="15"/>
      <c r="N1802" s="15"/>
      <c r="O1802" s="15" t="s">
        <v>793</v>
      </c>
      <c r="P1802" s="15" t="s">
        <v>459</v>
      </c>
      <c r="Q1802" s="15"/>
      <c r="R1802" s="15" t="s">
        <v>17040</v>
      </c>
      <c r="S1802" s="24" t="s">
        <v>71</v>
      </c>
      <c r="T1802" s="24" t="s">
        <v>39</v>
      </c>
      <c r="U1802" s="24" t="s">
        <v>39</v>
      </c>
      <c r="V1802" s="24" t="s">
        <v>71</v>
      </c>
      <c r="W1802" s="24"/>
      <c r="X1802" s="24"/>
      <c r="Y1802" s="15"/>
      <c r="Z1802" s="15"/>
      <c r="AA1802" s="24"/>
      <c r="AB1802" s="24"/>
      <c r="AC1802" s="24"/>
      <c r="AD1802" s="24"/>
      <c r="AE1802" s="24"/>
      <c r="AF1802" s="24"/>
      <c r="AG1802" s="24"/>
      <c r="AH1802" s="24"/>
    </row>
    <row r="1803" spans="1:34" ht="75" x14ac:dyDescent="0.25">
      <c r="A1803" s="24" t="str">
        <f>HYPERLINK("https://www.cpso.on.ca/DoctorDetails/Paula-Jo-Ravitz/0057355-68943","Ravitz, Paula Jo")</f>
        <v>Ravitz, Paula Jo</v>
      </c>
      <c r="B1803" s="25" t="s">
        <v>17041</v>
      </c>
      <c r="C1803" s="24" t="s">
        <v>17042</v>
      </c>
      <c r="D1803" s="24" t="s">
        <v>17043</v>
      </c>
      <c r="E1803" s="24" t="s">
        <v>29</v>
      </c>
      <c r="F1803" s="24" t="s">
        <v>47</v>
      </c>
      <c r="G1803" s="24" t="s">
        <v>31</v>
      </c>
      <c r="H1803" s="24" t="s">
        <v>3932</v>
      </c>
      <c r="I1803" s="24" t="s">
        <v>17044</v>
      </c>
      <c r="J1803" s="24" t="s">
        <v>17045</v>
      </c>
      <c r="K1803" s="24" t="s">
        <v>17046</v>
      </c>
      <c r="L1803" s="24" t="s">
        <v>52</v>
      </c>
      <c r="M1803" s="15"/>
      <c r="N1803" s="15"/>
      <c r="O1803" s="15" t="s">
        <v>438</v>
      </c>
      <c r="P1803" s="15" t="s">
        <v>1343</v>
      </c>
      <c r="Q1803" s="15" t="s">
        <v>4714</v>
      </c>
      <c r="R1803" s="15" t="s">
        <v>17047</v>
      </c>
      <c r="S1803" s="24" t="s">
        <v>39</v>
      </c>
      <c r="T1803" s="24" t="s">
        <v>39</v>
      </c>
      <c r="U1803" s="24" t="s">
        <v>39</v>
      </c>
      <c r="V1803" s="24" t="s">
        <v>39</v>
      </c>
      <c r="W1803" s="24"/>
      <c r="X1803" s="24"/>
      <c r="Y1803" s="15"/>
      <c r="Z1803" s="15"/>
      <c r="AA1803" s="24"/>
      <c r="AB1803" s="24"/>
      <c r="AC1803" s="24"/>
      <c r="AD1803" s="24"/>
      <c r="AE1803" s="24"/>
      <c r="AF1803" s="24"/>
      <c r="AG1803" s="24"/>
      <c r="AH1803" s="24"/>
    </row>
    <row r="1804" spans="1:34" ht="120" x14ac:dyDescent="0.25">
      <c r="A1804" s="24" t="str">
        <f>HYPERLINK("https://www.cpso.on.ca/DoctorDetails/Paula-WalshBergin/0055892-67675","Walsh-Bergin, Paula")</f>
        <v>Walsh-Bergin, Paula</v>
      </c>
      <c r="B1804" s="25" t="s">
        <v>17048</v>
      </c>
      <c r="C1804" s="24" t="s">
        <v>17049</v>
      </c>
      <c r="D1804" s="24" t="s">
        <v>17050</v>
      </c>
      <c r="E1804" s="24" t="s">
        <v>29</v>
      </c>
      <c r="F1804" s="24" t="s">
        <v>47</v>
      </c>
      <c r="G1804" s="24" t="s">
        <v>31</v>
      </c>
      <c r="H1804" s="24" t="s">
        <v>4768</v>
      </c>
      <c r="I1804" s="24" t="s">
        <v>17051</v>
      </c>
      <c r="J1804" s="24" t="s">
        <v>17052</v>
      </c>
      <c r="K1804" s="24" t="s">
        <v>17053</v>
      </c>
      <c r="L1804" s="24" t="s">
        <v>84</v>
      </c>
      <c r="M1804" s="15" t="s">
        <v>17054</v>
      </c>
      <c r="N1804" s="15"/>
      <c r="O1804" s="15" t="s">
        <v>711</v>
      </c>
      <c r="P1804" s="15" t="s">
        <v>17055</v>
      </c>
      <c r="Q1804" s="15" t="s">
        <v>17056</v>
      </c>
      <c r="R1804" s="15" t="s">
        <v>17057</v>
      </c>
      <c r="S1804" s="24" t="s">
        <v>39</v>
      </c>
      <c r="T1804" s="24" t="s">
        <v>39</v>
      </c>
      <c r="U1804" s="24" t="s">
        <v>39</v>
      </c>
      <c r="V1804" s="24" t="s">
        <v>39</v>
      </c>
      <c r="W1804" s="24" t="s">
        <v>17058</v>
      </c>
      <c r="X1804" s="24" t="s">
        <v>12462</v>
      </c>
      <c r="Y1804" s="15" t="s">
        <v>17059</v>
      </c>
      <c r="Z1804" s="15" t="s">
        <v>17060</v>
      </c>
      <c r="AA1804" s="24"/>
      <c r="AB1804" s="24"/>
      <c r="AC1804" s="24"/>
      <c r="AD1804" s="24"/>
      <c r="AE1804" s="24"/>
      <c r="AF1804" s="24"/>
      <c r="AG1804" s="24"/>
      <c r="AH1804" s="24"/>
    </row>
    <row r="1805" spans="1:34" ht="30" x14ac:dyDescent="0.25">
      <c r="A1805" s="24" t="str">
        <f>HYPERLINK("https://www.cpso.on.ca/DoctorDetails/Pauline-Shirley-Pytka/0028727-33550","Pytka, Pauline Shirley")</f>
        <v>Pytka, Pauline Shirley</v>
      </c>
      <c r="B1805" s="25" t="s">
        <v>17061</v>
      </c>
      <c r="C1805" s="24" t="s">
        <v>492</v>
      </c>
      <c r="D1805" s="24" t="s">
        <v>17062</v>
      </c>
      <c r="E1805" s="24" t="s">
        <v>29</v>
      </c>
      <c r="F1805" s="24" t="s">
        <v>47</v>
      </c>
      <c r="G1805" s="24" t="s">
        <v>31</v>
      </c>
      <c r="H1805" s="24" t="s">
        <v>2805</v>
      </c>
      <c r="I1805" s="24" t="s">
        <v>17063</v>
      </c>
      <c r="J1805" s="24" t="s">
        <v>17064</v>
      </c>
      <c r="K1805" s="24"/>
      <c r="L1805" s="24" t="s">
        <v>184</v>
      </c>
      <c r="M1805" s="15"/>
      <c r="N1805" s="15"/>
      <c r="O1805" s="15" t="s">
        <v>6565</v>
      </c>
      <c r="P1805" s="15" t="s">
        <v>2470</v>
      </c>
      <c r="Q1805" s="15"/>
      <c r="R1805" s="15" t="s">
        <v>17065</v>
      </c>
      <c r="S1805" s="24" t="s">
        <v>39</v>
      </c>
      <c r="T1805" s="24" t="s">
        <v>39</v>
      </c>
      <c r="U1805" s="24" t="s">
        <v>39</v>
      </c>
      <c r="V1805" s="24" t="s">
        <v>39</v>
      </c>
      <c r="W1805" s="24" t="s">
        <v>17066</v>
      </c>
      <c r="X1805" s="24" t="s">
        <v>17067</v>
      </c>
      <c r="Y1805" s="15"/>
      <c r="Z1805" s="15"/>
      <c r="AA1805" s="24"/>
      <c r="AB1805" s="24"/>
      <c r="AC1805" s="24"/>
      <c r="AD1805" s="24"/>
      <c r="AE1805" s="24"/>
      <c r="AF1805" s="24"/>
      <c r="AG1805" s="24"/>
      <c r="AH1805" s="24"/>
    </row>
    <row r="1806" spans="1:34" ht="45" x14ac:dyDescent="0.25">
      <c r="A1806" s="24" t="str">
        <f>HYPERLINK("https://www.cpso.on.ca/DoctorDetails/Pavel-Sandor/0024866-29688","Sandor, Pavel")</f>
        <v>Sandor, Pavel</v>
      </c>
      <c r="B1806" s="25" t="s">
        <v>17068</v>
      </c>
      <c r="C1806" s="24" t="s">
        <v>17069</v>
      </c>
      <c r="D1806" s="24" t="s">
        <v>17070</v>
      </c>
      <c r="E1806" s="24" t="s">
        <v>29</v>
      </c>
      <c r="F1806" s="24" t="s">
        <v>30</v>
      </c>
      <c r="G1806" s="24" t="s">
        <v>17071</v>
      </c>
      <c r="H1806" s="24" t="s">
        <v>7343</v>
      </c>
      <c r="I1806" s="24" t="s">
        <v>17072</v>
      </c>
      <c r="J1806" s="24" t="s">
        <v>17073</v>
      </c>
      <c r="K1806" s="24" t="s">
        <v>17074</v>
      </c>
      <c r="L1806" s="24" t="s">
        <v>52</v>
      </c>
      <c r="M1806" s="15" t="s">
        <v>17075</v>
      </c>
      <c r="N1806" s="15"/>
      <c r="O1806" s="15" t="s">
        <v>1867</v>
      </c>
      <c r="P1806" s="15" t="s">
        <v>2985</v>
      </c>
      <c r="Q1806" s="15"/>
      <c r="R1806" s="15" t="s">
        <v>17076</v>
      </c>
      <c r="S1806" s="24" t="s">
        <v>39</v>
      </c>
      <c r="T1806" s="24" t="s">
        <v>39</v>
      </c>
      <c r="U1806" s="24" t="s">
        <v>39</v>
      </c>
      <c r="V1806" s="24" t="s">
        <v>39</v>
      </c>
      <c r="W1806" s="24" t="s">
        <v>17077</v>
      </c>
      <c r="X1806" s="24" t="s">
        <v>2487</v>
      </c>
      <c r="Y1806" s="15" t="s">
        <v>17078</v>
      </c>
      <c r="Z1806" s="15" t="s">
        <v>17079</v>
      </c>
      <c r="AA1806" s="24"/>
      <c r="AB1806" s="24"/>
      <c r="AC1806" s="24"/>
      <c r="AD1806" s="24"/>
      <c r="AE1806" s="24"/>
      <c r="AF1806" s="24"/>
      <c r="AG1806" s="24"/>
      <c r="AH1806" s="24"/>
    </row>
    <row r="1807" spans="1:34" ht="120" x14ac:dyDescent="0.25">
      <c r="A1807" s="24" t="str">
        <f>HYPERLINK("https://www.cpso.on.ca/DoctorDetails/Petal-Shaheba-Abdool/0244595-87674","Abdool, Petal Shaheba")</f>
        <v>Abdool, Petal Shaheba</v>
      </c>
      <c r="B1807" s="25" t="s">
        <v>17080</v>
      </c>
      <c r="C1807" s="24" t="s">
        <v>846</v>
      </c>
      <c r="D1807" s="24" t="s">
        <v>600</v>
      </c>
      <c r="E1807" s="24" t="s">
        <v>29</v>
      </c>
      <c r="F1807" s="24" t="s">
        <v>47</v>
      </c>
      <c r="G1807" s="24" t="s">
        <v>31</v>
      </c>
      <c r="H1807" s="24" t="s">
        <v>17081</v>
      </c>
      <c r="I1807" s="24" t="s">
        <v>17082</v>
      </c>
      <c r="J1807" s="24" t="s">
        <v>17083</v>
      </c>
      <c r="K1807" s="24" t="s">
        <v>17084</v>
      </c>
      <c r="L1807" s="24" t="s">
        <v>52</v>
      </c>
      <c r="M1807" s="15" t="s">
        <v>17085</v>
      </c>
      <c r="N1807" s="15"/>
      <c r="O1807" s="15" t="s">
        <v>17086</v>
      </c>
      <c r="P1807" s="15" t="s">
        <v>17087</v>
      </c>
      <c r="Q1807" s="15" t="s">
        <v>17088</v>
      </c>
      <c r="R1807" s="15" t="s">
        <v>17089</v>
      </c>
      <c r="S1807" s="24" t="s">
        <v>39</v>
      </c>
      <c r="T1807" s="24" t="s">
        <v>39</v>
      </c>
      <c r="U1807" s="24" t="s">
        <v>39</v>
      </c>
      <c r="V1807" s="24" t="s">
        <v>39</v>
      </c>
      <c r="W1807" s="24"/>
      <c r="X1807" s="24"/>
      <c r="Y1807" s="15"/>
      <c r="Z1807" s="15"/>
      <c r="AA1807" s="24"/>
      <c r="AB1807" s="24"/>
      <c r="AC1807" s="24"/>
      <c r="AD1807" s="24"/>
      <c r="AE1807" s="24"/>
      <c r="AF1807" s="24"/>
      <c r="AG1807" s="24"/>
      <c r="AH1807" s="24"/>
    </row>
    <row r="1808" spans="1:34" ht="45" x14ac:dyDescent="0.25">
      <c r="A1808" s="24" t="str">
        <f>HYPERLINK("https://www.cpso.on.ca/DoctorDetails/Peter-Arthur-Nynkowski/0030525-42505","Nynkowski, Peter Arthur")</f>
        <v>Nynkowski, Peter Arthur</v>
      </c>
      <c r="B1808" s="25" t="s">
        <v>17090</v>
      </c>
      <c r="C1808" s="24" t="s">
        <v>17091</v>
      </c>
      <c r="D1808" s="24" t="s">
        <v>17092</v>
      </c>
      <c r="E1808" s="24" t="s">
        <v>29</v>
      </c>
      <c r="F1808" s="24" t="s">
        <v>30</v>
      </c>
      <c r="G1808" s="24" t="s">
        <v>1657</v>
      </c>
      <c r="H1808" s="24" t="s">
        <v>7203</v>
      </c>
      <c r="I1808" s="24" t="s">
        <v>17093</v>
      </c>
      <c r="J1808" s="24" t="s">
        <v>17094</v>
      </c>
      <c r="K1808" s="24"/>
      <c r="L1808" s="24" t="s">
        <v>52</v>
      </c>
      <c r="M1808" s="15" t="s">
        <v>17095</v>
      </c>
      <c r="N1808" s="15"/>
      <c r="O1808" s="15" t="s">
        <v>1191</v>
      </c>
      <c r="P1808" s="15" t="s">
        <v>8291</v>
      </c>
      <c r="Q1808" s="15"/>
      <c r="R1808" s="15" t="s">
        <v>17096</v>
      </c>
      <c r="S1808" s="24" t="s">
        <v>39</v>
      </c>
      <c r="T1808" s="24" t="s">
        <v>39</v>
      </c>
      <c r="U1808" s="24" t="s">
        <v>39</v>
      </c>
      <c r="V1808" s="24" t="s">
        <v>39</v>
      </c>
      <c r="W1808" s="24"/>
      <c r="X1808" s="24"/>
      <c r="Y1808" s="15"/>
      <c r="Z1808" s="15"/>
      <c r="AA1808" s="24"/>
      <c r="AB1808" s="24"/>
      <c r="AC1808" s="24"/>
      <c r="AD1808" s="24"/>
      <c r="AE1808" s="24"/>
      <c r="AF1808" s="24"/>
      <c r="AG1808" s="24"/>
      <c r="AH1808" s="24"/>
    </row>
    <row r="1809" spans="1:34" ht="30" x14ac:dyDescent="0.25">
      <c r="A1809" s="24" t="str">
        <f>HYPERLINK("https://www.cpso.on.ca/DoctorDetails/Peter-Charles-Williamson/0027883-32706","Williamson, Peter Charles")</f>
        <v>Williamson, Peter Charles</v>
      </c>
      <c r="B1809" s="25" t="s">
        <v>17097</v>
      </c>
      <c r="C1809" s="24" t="s">
        <v>492</v>
      </c>
      <c r="D1809" s="24" t="s">
        <v>17098</v>
      </c>
      <c r="E1809" s="24" t="s">
        <v>29</v>
      </c>
      <c r="F1809" s="24" t="s">
        <v>30</v>
      </c>
      <c r="G1809" s="24" t="s">
        <v>31</v>
      </c>
      <c r="H1809" s="24" t="s">
        <v>13984</v>
      </c>
      <c r="I1809" s="24" t="s">
        <v>17099</v>
      </c>
      <c r="J1809" s="24" t="s">
        <v>17100</v>
      </c>
      <c r="K1809" s="24" t="s">
        <v>17101</v>
      </c>
      <c r="L1809" s="24" t="s">
        <v>135</v>
      </c>
      <c r="M1809" s="15"/>
      <c r="N1809" s="15"/>
      <c r="O1809" s="15" t="s">
        <v>6688</v>
      </c>
      <c r="P1809" s="15" t="s">
        <v>233</v>
      </c>
      <c r="Q1809" s="15"/>
      <c r="R1809" s="15" t="s">
        <v>17102</v>
      </c>
      <c r="S1809" s="24" t="s">
        <v>39</v>
      </c>
      <c r="T1809" s="24" t="s">
        <v>39</v>
      </c>
      <c r="U1809" s="24" t="s">
        <v>39</v>
      </c>
      <c r="V1809" s="24" t="s">
        <v>39</v>
      </c>
      <c r="W1809" s="24" t="s">
        <v>17103</v>
      </c>
      <c r="X1809" s="24" t="s">
        <v>17104</v>
      </c>
      <c r="Y1809" s="15" t="s">
        <v>17105</v>
      </c>
      <c r="Z1809" s="15" t="s">
        <v>17106</v>
      </c>
      <c r="AA1809" s="24"/>
      <c r="AB1809" s="24"/>
      <c r="AC1809" s="24"/>
      <c r="AD1809" s="24"/>
      <c r="AE1809" s="24"/>
      <c r="AF1809" s="24"/>
      <c r="AG1809" s="24"/>
      <c r="AH1809" s="24"/>
    </row>
    <row r="1810" spans="1:34" ht="75" x14ac:dyDescent="0.25">
      <c r="A1810" s="24" t="str">
        <f>HYPERLINK("https://www.cpso.on.ca/DoctorDetails/Peter-Chukwumah-Ajueze/0282232-99521","Ajueze, Peter Chukwumah")</f>
        <v>Ajueze, Peter Chukwumah</v>
      </c>
      <c r="B1810" s="25" t="s">
        <v>17107</v>
      </c>
      <c r="C1810" s="24" t="s">
        <v>17108</v>
      </c>
      <c r="D1810" s="24" t="s">
        <v>17109</v>
      </c>
      <c r="E1810" s="24" t="s">
        <v>29</v>
      </c>
      <c r="F1810" s="24" t="s">
        <v>30</v>
      </c>
      <c r="G1810" s="24" t="s">
        <v>4941</v>
      </c>
      <c r="H1810" s="24" t="s">
        <v>394</v>
      </c>
      <c r="I1810" s="24" t="s">
        <v>17110</v>
      </c>
      <c r="J1810" s="24" t="s">
        <v>17111</v>
      </c>
      <c r="K1810" s="24"/>
      <c r="L1810" s="24" t="s">
        <v>328</v>
      </c>
      <c r="M1810" s="15" t="s">
        <v>17112</v>
      </c>
      <c r="N1810" s="15"/>
      <c r="O1810" s="15" t="s">
        <v>1746</v>
      </c>
      <c r="P1810" s="15" t="s">
        <v>4526</v>
      </c>
      <c r="Q1810" s="15"/>
      <c r="R1810" s="15" t="s">
        <v>17113</v>
      </c>
      <c r="S1810" s="24" t="s">
        <v>39</v>
      </c>
      <c r="T1810" s="24" t="s">
        <v>39</v>
      </c>
      <c r="U1810" s="24" t="s">
        <v>39</v>
      </c>
      <c r="V1810" s="24" t="s">
        <v>39</v>
      </c>
      <c r="W1810" s="24" t="s">
        <v>17114</v>
      </c>
      <c r="X1810" s="24" t="s">
        <v>17115</v>
      </c>
      <c r="Y1810" s="15" t="s">
        <v>17116</v>
      </c>
      <c r="Z1810" s="15" t="s">
        <v>17117</v>
      </c>
      <c r="AA1810" s="24"/>
      <c r="AB1810" s="24"/>
      <c r="AC1810" s="24"/>
      <c r="AD1810" s="24"/>
      <c r="AE1810" s="24"/>
      <c r="AF1810" s="24"/>
      <c r="AG1810" s="24"/>
      <c r="AH1810" s="24"/>
    </row>
    <row r="1811" spans="1:34" ht="30" x14ac:dyDescent="0.25">
      <c r="A1811" s="24" t="str">
        <f>HYPERLINK("https://www.cpso.on.ca/DoctorDetails/Peter-Emile-Cook/0028497-33320","Cook, Peter Emile")</f>
        <v>Cook, Peter Emile</v>
      </c>
      <c r="B1811" s="25" t="s">
        <v>17118</v>
      </c>
      <c r="C1811" s="24" t="s">
        <v>17119</v>
      </c>
      <c r="D1811" s="24" t="s">
        <v>17120</v>
      </c>
      <c r="E1811" s="24" t="s">
        <v>29</v>
      </c>
      <c r="F1811" s="24" t="s">
        <v>30</v>
      </c>
      <c r="G1811" s="24" t="s">
        <v>31</v>
      </c>
      <c r="H1811" s="24" t="s">
        <v>5546</v>
      </c>
      <c r="I1811" s="24" t="s">
        <v>17121</v>
      </c>
      <c r="J1811" s="24" t="s">
        <v>17122</v>
      </c>
      <c r="K1811" s="24" t="s">
        <v>17123</v>
      </c>
      <c r="L1811" s="24" t="s">
        <v>184</v>
      </c>
      <c r="M1811" s="15"/>
      <c r="N1811" s="15"/>
      <c r="O1811" s="15" t="s">
        <v>4002</v>
      </c>
      <c r="P1811" s="15" t="s">
        <v>13469</v>
      </c>
      <c r="Q1811" s="15"/>
      <c r="R1811" s="15" t="s">
        <v>17124</v>
      </c>
      <c r="S1811" s="24" t="s">
        <v>39</v>
      </c>
      <c r="T1811" s="24" t="s">
        <v>39</v>
      </c>
      <c r="U1811" s="24" t="s">
        <v>39</v>
      </c>
      <c r="V1811" s="24" t="s">
        <v>39</v>
      </c>
      <c r="W1811" s="24"/>
      <c r="X1811" s="24"/>
      <c r="Y1811" s="15"/>
      <c r="Z1811" s="15"/>
      <c r="AA1811" s="24"/>
      <c r="AB1811" s="24"/>
      <c r="AC1811" s="24"/>
      <c r="AD1811" s="24"/>
      <c r="AE1811" s="24"/>
      <c r="AF1811" s="24"/>
      <c r="AG1811" s="24"/>
      <c r="AH1811" s="24"/>
    </row>
    <row r="1812" spans="1:34" ht="75" x14ac:dyDescent="0.25">
      <c r="A1812" s="24" t="str">
        <f>HYPERLINK("https://www.cpso.on.ca/DoctorDetails/Peter-Geiling-Stenn/0041565-55541","Stenn, Peter Geiling")</f>
        <v>Stenn, Peter Geiling</v>
      </c>
      <c r="B1812" s="25" t="s">
        <v>17125</v>
      </c>
      <c r="C1812" s="24" t="s">
        <v>4370</v>
      </c>
      <c r="D1812" s="24" t="s">
        <v>17126</v>
      </c>
      <c r="E1812" s="24" t="s">
        <v>29</v>
      </c>
      <c r="F1812" s="24" t="s">
        <v>30</v>
      </c>
      <c r="G1812" s="24" t="s">
        <v>31</v>
      </c>
      <c r="H1812" s="24" t="s">
        <v>17127</v>
      </c>
      <c r="I1812" s="24" t="s">
        <v>17128</v>
      </c>
      <c r="J1812" s="24" t="s">
        <v>17129</v>
      </c>
      <c r="K1812" s="24" t="s">
        <v>1783</v>
      </c>
      <c r="L1812" s="24" t="s">
        <v>52</v>
      </c>
      <c r="M1812" s="15"/>
      <c r="N1812" s="15"/>
      <c r="O1812" s="15" t="s">
        <v>1784</v>
      </c>
      <c r="P1812" s="15" t="s">
        <v>3232</v>
      </c>
      <c r="Q1812" s="15" t="s">
        <v>17130</v>
      </c>
      <c r="R1812" s="15" t="s">
        <v>17131</v>
      </c>
      <c r="S1812" s="24" t="s">
        <v>39</v>
      </c>
      <c r="T1812" s="24" t="s">
        <v>39</v>
      </c>
      <c r="U1812" s="24" t="s">
        <v>39</v>
      </c>
      <c r="V1812" s="24" t="s">
        <v>39</v>
      </c>
      <c r="W1812" s="24"/>
      <c r="X1812" s="24"/>
      <c r="Y1812" s="15"/>
      <c r="Z1812" s="15"/>
      <c r="AA1812" s="24"/>
      <c r="AB1812" s="24"/>
      <c r="AC1812" s="24"/>
      <c r="AD1812" s="24"/>
      <c r="AE1812" s="24"/>
      <c r="AF1812" s="24"/>
      <c r="AG1812" s="24"/>
      <c r="AH1812" s="24"/>
    </row>
    <row r="1813" spans="1:34" ht="105" x14ac:dyDescent="0.25">
      <c r="A1813" s="24" t="str">
        <f>HYPERLINK("https://www.cpso.on.ca/DoctorDetails/Peter-Giacobbe/0181936-76203","Giacobbe, Peter")</f>
        <v>Giacobbe, Peter</v>
      </c>
      <c r="B1813" s="25" t="s">
        <v>17132</v>
      </c>
      <c r="C1813" s="24" t="s">
        <v>1130</v>
      </c>
      <c r="D1813" s="24" t="s">
        <v>4401</v>
      </c>
      <c r="E1813" s="24" t="s">
        <v>29</v>
      </c>
      <c r="F1813" s="24" t="s">
        <v>30</v>
      </c>
      <c r="G1813" s="24" t="s">
        <v>31</v>
      </c>
      <c r="H1813" s="24" t="s">
        <v>7638</v>
      </c>
      <c r="I1813" s="24" t="s">
        <v>17133</v>
      </c>
      <c r="J1813" s="24" t="s">
        <v>17134</v>
      </c>
      <c r="K1813" s="24" t="s">
        <v>17135</v>
      </c>
      <c r="L1813" s="24" t="s">
        <v>52</v>
      </c>
      <c r="M1813" s="15"/>
      <c r="N1813" s="15"/>
      <c r="O1813" s="15" t="s">
        <v>17136</v>
      </c>
      <c r="P1813" s="15" t="s">
        <v>1149</v>
      </c>
      <c r="Q1813" s="15" t="s">
        <v>7801</v>
      </c>
      <c r="R1813" s="15" t="s">
        <v>4407</v>
      </c>
      <c r="S1813" s="24" t="s">
        <v>39</v>
      </c>
      <c r="T1813" s="24" t="s">
        <v>39</v>
      </c>
      <c r="U1813" s="24" t="s">
        <v>39</v>
      </c>
      <c r="V1813" s="24" t="s">
        <v>39</v>
      </c>
      <c r="W1813" s="24"/>
      <c r="X1813" s="24"/>
      <c r="Y1813" s="15"/>
      <c r="Z1813" s="15"/>
      <c r="AA1813" s="24"/>
      <c r="AB1813" s="24"/>
      <c r="AC1813" s="24"/>
      <c r="AD1813" s="24"/>
      <c r="AE1813" s="24"/>
      <c r="AF1813" s="24"/>
      <c r="AG1813" s="24"/>
      <c r="AH1813" s="24"/>
    </row>
    <row r="1814" spans="1:34" ht="75" x14ac:dyDescent="0.25">
      <c r="A1814" s="24" t="str">
        <f>HYPERLINK("https://www.cpso.on.ca/DoctorDetails/Peter-Grahame-Braunberger/0169302-75221","Braunberger, Peter Grahame")</f>
        <v>Braunberger, Peter Grahame</v>
      </c>
      <c r="B1814" s="25" t="s">
        <v>17137</v>
      </c>
      <c r="C1814" s="24" t="s">
        <v>17138</v>
      </c>
      <c r="D1814" s="24" t="s">
        <v>17139</v>
      </c>
      <c r="E1814" s="24" t="s">
        <v>29</v>
      </c>
      <c r="F1814" s="24" t="s">
        <v>30</v>
      </c>
      <c r="G1814" s="24" t="s">
        <v>31</v>
      </c>
      <c r="H1814" s="24" t="s">
        <v>4067</v>
      </c>
      <c r="I1814" s="24" t="s">
        <v>17140</v>
      </c>
      <c r="J1814" s="24" t="s">
        <v>4259</v>
      </c>
      <c r="K1814" s="24" t="s">
        <v>4260</v>
      </c>
      <c r="L1814" s="24" t="s">
        <v>3849</v>
      </c>
      <c r="M1814" s="15" t="s">
        <v>17141</v>
      </c>
      <c r="N1814" s="15" t="s">
        <v>17142</v>
      </c>
      <c r="O1814" s="15" t="s">
        <v>17143</v>
      </c>
      <c r="P1814" s="15" t="s">
        <v>1239</v>
      </c>
      <c r="Q1814" s="15" t="s">
        <v>3648</v>
      </c>
      <c r="R1814" s="15" t="s">
        <v>17144</v>
      </c>
      <c r="S1814" s="24" t="s">
        <v>39</v>
      </c>
      <c r="T1814" s="24" t="s">
        <v>39</v>
      </c>
      <c r="U1814" s="24" t="s">
        <v>39</v>
      </c>
      <c r="V1814" s="24" t="s">
        <v>39</v>
      </c>
      <c r="W1814" s="24" t="s">
        <v>17145</v>
      </c>
      <c r="X1814" s="24" t="s">
        <v>17146</v>
      </c>
      <c r="Y1814" s="15" t="s">
        <v>17147</v>
      </c>
      <c r="Z1814" s="15" t="s">
        <v>17148</v>
      </c>
      <c r="AA1814" s="24"/>
      <c r="AB1814" s="24"/>
      <c r="AC1814" s="24"/>
      <c r="AD1814" s="24"/>
      <c r="AE1814" s="24"/>
      <c r="AF1814" s="24"/>
      <c r="AG1814" s="24"/>
      <c r="AH1814" s="24"/>
    </row>
    <row r="1815" spans="1:34" ht="30" x14ac:dyDescent="0.25">
      <c r="A1815" s="24" t="str">
        <f>HYPERLINK("https://www.cpso.on.ca/DoctorDetails/Peter-Gunther-Turner/0023707-28499","Turner, Peter Gunther")</f>
        <v>Turner, Peter Gunther</v>
      </c>
      <c r="B1815" s="25" t="s">
        <v>17149</v>
      </c>
      <c r="C1815" s="24" t="s">
        <v>17150</v>
      </c>
      <c r="D1815" s="24" t="s">
        <v>17151</v>
      </c>
      <c r="E1815" s="24" t="s">
        <v>29</v>
      </c>
      <c r="F1815" s="24" t="s">
        <v>30</v>
      </c>
      <c r="G1815" s="24" t="s">
        <v>6608</v>
      </c>
      <c r="H1815" s="24" t="s">
        <v>17152</v>
      </c>
      <c r="I1815" s="24" t="s">
        <v>17153</v>
      </c>
      <c r="J1815" s="24" t="s">
        <v>6156</v>
      </c>
      <c r="K1815" s="24" t="s">
        <v>17154</v>
      </c>
      <c r="L1815" s="24" t="s">
        <v>184</v>
      </c>
      <c r="M1815" s="15" t="s">
        <v>17155</v>
      </c>
      <c r="N1815" s="15"/>
      <c r="O1815" s="15" t="s">
        <v>17156</v>
      </c>
      <c r="P1815" s="15" t="s">
        <v>8878</v>
      </c>
      <c r="Q1815" s="15"/>
      <c r="R1815" s="15" t="s">
        <v>17157</v>
      </c>
      <c r="S1815" s="24" t="s">
        <v>39</v>
      </c>
      <c r="T1815" s="24" t="s">
        <v>39</v>
      </c>
      <c r="U1815" s="24" t="s">
        <v>39</v>
      </c>
      <c r="V1815" s="24" t="s">
        <v>39</v>
      </c>
      <c r="W1815" s="24" t="s">
        <v>17158</v>
      </c>
      <c r="X1815" s="24" t="s">
        <v>3525</v>
      </c>
      <c r="Y1815" s="15" t="s">
        <v>17159</v>
      </c>
      <c r="Z1815" s="15" t="s">
        <v>17160</v>
      </c>
      <c r="AA1815" s="24"/>
      <c r="AB1815" s="24"/>
      <c r="AC1815" s="24"/>
      <c r="AD1815" s="24"/>
      <c r="AE1815" s="24"/>
      <c r="AF1815" s="24"/>
      <c r="AG1815" s="24"/>
      <c r="AH1815" s="24"/>
    </row>
    <row r="1816" spans="1:34" ht="60" x14ac:dyDescent="0.25">
      <c r="A1816" s="24" t="str">
        <f>HYPERLINK("https://www.cpso.on.ca/DoctorDetails/Peter-Huntley-Keefe/0024371-29193","Keefe, Peter Huntley")</f>
        <v>Keefe, Peter Huntley</v>
      </c>
      <c r="B1816" s="25" t="s">
        <v>17161</v>
      </c>
      <c r="C1816" s="24" t="s">
        <v>17162</v>
      </c>
      <c r="D1816" s="24" t="s">
        <v>17163</v>
      </c>
      <c r="E1816" s="24" t="s">
        <v>29</v>
      </c>
      <c r="F1816" s="24" t="s">
        <v>30</v>
      </c>
      <c r="G1816" s="24" t="s">
        <v>31</v>
      </c>
      <c r="H1816" s="24" t="s">
        <v>7343</v>
      </c>
      <c r="I1816" s="24" t="s">
        <v>17164</v>
      </c>
      <c r="J1816" s="24" t="s">
        <v>17165</v>
      </c>
      <c r="K1816" s="24"/>
      <c r="L1816" s="24" t="s">
        <v>52</v>
      </c>
      <c r="M1816" s="15" t="s">
        <v>17166</v>
      </c>
      <c r="N1816" s="15" t="s">
        <v>735</v>
      </c>
      <c r="O1816" s="15" t="s">
        <v>1201</v>
      </c>
      <c r="P1816" s="15" t="s">
        <v>17167</v>
      </c>
      <c r="Q1816" s="15"/>
      <c r="R1816" s="15" t="s">
        <v>17168</v>
      </c>
      <c r="S1816" s="24" t="s">
        <v>39</v>
      </c>
      <c r="T1816" s="24" t="s">
        <v>39</v>
      </c>
      <c r="U1816" s="24" t="s">
        <v>39</v>
      </c>
      <c r="V1816" s="24" t="s">
        <v>39</v>
      </c>
      <c r="W1816" s="24"/>
      <c r="X1816" s="24"/>
      <c r="Y1816" s="15"/>
      <c r="Z1816" s="15"/>
      <c r="AA1816" s="24"/>
      <c r="AB1816" s="24"/>
      <c r="AC1816" s="24"/>
      <c r="AD1816" s="24"/>
      <c r="AE1816" s="24"/>
      <c r="AF1816" s="24"/>
      <c r="AG1816" s="24"/>
      <c r="AH1816" s="24"/>
    </row>
    <row r="1817" spans="1:34" ht="75" x14ac:dyDescent="0.25">
      <c r="A1817" s="24" t="str">
        <f>HYPERLINK("https://www.cpso.on.ca/DoctorDetails/Peter-Ian-Collins/0038428-52404","Collins, Peter Ian")</f>
        <v>Collins, Peter Ian</v>
      </c>
      <c r="B1817" s="25" t="s">
        <v>17169</v>
      </c>
      <c r="C1817" s="24" t="s">
        <v>3561</v>
      </c>
      <c r="D1817" s="24" t="s">
        <v>5834</v>
      </c>
      <c r="E1817" s="24" t="s">
        <v>29</v>
      </c>
      <c r="F1817" s="24" t="s">
        <v>30</v>
      </c>
      <c r="G1817" s="24" t="s">
        <v>31</v>
      </c>
      <c r="H1817" s="24" t="s">
        <v>2003</v>
      </c>
      <c r="I1817" s="24" t="s">
        <v>17170</v>
      </c>
      <c r="J1817" s="24" t="s">
        <v>17171</v>
      </c>
      <c r="K1817" s="24" t="s">
        <v>17172</v>
      </c>
      <c r="L1817" s="24" t="s">
        <v>52</v>
      </c>
      <c r="M1817" s="15" t="s">
        <v>17173</v>
      </c>
      <c r="N1817" s="15"/>
      <c r="O1817" s="15" t="s">
        <v>793</v>
      </c>
      <c r="P1817" s="15" t="s">
        <v>8889</v>
      </c>
      <c r="Q1817" s="15" t="s">
        <v>17174</v>
      </c>
      <c r="R1817" s="15" t="s">
        <v>17175</v>
      </c>
      <c r="S1817" s="24" t="s">
        <v>39</v>
      </c>
      <c r="T1817" s="24" t="s">
        <v>39</v>
      </c>
      <c r="U1817" s="24" t="s">
        <v>39</v>
      </c>
      <c r="V1817" s="24" t="s">
        <v>71</v>
      </c>
      <c r="W1817" s="24" t="s">
        <v>17176</v>
      </c>
      <c r="X1817" s="24" t="s">
        <v>11308</v>
      </c>
      <c r="Y1817" s="15" t="s">
        <v>17177</v>
      </c>
      <c r="Z1817" s="15" t="s">
        <v>17178</v>
      </c>
      <c r="AA1817" s="24"/>
      <c r="AB1817" s="24"/>
      <c r="AC1817" s="24"/>
      <c r="AD1817" s="24"/>
      <c r="AE1817" s="24"/>
      <c r="AF1817" s="24"/>
      <c r="AG1817" s="24"/>
      <c r="AH1817" s="24"/>
    </row>
    <row r="1818" spans="1:34" ht="45" x14ac:dyDescent="0.25">
      <c r="A1818" s="24" t="str">
        <f>HYPERLINK("https://www.cpso.on.ca/DoctorDetails/Peter-Ignatius-Mary-Moran/0050535-64514","Moran, Peter Ignatius Mary")</f>
        <v>Moran, Peter Ignatius Mary</v>
      </c>
      <c r="B1818" s="25" t="s">
        <v>17179</v>
      </c>
      <c r="C1818" s="24" t="s">
        <v>17180</v>
      </c>
      <c r="D1818" s="24" t="s">
        <v>17181</v>
      </c>
      <c r="E1818" s="24" t="s">
        <v>29</v>
      </c>
      <c r="F1818" s="24" t="s">
        <v>30</v>
      </c>
      <c r="G1818" s="24" t="s">
        <v>17182</v>
      </c>
      <c r="H1818" s="24" t="s">
        <v>17183</v>
      </c>
      <c r="I1818" s="24" t="s">
        <v>17184</v>
      </c>
      <c r="J1818" s="24" t="s">
        <v>17185</v>
      </c>
      <c r="K1818" s="24" t="s">
        <v>17186</v>
      </c>
      <c r="L1818" s="24" t="s">
        <v>52</v>
      </c>
      <c r="M1818" s="15" t="s">
        <v>17187</v>
      </c>
      <c r="N1818" s="15" t="s">
        <v>4171</v>
      </c>
      <c r="O1818" s="15" t="s">
        <v>1201</v>
      </c>
      <c r="P1818" s="15" t="s">
        <v>13069</v>
      </c>
      <c r="Q1818" s="15"/>
      <c r="R1818" s="15" t="s">
        <v>17188</v>
      </c>
      <c r="S1818" s="24" t="s">
        <v>39</v>
      </c>
      <c r="T1818" s="24" t="s">
        <v>39</v>
      </c>
      <c r="U1818" s="24" t="s">
        <v>39</v>
      </c>
      <c r="V1818" s="24" t="s">
        <v>39</v>
      </c>
      <c r="W1818" s="24" t="s">
        <v>17189</v>
      </c>
      <c r="X1818" s="24" t="s">
        <v>17190</v>
      </c>
      <c r="Y1818" s="15" t="s">
        <v>17191</v>
      </c>
      <c r="Z1818" s="15" t="s">
        <v>17192</v>
      </c>
      <c r="AA1818" s="24"/>
      <c r="AB1818" s="24"/>
      <c r="AC1818" s="24"/>
      <c r="AD1818" s="24"/>
      <c r="AE1818" s="24"/>
      <c r="AF1818" s="24"/>
      <c r="AG1818" s="24"/>
      <c r="AH1818" s="24"/>
    </row>
    <row r="1819" spans="1:34" ht="30" x14ac:dyDescent="0.25">
      <c r="A1819" s="24" t="str">
        <f>HYPERLINK("https://www.cpso.on.ca/DoctorDetails/Peter-Ilja-Zelina/0037912-51888","Zelina, Peter Ilja")</f>
        <v>Zelina, Peter Ilja</v>
      </c>
      <c r="B1819" s="25" t="s">
        <v>17193</v>
      </c>
      <c r="C1819" s="24" t="s">
        <v>7148</v>
      </c>
      <c r="D1819" s="24" t="s">
        <v>17194</v>
      </c>
      <c r="E1819" s="24" t="s">
        <v>29</v>
      </c>
      <c r="F1819" s="24" t="s">
        <v>30</v>
      </c>
      <c r="G1819" s="24" t="s">
        <v>17195</v>
      </c>
      <c r="H1819" s="24" t="s">
        <v>17196</v>
      </c>
      <c r="I1819" s="24" t="s">
        <v>17197</v>
      </c>
      <c r="J1819" s="24" t="s">
        <v>17198</v>
      </c>
      <c r="K1819" s="24" t="s">
        <v>17199</v>
      </c>
      <c r="L1819" s="24" t="s">
        <v>36</v>
      </c>
      <c r="M1819" s="15"/>
      <c r="N1819" s="15"/>
      <c r="O1819" s="15" t="s">
        <v>867</v>
      </c>
      <c r="P1819" s="15" t="s">
        <v>785</v>
      </c>
      <c r="Q1819" s="15"/>
      <c r="R1819" s="15" t="s">
        <v>17200</v>
      </c>
      <c r="S1819" s="24" t="s">
        <v>39</v>
      </c>
      <c r="T1819" s="24" t="s">
        <v>39</v>
      </c>
      <c r="U1819" s="24" t="s">
        <v>39</v>
      </c>
      <c r="V1819" s="24" t="s">
        <v>39</v>
      </c>
      <c r="W1819" s="24" t="s">
        <v>17201</v>
      </c>
      <c r="X1819" s="24" t="s">
        <v>17202</v>
      </c>
      <c r="Y1819" s="15" t="s">
        <v>17203</v>
      </c>
      <c r="Z1819" s="15" t="s">
        <v>17204</v>
      </c>
      <c r="AA1819" s="24"/>
      <c r="AB1819" s="24"/>
      <c r="AC1819" s="24"/>
      <c r="AD1819" s="24"/>
      <c r="AE1819" s="24"/>
      <c r="AF1819" s="24"/>
      <c r="AG1819" s="24"/>
      <c r="AH1819" s="24"/>
    </row>
    <row r="1820" spans="1:34" ht="30" x14ac:dyDescent="0.25">
      <c r="A1820" s="24" t="str">
        <f>HYPERLINK("https://www.cpso.on.ca/DoctorDetails/Peter-James-Faux/0018658-23445","Faux, Peter James")</f>
        <v>Faux, Peter James</v>
      </c>
      <c r="B1820" s="25" t="s">
        <v>17205</v>
      </c>
      <c r="C1820" s="24" t="s">
        <v>17206</v>
      </c>
      <c r="D1820" s="24" t="s">
        <v>17207</v>
      </c>
      <c r="E1820" s="24" t="s">
        <v>29</v>
      </c>
      <c r="F1820" s="24" t="s">
        <v>30</v>
      </c>
      <c r="G1820" s="24" t="s">
        <v>31</v>
      </c>
      <c r="H1820" s="24" t="s">
        <v>5310</v>
      </c>
      <c r="I1820" s="24" t="s">
        <v>17208</v>
      </c>
      <c r="J1820" s="24" t="s">
        <v>17209</v>
      </c>
      <c r="K1820" s="24"/>
      <c r="L1820" s="24" t="s">
        <v>36</v>
      </c>
      <c r="M1820" s="15"/>
      <c r="N1820" s="15"/>
      <c r="O1820" s="15"/>
      <c r="P1820" s="15" t="s">
        <v>10533</v>
      </c>
      <c r="Q1820" s="15"/>
      <c r="R1820" s="15" t="s">
        <v>17210</v>
      </c>
      <c r="S1820" s="24" t="s">
        <v>39</v>
      </c>
      <c r="T1820" s="24" t="s">
        <v>39</v>
      </c>
      <c r="U1820" s="24" t="s">
        <v>39</v>
      </c>
      <c r="V1820" s="24" t="s">
        <v>39</v>
      </c>
      <c r="W1820" s="24"/>
      <c r="X1820" s="24"/>
      <c r="Y1820" s="15"/>
      <c r="Z1820" s="15"/>
      <c r="AA1820" s="24"/>
      <c r="AB1820" s="24"/>
      <c r="AC1820" s="24"/>
      <c r="AD1820" s="24"/>
      <c r="AE1820" s="24"/>
      <c r="AF1820" s="24"/>
      <c r="AG1820" s="24"/>
      <c r="AH1820" s="24"/>
    </row>
    <row r="1821" spans="1:34" ht="30" x14ac:dyDescent="0.25">
      <c r="A1821" s="24" t="str">
        <f>HYPERLINK("https://www.cpso.on.ca/DoctorDetails/Peter-John-Schmidt/0037697-51673","Schmidt, Peter John")</f>
        <v>Schmidt, Peter John</v>
      </c>
      <c r="B1821" s="25" t="s">
        <v>17211</v>
      </c>
      <c r="C1821" s="24" t="s">
        <v>3746</v>
      </c>
      <c r="D1821" s="24" t="s">
        <v>17212</v>
      </c>
      <c r="E1821" s="24" t="s">
        <v>29</v>
      </c>
      <c r="F1821" s="24" t="s">
        <v>30</v>
      </c>
      <c r="G1821" s="24" t="s">
        <v>31</v>
      </c>
      <c r="H1821" s="24" t="s">
        <v>17213</v>
      </c>
      <c r="I1821" s="24" t="s">
        <v>17214</v>
      </c>
      <c r="J1821" s="24" t="s">
        <v>17215</v>
      </c>
      <c r="K1821" s="24"/>
      <c r="L1821" s="24"/>
      <c r="M1821" s="15"/>
      <c r="N1821" s="15" t="s">
        <v>17216</v>
      </c>
      <c r="O1821" s="15"/>
      <c r="P1821" s="15" t="s">
        <v>1877</v>
      </c>
      <c r="Q1821" s="15"/>
      <c r="R1821" s="15" t="s">
        <v>17217</v>
      </c>
      <c r="S1821" s="24" t="s">
        <v>39</v>
      </c>
      <c r="T1821" s="24" t="s">
        <v>39</v>
      </c>
      <c r="U1821" s="24" t="s">
        <v>39</v>
      </c>
      <c r="V1821" s="24" t="s">
        <v>39</v>
      </c>
      <c r="W1821" s="24"/>
      <c r="X1821" s="24"/>
      <c r="Y1821" s="15"/>
      <c r="Z1821" s="15"/>
      <c r="AA1821" s="24"/>
      <c r="AB1821" s="24"/>
      <c r="AC1821" s="24"/>
      <c r="AD1821" s="24"/>
      <c r="AE1821" s="24"/>
      <c r="AF1821" s="24"/>
      <c r="AG1821" s="24"/>
      <c r="AH1821" s="24"/>
    </row>
    <row r="1822" spans="1:34" ht="105" x14ac:dyDescent="0.25">
      <c r="A1822" s="24" t="str">
        <f>HYPERLINK("https://www.cpso.on.ca/DoctorDetails/Peter-John-Schubert/0056821-68409","Schubert, Peter John")</f>
        <v>Schubert, Peter John</v>
      </c>
      <c r="B1822" s="25" t="s">
        <v>17218</v>
      </c>
      <c r="C1822" s="24" t="s">
        <v>11992</v>
      </c>
      <c r="D1822" s="24" t="s">
        <v>17219</v>
      </c>
      <c r="E1822" s="24" t="s">
        <v>29</v>
      </c>
      <c r="F1822" s="24" t="s">
        <v>30</v>
      </c>
      <c r="G1822" s="24" t="s">
        <v>31</v>
      </c>
      <c r="H1822" s="24" t="s">
        <v>17220</v>
      </c>
      <c r="I1822" s="24" t="s">
        <v>5874</v>
      </c>
      <c r="J1822" s="24" t="s">
        <v>17221</v>
      </c>
      <c r="K1822" s="24" t="s">
        <v>17222</v>
      </c>
      <c r="L1822" s="24" t="s">
        <v>3849</v>
      </c>
      <c r="M1822" s="15"/>
      <c r="N1822" s="15"/>
      <c r="O1822" s="15" t="s">
        <v>4262</v>
      </c>
      <c r="P1822" s="15" t="s">
        <v>1868</v>
      </c>
      <c r="Q1822" s="15" t="s">
        <v>17223</v>
      </c>
      <c r="R1822" s="15" t="s">
        <v>17224</v>
      </c>
      <c r="S1822" s="24" t="s">
        <v>39</v>
      </c>
      <c r="T1822" s="24" t="s">
        <v>39</v>
      </c>
      <c r="U1822" s="24" t="s">
        <v>39</v>
      </c>
      <c r="V1822" s="24" t="s">
        <v>39</v>
      </c>
      <c r="W1822" s="24" t="s">
        <v>17225</v>
      </c>
      <c r="X1822" s="24" t="s">
        <v>17226</v>
      </c>
      <c r="Y1822" s="15" t="s">
        <v>17227</v>
      </c>
      <c r="Z1822" s="15" t="s">
        <v>17228</v>
      </c>
      <c r="AA1822" s="24"/>
      <c r="AB1822" s="24"/>
      <c r="AC1822" s="24"/>
      <c r="AD1822" s="24"/>
      <c r="AE1822" s="24"/>
      <c r="AF1822" s="24"/>
      <c r="AG1822" s="24"/>
      <c r="AH1822" s="24"/>
    </row>
    <row r="1823" spans="1:34" ht="60" x14ac:dyDescent="0.25">
      <c r="A1823" s="24" t="str">
        <f>HYPERLINK("https://www.cpso.on.ca/DoctorDetails/Peter-Joseph-Irvin-Brown/0026617-31440","Brown, Peter Joseph Irvin")</f>
        <v>Brown, Peter Joseph Irvin</v>
      </c>
      <c r="B1823" s="25" t="s">
        <v>17229</v>
      </c>
      <c r="C1823" s="24" t="s">
        <v>17230</v>
      </c>
      <c r="D1823" s="24" t="s">
        <v>17231</v>
      </c>
      <c r="E1823" s="24" t="s">
        <v>29</v>
      </c>
      <c r="F1823" s="24" t="s">
        <v>30</v>
      </c>
      <c r="G1823" s="24" t="s">
        <v>31</v>
      </c>
      <c r="H1823" s="24" t="s">
        <v>2836</v>
      </c>
      <c r="I1823" s="24" t="s">
        <v>17232</v>
      </c>
      <c r="J1823" s="24" t="s">
        <v>17233</v>
      </c>
      <c r="K1823" s="24" t="s">
        <v>17234</v>
      </c>
      <c r="L1823" s="24"/>
      <c r="M1823" s="15"/>
      <c r="N1823" s="15" t="s">
        <v>17235</v>
      </c>
      <c r="O1823" s="15"/>
      <c r="P1823" s="15" t="s">
        <v>5751</v>
      </c>
      <c r="Q1823" s="15"/>
      <c r="R1823" s="15" t="s">
        <v>17236</v>
      </c>
      <c r="S1823" s="24" t="s">
        <v>39</v>
      </c>
      <c r="T1823" s="24" t="s">
        <v>39</v>
      </c>
      <c r="U1823" s="24" t="s">
        <v>39</v>
      </c>
      <c r="V1823" s="24" t="s">
        <v>39</v>
      </c>
      <c r="W1823" s="24"/>
      <c r="X1823" s="24"/>
      <c r="Y1823" s="15"/>
      <c r="Z1823" s="15"/>
      <c r="AA1823" s="24"/>
      <c r="AB1823" s="24"/>
      <c r="AC1823" s="24"/>
      <c r="AD1823" s="24"/>
      <c r="AE1823" s="24"/>
      <c r="AF1823" s="24"/>
      <c r="AG1823" s="24"/>
      <c r="AH1823" s="24"/>
    </row>
    <row r="1824" spans="1:34" ht="45" x14ac:dyDescent="0.25">
      <c r="A1824" s="24" t="str">
        <f>HYPERLINK("https://www.cpso.on.ca/DoctorDetails/Peter-Joseph-Kraus/0021653-26442","Kraus, Peter Joseph")</f>
        <v>Kraus, Peter Joseph</v>
      </c>
      <c r="B1824" s="25" t="s">
        <v>17237</v>
      </c>
      <c r="C1824" s="24" t="s">
        <v>3973</v>
      </c>
      <c r="D1824" s="24" t="s">
        <v>3974</v>
      </c>
      <c r="E1824" s="24" t="s">
        <v>29</v>
      </c>
      <c r="F1824" s="24" t="s">
        <v>30</v>
      </c>
      <c r="G1824" s="24" t="s">
        <v>31</v>
      </c>
      <c r="H1824" s="24" t="s">
        <v>6455</v>
      </c>
      <c r="I1824" s="24" t="s">
        <v>17238</v>
      </c>
      <c r="J1824" s="24" t="s">
        <v>17239</v>
      </c>
      <c r="K1824" s="24" t="s">
        <v>17240</v>
      </c>
      <c r="L1824" s="24" t="s">
        <v>36</v>
      </c>
      <c r="M1824" s="15"/>
      <c r="N1824" s="15"/>
      <c r="O1824" s="15"/>
      <c r="P1824" s="15" t="s">
        <v>6465</v>
      </c>
      <c r="Q1824" s="15"/>
      <c r="R1824" s="15" t="s">
        <v>17241</v>
      </c>
      <c r="S1824" s="24" t="s">
        <v>39</v>
      </c>
      <c r="T1824" s="24" t="s">
        <v>39</v>
      </c>
      <c r="U1824" s="24" t="s">
        <v>39</v>
      </c>
      <c r="V1824" s="24" t="s">
        <v>39</v>
      </c>
      <c r="W1824" s="24"/>
      <c r="X1824" s="24"/>
      <c r="Y1824" s="15"/>
      <c r="Z1824" s="15"/>
      <c r="AA1824" s="24"/>
      <c r="AB1824" s="24"/>
      <c r="AC1824" s="24"/>
      <c r="AD1824" s="24"/>
      <c r="AE1824" s="24"/>
      <c r="AF1824" s="24"/>
      <c r="AG1824" s="24"/>
      <c r="AH1824" s="24"/>
    </row>
    <row r="1825" spans="1:34" ht="60" x14ac:dyDescent="0.25">
      <c r="A1825" s="24" t="str">
        <f>HYPERLINK("https://www.cpso.on.ca/DoctorDetails/Peter-Joseph-Lang/0024421-29243","Lang, Peter Joseph")</f>
        <v>Lang, Peter Joseph</v>
      </c>
      <c r="B1825" s="25" t="s">
        <v>17242</v>
      </c>
      <c r="C1825" s="24" t="s">
        <v>17243</v>
      </c>
      <c r="D1825" s="24" t="s">
        <v>17244</v>
      </c>
      <c r="E1825" s="24" t="s">
        <v>29</v>
      </c>
      <c r="F1825" s="24" t="s">
        <v>30</v>
      </c>
      <c r="G1825" s="24" t="s">
        <v>31</v>
      </c>
      <c r="H1825" s="24" t="s">
        <v>8769</v>
      </c>
      <c r="I1825" s="24" t="s">
        <v>17245</v>
      </c>
      <c r="J1825" s="24" t="s">
        <v>17246</v>
      </c>
      <c r="K1825" s="24"/>
      <c r="L1825" s="24" t="s">
        <v>152</v>
      </c>
      <c r="M1825" s="15"/>
      <c r="N1825" s="15"/>
      <c r="O1825" s="15"/>
      <c r="P1825" s="15" t="s">
        <v>808</v>
      </c>
      <c r="Q1825" s="15"/>
      <c r="R1825" s="15" t="s">
        <v>17247</v>
      </c>
      <c r="S1825" s="24" t="s">
        <v>39</v>
      </c>
      <c r="T1825" s="24" t="s">
        <v>39</v>
      </c>
      <c r="U1825" s="24" t="s">
        <v>39</v>
      </c>
      <c r="V1825" s="24" t="s">
        <v>39</v>
      </c>
      <c r="W1825" s="24" t="s">
        <v>17248</v>
      </c>
      <c r="X1825" s="24" t="s">
        <v>17249</v>
      </c>
      <c r="Y1825" s="15"/>
      <c r="Z1825" s="15"/>
      <c r="AA1825" s="24"/>
      <c r="AB1825" s="24"/>
      <c r="AC1825" s="24"/>
      <c r="AD1825" s="24"/>
      <c r="AE1825" s="24"/>
      <c r="AF1825" s="24"/>
      <c r="AG1825" s="24"/>
      <c r="AH1825" s="24"/>
    </row>
    <row r="1826" spans="1:34" ht="30" x14ac:dyDescent="0.25">
      <c r="A1826" s="24" t="str">
        <f>HYPERLINK("https://www.cpso.on.ca/DoctorDetails/Peter-Jude-Prendergast/0028351-33174","Prendergast, Peter Jude")</f>
        <v>Prendergast, Peter Jude</v>
      </c>
      <c r="B1826" s="25" t="s">
        <v>17250</v>
      </c>
      <c r="C1826" s="24" t="s">
        <v>17251</v>
      </c>
      <c r="D1826" s="24" t="s">
        <v>17252</v>
      </c>
      <c r="E1826" s="24" t="s">
        <v>29</v>
      </c>
      <c r="F1826" s="24" t="s">
        <v>30</v>
      </c>
      <c r="G1826" s="24" t="s">
        <v>31</v>
      </c>
      <c r="H1826" s="24" t="s">
        <v>16630</v>
      </c>
      <c r="I1826" s="24" t="s">
        <v>17253</v>
      </c>
      <c r="J1826" s="24" t="s">
        <v>17254</v>
      </c>
      <c r="K1826" s="24" t="s">
        <v>17255</v>
      </c>
      <c r="L1826" s="24" t="s">
        <v>52</v>
      </c>
      <c r="M1826" s="15"/>
      <c r="N1826" s="15"/>
      <c r="O1826" s="15"/>
      <c r="P1826" s="15" t="s">
        <v>8291</v>
      </c>
      <c r="Q1826" s="15"/>
      <c r="R1826" s="15" t="s">
        <v>17256</v>
      </c>
      <c r="S1826" s="24" t="s">
        <v>39</v>
      </c>
      <c r="T1826" s="24" t="s">
        <v>39</v>
      </c>
      <c r="U1826" s="24" t="s">
        <v>39</v>
      </c>
      <c r="V1826" s="24" t="s">
        <v>39</v>
      </c>
      <c r="W1826" s="24" t="s">
        <v>17257</v>
      </c>
      <c r="X1826" s="24" t="s">
        <v>17258</v>
      </c>
      <c r="Y1826" s="15" t="s">
        <v>17259</v>
      </c>
      <c r="Z1826" s="15" t="s">
        <v>17260</v>
      </c>
      <c r="AA1826" s="24"/>
      <c r="AB1826" s="24"/>
      <c r="AC1826" s="24"/>
      <c r="AD1826" s="24"/>
      <c r="AE1826" s="24"/>
      <c r="AF1826" s="24"/>
      <c r="AG1826" s="24"/>
      <c r="AH1826" s="24"/>
    </row>
    <row r="1827" spans="1:34" ht="60" x14ac:dyDescent="0.25">
      <c r="A1827" s="24" t="str">
        <f>HYPERLINK("https://www.cpso.on.ca/DoctorDetails/Peter-Lavinis-Deroche/0039402-53378","Deroche, Peter Lavinis")</f>
        <v>Deroche, Peter Lavinis</v>
      </c>
      <c r="B1827" s="25" t="s">
        <v>17261</v>
      </c>
      <c r="C1827" s="24" t="s">
        <v>17262</v>
      </c>
      <c r="D1827" s="24" t="s">
        <v>2903</v>
      </c>
      <c r="E1827" s="24" t="s">
        <v>29</v>
      </c>
      <c r="F1827" s="24" t="s">
        <v>30</v>
      </c>
      <c r="G1827" s="24" t="s">
        <v>31</v>
      </c>
      <c r="H1827" s="24" t="s">
        <v>4211</v>
      </c>
      <c r="I1827" s="24" t="s">
        <v>4593</v>
      </c>
      <c r="J1827" s="24" t="s">
        <v>17263</v>
      </c>
      <c r="K1827" s="24" t="s">
        <v>1200</v>
      </c>
      <c r="L1827" s="24" t="s">
        <v>52</v>
      </c>
      <c r="M1827" s="15"/>
      <c r="N1827" s="15"/>
      <c r="O1827" s="15" t="s">
        <v>438</v>
      </c>
      <c r="P1827" s="15" t="s">
        <v>868</v>
      </c>
      <c r="Q1827" s="15" t="s">
        <v>5261</v>
      </c>
      <c r="R1827" s="15" t="s">
        <v>17264</v>
      </c>
      <c r="S1827" s="24" t="s">
        <v>39</v>
      </c>
      <c r="T1827" s="24" t="s">
        <v>39</v>
      </c>
      <c r="U1827" s="24" t="s">
        <v>39</v>
      </c>
      <c r="V1827" s="24" t="s">
        <v>39</v>
      </c>
      <c r="W1827" s="24"/>
      <c r="X1827" s="24"/>
      <c r="Y1827" s="15"/>
      <c r="Z1827" s="15"/>
      <c r="AA1827" s="24"/>
      <c r="AB1827" s="24"/>
      <c r="AC1827" s="24"/>
      <c r="AD1827" s="24"/>
      <c r="AE1827" s="24"/>
      <c r="AF1827" s="24"/>
      <c r="AG1827" s="24"/>
      <c r="AH1827" s="24"/>
    </row>
    <row r="1828" spans="1:34" x14ac:dyDescent="0.25">
      <c r="A1828" s="24" t="str">
        <f>HYPERLINK("https://www.cpso.on.ca/DoctorDetails/Peter-Leon-Herschman/0019322-24109","Herschman, Peter Leon")</f>
        <v>Herschman, Peter Leon</v>
      </c>
      <c r="B1828" s="25" t="s">
        <v>17265</v>
      </c>
      <c r="C1828" s="24" t="s">
        <v>10286</v>
      </c>
      <c r="D1828" s="24" t="s">
        <v>10287</v>
      </c>
      <c r="E1828" s="24" t="s">
        <v>29</v>
      </c>
      <c r="F1828" s="24" t="s">
        <v>30</v>
      </c>
      <c r="G1828" s="24" t="s">
        <v>31</v>
      </c>
      <c r="H1828" s="24" t="s">
        <v>12633</v>
      </c>
      <c r="I1828" s="24" t="s">
        <v>17266</v>
      </c>
      <c r="J1828" s="24" t="s">
        <v>17267</v>
      </c>
      <c r="K1828" s="24" t="s">
        <v>17267</v>
      </c>
      <c r="L1828" s="24" t="s">
        <v>52</v>
      </c>
      <c r="M1828" s="15"/>
      <c r="N1828" s="15"/>
      <c r="O1828" s="15"/>
      <c r="P1828" s="15" t="s">
        <v>459</v>
      </c>
      <c r="Q1828" s="15"/>
      <c r="R1828" s="15" t="s">
        <v>17268</v>
      </c>
      <c r="S1828" s="24" t="s">
        <v>39</v>
      </c>
      <c r="T1828" s="24" t="s">
        <v>39</v>
      </c>
      <c r="U1828" s="24" t="s">
        <v>39</v>
      </c>
      <c r="V1828" s="24" t="s">
        <v>39</v>
      </c>
      <c r="W1828" s="24" t="s">
        <v>17269</v>
      </c>
      <c r="X1828" s="24" t="s">
        <v>6351</v>
      </c>
      <c r="Y1828" s="15" t="s">
        <v>17270</v>
      </c>
      <c r="Z1828" s="15" t="s">
        <v>17271</v>
      </c>
      <c r="AA1828" s="24"/>
      <c r="AB1828" s="24"/>
      <c r="AC1828" s="24"/>
      <c r="AD1828" s="24"/>
      <c r="AE1828" s="24"/>
      <c r="AF1828" s="24"/>
      <c r="AG1828" s="24"/>
      <c r="AH1828" s="24"/>
    </row>
    <row r="1829" spans="1:34" ht="30" x14ac:dyDescent="0.25">
      <c r="A1829" s="24" t="str">
        <f>HYPERLINK("https://www.cpso.on.ca/DoctorDetails/Peter-Mart-Voore/0038120-52096","Voore, Peter Mart")</f>
        <v>Voore, Peter Mart</v>
      </c>
      <c r="B1829" s="25" t="s">
        <v>17272</v>
      </c>
      <c r="C1829" s="24" t="s">
        <v>3746</v>
      </c>
      <c r="D1829" s="24" t="s">
        <v>3418</v>
      </c>
      <c r="E1829" s="24" t="s">
        <v>29</v>
      </c>
      <c r="F1829" s="24" t="s">
        <v>30</v>
      </c>
      <c r="G1829" s="24" t="s">
        <v>31</v>
      </c>
      <c r="H1829" s="24" t="s">
        <v>3737</v>
      </c>
      <c r="I1829" s="24" t="s">
        <v>17273</v>
      </c>
      <c r="J1829" s="24" t="s">
        <v>1262</v>
      </c>
      <c r="K1829" s="24" t="s">
        <v>2481</v>
      </c>
      <c r="L1829" s="24" t="s">
        <v>52</v>
      </c>
      <c r="M1829" s="15"/>
      <c r="N1829" s="15"/>
      <c r="O1829" s="15" t="s">
        <v>981</v>
      </c>
      <c r="P1829" s="15" t="s">
        <v>122</v>
      </c>
      <c r="Q1829" s="15"/>
      <c r="R1829" s="15" t="s">
        <v>17274</v>
      </c>
      <c r="S1829" s="24" t="s">
        <v>39</v>
      </c>
      <c r="T1829" s="24" t="s">
        <v>39</v>
      </c>
      <c r="U1829" s="24" t="s">
        <v>39</v>
      </c>
      <c r="V1829" s="24" t="s">
        <v>39</v>
      </c>
      <c r="W1829" s="24" t="s">
        <v>17275</v>
      </c>
      <c r="X1829" s="24" t="s">
        <v>17276</v>
      </c>
      <c r="Y1829" s="15" t="s">
        <v>17277</v>
      </c>
      <c r="Z1829" s="15" t="s">
        <v>17278</v>
      </c>
      <c r="AA1829" s="24"/>
      <c r="AB1829" s="24"/>
      <c r="AC1829" s="24"/>
      <c r="AD1829" s="24"/>
      <c r="AE1829" s="24"/>
      <c r="AF1829" s="24"/>
      <c r="AG1829" s="24"/>
      <c r="AH1829" s="24"/>
    </row>
    <row r="1830" spans="1:34" ht="30" x14ac:dyDescent="0.25">
      <c r="A1830" s="24" t="str">
        <f>HYPERLINK("https://www.cpso.on.ca/DoctorDetails/Peter-Michael-Kondra/0037011-50987","Kondra, Peter Michael")</f>
        <v>Kondra, Peter Michael</v>
      </c>
      <c r="B1830" s="25" t="s">
        <v>17279</v>
      </c>
      <c r="C1830" s="24" t="s">
        <v>826</v>
      </c>
      <c r="D1830" s="24" t="s">
        <v>3437</v>
      </c>
      <c r="E1830" s="24" t="s">
        <v>29</v>
      </c>
      <c r="F1830" s="24" t="s">
        <v>30</v>
      </c>
      <c r="G1830" s="24" t="s">
        <v>6859</v>
      </c>
      <c r="H1830" s="24" t="s">
        <v>17280</v>
      </c>
      <c r="I1830" s="24" t="s">
        <v>17281</v>
      </c>
      <c r="J1830" s="24" t="s">
        <v>17282</v>
      </c>
      <c r="K1830" s="24" t="s">
        <v>12888</v>
      </c>
      <c r="L1830" s="24" t="s">
        <v>184</v>
      </c>
      <c r="M1830" s="15"/>
      <c r="N1830" s="15"/>
      <c r="O1830" s="15"/>
      <c r="P1830" s="15" t="s">
        <v>1947</v>
      </c>
      <c r="Q1830" s="15"/>
      <c r="R1830" s="15" t="s">
        <v>17283</v>
      </c>
      <c r="S1830" s="24" t="s">
        <v>39</v>
      </c>
      <c r="T1830" s="24" t="s">
        <v>39</v>
      </c>
      <c r="U1830" s="24" t="s">
        <v>39</v>
      </c>
      <c r="V1830" s="24" t="s">
        <v>39</v>
      </c>
      <c r="W1830" s="24"/>
      <c r="X1830" s="24"/>
      <c r="Y1830" s="15"/>
      <c r="Z1830" s="15"/>
      <c r="AA1830" s="24"/>
      <c r="AB1830" s="24"/>
      <c r="AC1830" s="24"/>
      <c r="AD1830" s="24"/>
      <c r="AE1830" s="24"/>
      <c r="AF1830" s="24"/>
      <c r="AG1830" s="24"/>
      <c r="AH1830" s="24"/>
    </row>
    <row r="1831" spans="1:34" ht="105" x14ac:dyDescent="0.25">
      <c r="A1831" s="24" t="str">
        <f>HYPERLINK("https://www.cpso.on.ca/DoctorDetails/Peter-Sebastian-Szymczak/0241759-87028","Szymczak, Peter Sebastian")</f>
        <v>Szymczak, Peter Sebastian</v>
      </c>
      <c r="B1831" s="25" t="s">
        <v>17284</v>
      </c>
      <c r="C1831" s="24" t="s">
        <v>17285</v>
      </c>
      <c r="D1831" s="24" t="s">
        <v>17286</v>
      </c>
      <c r="E1831" s="24" t="s">
        <v>29</v>
      </c>
      <c r="F1831" s="24" t="s">
        <v>30</v>
      </c>
      <c r="G1831" s="24" t="s">
        <v>1657</v>
      </c>
      <c r="H1831" s="24" t="s">
        <v>14643</v>
      </c>
      <c r="I1831" s="24" t="s">
        <v>17287</v>
      </c>
      <c r="J1831" s="24" t="s">
        <v>17288</v>
      </c>
      <c r="K1831" s="24" t="s">
        <v>17289</v>
      </c>
      <c r="L1831" s="24" t="s">
        <v>152</v>
      </c>
      <c r="M1831" s="15" t="s">
        <v>17290</v>
      </c>
      <c r="N1831" s="15"/>
      <c r="O1831" s="15" t="s">
        <v>1539</v>
      </c>
      <c r="P1831" s="15" t="s">
        <v>17291</v>
      </c>
      <c r="Q1831" s="15" t="s">
        <v>17292</v>
      </c>
      <c r="R1831" s="15" t="s">
        <v>17293</v>
      </c>
      <c r="S1831" s="24" t="s">
        <v>39</v>
      </c>
      <c r="T1831" s="24" t="s">
        <v>39</v>
      </c>
      <c r="U1831" s="24" t="s">
        <v>39</v>
      </c>
      <c r="V1831" s="24" t="s">
        <v>39</v>
      </c>
      <c r="W1831" s="24" t="s">
        <v>7216</v>
      </c>
      <c r="X1831" s="24" t="s">
        <v>7217</v>
      </c>
      <c r="Y1831" s="15" t="s">
        <v>7218</v>
      </c>
      <c r="Z1831" s="15" t="s">
        <v>7219</v>
      </c>
      <c r="AA1831" s="24"/>
      <c r="AB1831" s="24"/>
      <c r="AC1831" s="24"/>
      <c r="AD1831" s="24"/>
      <c r="AE1831" s="24"/>
      <c r="AF1831" s="24"/>
      <c r="AG1831" s="24"/>
      <c r="AH1831" s="24"/>
    </row>
    <row r="1832" spans="1:34" ht="30" x14ac:dyDescent="0.25">
      <c r="A1832" s="24" t="str">
        <f>HYPERLINK("https://www.cpso.on.ca/DoctorDetails/Peter-Sutton/0023936-28758","Sutton, Peter")</f>
        <v>Sutton, Peter</v>
      </c>
      <c r="B1832" s="25" t="s">
        <v>17294</v>
      </c>
      <c r="C1832" s="24" t="s">
        <v>17295</v>
      </c>
      <c r="D1832" s="24" t="s">
        <v>17296</v>
      </c>
      <c r="E1832" s="24" t="s">
        <v>29</v>
      </c>
      <c r="F1832" s="24" t="s">
        <v>30</v>
      </c>
      <c r="G1832" s="24" t="s">
        <v>31</v>
      </c>
      <c r="H1832" s="24" t="s">
        <v>17297</v>
      </c>
      <c r="I1832" s="24" t="s">
        <v>17298</v>
      </c>
      <c r="J1832" s="24" t="s">
        <v>17299</v>
      </c>
      <c r="K1832" s="24" t="s">
        <v>17300</v>
      </c>
      <c r="L1832" s="24" t="s">
        <v>52</v>
      </c>
      <c r="M1832" s="15"/>
      <c r="N1832" s="15"/>
      <c r="O1832" s="15"/>
      <c r="P1832" s="15" t="s">
        <v>1924</v>
      </c>
      <c r="Q1832" s="15"/>
      <c r="R1832" s="15" t="s">
        <v>17301</v>
      </c>
      <c r="S1832" s="24" t="s">
        <v>39</v>
      </c>
      <c r="T1832" s="24" t="s">
        <v>39</v>
      </c>
      <c r="U1832" s="24" t="s">
        <v>39</v>
      </c>
      <c r="V1832" s="24" t="s">
        <v>39</v>
      </c>
      <c r="W1832" s="24" t="s">
        <v>17302</v>
      </c>
      <c r="X1832" s="24" t="s">
        <v>17303</v>
      </c>
      <c r="Y1832" s="15" t="s">
        <v>17304</v>
      </c>
      <c r="Z1832" s="15" t="s">
        <v>17305</v>
      </c>
      <c r="AA1832" s="24"/>
      <c r="AB1832" s="24"/>
      <c r="AC1832" s="24"/>
      <c r="AD1832" s="24"/>
      <c r="AE1832" s="24"/>
      <c r="AF1832" s="24"/>
      <c r="AG1832" s="24"/>
      <c r="AH1832" s="24"/>
    </row>
    <row r="1833" spans="1:34" ht="30" x14ac:dyDescent="0.25">
      <c r="A1833" s="24" t="str">
        <f>HYPERLINK("https://www.cpso.on.ca/DoctorDetails/Peter-Szatmari/0025042-29865","Szatmari, Peter")</f>
        <v>Szatmari, Peter</v>
      </c>
      <c r="B1833" s="25" t="s">
        <v>17306</v>
      </c>
      <c r="C1833" s="24" t="s">
        <v>17307</v>
      </c>
      <c r="D1833" s="24" t="s">
        <v>17308</v>
      </c>
      <c r="E1833" s="24" t="s">
        <v>29</v>
      </c>
      <c r="F1833" s="24" t="s">
        <v>30</v>
      </c>
      <c r="G1833" s="24" t="s">
        <v>31</v>
      </c>
      <c r="H1833" s="24" t="s">
        <v>4935</v>
      </c>
      <c r="I1833" s="24" t="s">
        <v>17309</v>
      </c>
      <c r="J1833" s="24" t="s">
        <v>17310</v>
      </c>
      <c r="K1833" s="24" t="s">
        <v>17311</v>
      </c>
      <c r="L1833" s="24" t="s">
        <v>52</v>
      </c>
      <c r="M1833" s="15"/>
      <c r="N1833" s="15"/>
      <c r="O1833" s="15" t="s">
        <v>981</v>
      </c>
      <c r="P1833" s="15" t="s">
        <v>4336</v>
      </c>
      <c r="Q1833" s="15"/>
      <c r="R1833" s="15" t="s">
        <v>10370</v>
      </c>
      <c r="S1833" s="24" t="s">
        <v>39</v>
      </c>
      <c r="T1833" s="24" t="s">
        <v>39</v>
      </c>
      <c r="U1833" s="24" t="s">
        <v>39</v>
      </c>
      <c r="V1833" s="24" t="s">
        <v>39</v>
      </c>
      <c r="W1833" s="24" t="s">
        <v>17312</v>
      </c>
      <c r="X1833" s="24" t="s">
        <v>17313</v>
      </c>
      <c r="Y1833" s="15" t="s">
        <v>17314</v>
      </c>
      <c r="Z1833" s="15" t="s">
        <v>17315</v>
      </c>
      <c r="AA1833" s="24" t="s">
        <v>17316</v>
      </c>
      <c r="AB1833" s="24" t="s">
        <v>17317</v>
      </c>
      <c r="AC1833" s="24" t="s">
        <v>17314</v>
      </c>
      <c r="AD1833" s="15" t="s">
        <v>17315</v>
      </c>
      <c r="AE1833" s="24"/>
      <c r="AF1833" s="24"/>
      <c r="AG1833" s="24"/>
      <c r="AH1833" s="24"/>
    </row>
    <row r="1834" spans="1:34" ht="75" x14ac:dyDescent="0.25">
      <c r="A1834" s="24" t="str">
        <f>HYPERLINK("https://www.cpso.on.ca/DoctorDetails/Peter-Thomas-Boyles/0044508-58486","Boyles, Peter Thomas")</f>
        <v>Boyles, Peter Thomas</v>
      </c>
      <c r="B1834" s="25" t="s">
        <v>17318</v>
      </c>
      <c r="C1834" s="24" t="s">
        <v>11818</v>
      </c>
      <c r="D1834" s="24" t="s">
        <v>10223</v>
      </c>
      <c r="E1834" s="24" t="s">
        <v>29</v>
      </c>
      <c r="F1834" s="24" t="s">
        <v>30</v>
      </c>
      <c r="G1834" s="24" t="s">
        <v>31</v>
      </c>
      <c r="H1834" s="24" t="s">
        <v>13911</v>
      </c>
      <c r="I1834" s="24" t="s">
        <v>5627</v>
      </c>
      <c r="J1834" s="24" t="s">
        <v>4975</v>
      </c>
      <c r="K1834" s="24" t="s">
        <v>6703</v>
      </c>
      <c r="L1834" s="24" t="s">
        <v>84</v>
      </c>
      <c r="M1834" s="15"/>
      <c r="N1834" s="15"/>
      <c r="O1834" s="15" t="s">
        <v>3979</v>
      </c>
      <c r="P1834" s="15" t="s">
        <v>1842</v>
      </c>
      <c r="Q1834" s="15"/>
      <c r="R1834" s="15" t="s">
        <v>17319</v>
      </c>
      <c r="S1834" s="24" t="s">
        <v>39</v>
      </c>
      <c r="T1834" s="24" t="s">
        <v>39</v>
      </c>
      <c r="U1834" s="24" t="s">
        <v>39</v>
      </c>
      <c r="V1834" s="24" t="s">
        <v>39</v>
      </c>
      <c r="W1834" s="24" t="s">
        <v>17320</v>
      </c>
      <c r="X1834" s="24" t="s">
        <v>17321</v>
      </c>
      <c r="Y1834" s="15" t="s">
        <v>17322</v>
      </c>
      <c r="Z1834" s="15" t="s">
        <v>17323</v>
      </c>
      <c r="AA1834" s="24"/>
      <c r="AB1834" s="24"/>
      <c r="AC1834" s="24"/>
      <c r="AD1834" s="24"/>
      <c r="AE1834" s="24"/>
      <c r="AF1834" s="24"/>
      <c r="AG1834" s="24"/>
      <c r="AH1834" s="24"/>
    </row>
    <row r="1835" spans="1:34" ht="60" x14ac:dyDescent="0.25">
      <c r="A1835" s="24" t="str">
        <f>HYPERLINK("https://www.cpso.on.ca/DoctorDetails/Philip-David-Neilsen/0164800-74139","Neilsen, Philip David")</f>
        <v>Neilsen, Philip David</v>
      </c>
      <c r="B1835" s="25" t="s">
        <v>17324</v>
      </c>
      <c r="C1835" s="24" t="s">
        <v>17325</v>
      </c>
      <c r="D1835" s="24" t="s">
        <v>17326</v>
      </c>
      <c r="E1835" s="24" t="s">
        <v>29</v>
      </c>
      <c r="F1835" s="24" t="s">
        <v>30</v>
      </c>
      <c r="G1835" s="24" t="s">
        <v>31</v>
      </c>
      <c r="H1835" s="24" t="s">
        <v>12249</v>
      </c>
      <c r="I1835" s="24" t="s">
        <v>17327</v>
      </c>
      <c r="J1835" s="24" t="s">
        <v>17328</v>
      </c>
      <c r="K1835" s="24" t="s">
        <v>17329</v>
      </c>
      <c r="L1835" s="24" t="s">
        <v>135</v>
      </c>
      <c r="M1835" s="15"/>
      <c r="N1835" s="15"/>
      <c r="O1835" s="15" t="s">
        <v>17330</v>
      </c>
      <c r="P1835" s="15" t="s">
        <v>17331</v>
      </c>
      <c r="Q1835" s="15" t="s">
        <v>17332</v>
      </c>
      <c r="R1835" s="15" t="s">
        <v>17333</v>
      </c>
      <c r="S1835" s="24" t="s">
        <v>39</v>
      </c>
      <c r="T1835" s="24" t="s">
        <v>39</v>
      </c>
      <c r="U1835" s="24" t="s">
        <v>39</v>
      </c>
      <c r="V1835" s="24" t="s">
        <v>39</v>
      </c>
      <c r="W1835" s="24" t="s">
        <v>17334</v>
      </c>
      <c r="X1835" s="24" t="s">
        <v>17335</v>
      </c>
      <c r="Y1835" s="15" t="s">
        <v>17336</v>
      </c>
      <c r="Z1835" s="15" t="s">
        <v>17337</v>
      </c>
      <c r="AA1835" s="24"/>
      <c r="AB1835" s="24"/>
      <c r="AC1835" s="24"/>
      <c r="AD1835" s="24"/>
      <c r="AE1835" s="24"/>
      <c r="AF1835" s="24"/>
      <c r="AG1835" s="24"/>
      <c r="AH1835" s="24"/>
    </row>
    <row r="1836" spans="1:34" ht="45" x14ac:dyDescent="0.25">
      <c r="A1836" s="24" t="str">
        <f>HYPERLINK("https://www.cpso.on.ca/DoctorDetails/Philip-Edwin-Klassen/0046161-60139","Klassen, Philip Edwin")</f>
        <v>Klassen, Philip Edwin</v>
      </c>
      <c r="B1836" s="25" t="s">
        <v>17338</v>
      </c>
      <c r="C1836" s="24" t="s">
        <v>17339</v>
      </c>
      <c r="D1836" s="24" t="s">
        <v>17340</v>
      </c>
      <c r="E1836" s="24" t="s">
        <v>29</v>
      </c>
      <c r="F1836" s="24" t="s">
        <v>30</v>
      </c>
      <c r="G1836" s="24" t="s">
        <v>31</v>
      </c>
      <c r="H1836" s="24" t="s">
        <v>17341</v>
      </c>
      <c r="I1836" s="24" t="s">
        <v>4541</v>
      </c>
      <c r="J1836" s="24" t="s">
        <v>17342</v>
      </c>
      <c r="K1836" s="24" t="s">
        <v>13459</v>
      </c>
      <c r="L1836" s="24" t="s">
        <v>36</v>
      </c>
      <c r="M1836" s="15" t="s">
        <v>17343</v>
      </c>
      <c r="N1836" s="15" t="s">
        <v>17344</v>
      </c>
      <c r="O1836" s="15" t="s">
        <v>3590</v>
      </c>
      <c r="P1836" s="15" t="s">
        <v>17345</v>
      </c>
      <c r="Q1836" s="15" t="s">
        <v>12379</v>
      </c>
      <c r="R1836" s="15" t="s">
        <v>17346</v>
      </c>
      <c r="S1836" s="24" t="s">
        <v>39</v>
      </c>
      <c r="T1836" s="24" t="s">
        <v>39</v>
      </c>
      <c r="U1836" s="24" t="s">
        <v>39</v>
      </c>
      <c r="V1836" s="24" t="s">
        <v>39</v>
      </c>
      <c r="W1836" s="24" t="s">
        <v>17347</v>
      </c>
      <c r="X1836" s="24" t="s">
        <v>17348</v>
      </c>
      <c r="Y1836" s="15" t="s">
        <v>17349</v>
      </c>
      <c r="Z1836" s="15" t="s">
        <v>17350</v>
      </c>
      <c r="AA1836" s="24"/>
      <c r="AB1836" s="24"/>
      <c r="AC1836" s="24"/>
      <c r="AD1836" s="24"/>
      <c r="AE1836" s="24"/>
      <c r="AF1836" s="24"/>
      <c r="AG1836" s="24"/>
      <c r="AH1836" s="24"/>
    </row>
    <row r="1837" spans="1:34" ht="135" x14ac:dyDescent="0.25">
      <c r="A1837" s="24" t="str">
        <f>HYPERLINK("https://www.cpso.on.ca/DoctorDetails/Philip-Matthew-Gerretsen/0242498-86749","Gerretsen, Philip Matthew")</f>
        <v>Gerretsen, Philip Matthew</v>
      </c>
      <c r="B1837" s="25" t="s">
        <v>17351</v>
      </c>
      <c r="C1837" s="24" t="s">
        <v>4079</v>
      </c>
      <c r="D1837" s="24" t="s">
        <v>1594</v>
      </c>
      <c r="E1837" s="24" t="s">
        <v>29</v>
      </c>
      <c r="F1837" s="24" t="s">
        <v>30</v>
      </c>
      <c r="G1837" s="24" t="s">
        <v>468</v>
      </c>
      <c r="H1837" s="24" t="s">
        <v>4320</v>
      </c>
      <c r="I1837" s="24" t="s">
        <v>1447</v>
      </c>
      <c r="J1837" s="24" t="s">
        <v>1262</v>
      </c>
      <c r="K1837" s="24"/>
      <c r="L1837" s="24" t="s">
        <v>52</v>
      </c>
      <c r="M1837" s="15" t="s">
        <v>17352</v>
      </c>
      <c r="N1837" s="15"/>
      <c r="O1837" s="15" t="s">
        <v>17353</v>
      </c>
      <c r="P1837" s="15" t="s">
        <v>1074</v>
      </c>
      <c r="Q1837" s="15" t="s">
        <v>17354</v>
      </c>
      <c r="R1837" s="15" t="s">
        <v>17355</v>
      </c>
      <c r="S1837" s="24" t="s">
        <v>39</v>
      </c>
      <c r="T1837" s="24" t="s">
        <v>39</v>
      </c>
      <c r="U1837" s="24" t="s">
        <v>39</v>
      </c>
      <c r="V1837" s="24" t="s">
        <v>39</v>
      </c>
      <c r="W1837" s="24" t="s">
        <v>17356</v>
      </c>
      <c r="X1837" s="24" t="s">
        <v>17357</v>
      </c>
      <c r="Y1837" s="15" t="s">
        <v>17358</v>
      </c>
      <c r="Z1837" s="15" t="s">
        <v>17359</v>
      </c>
      <c r="AA1837" s="24"/>
      <c r="AB1837" s="24"/>
      <c r="AC1837" s="24"/>
      <c r="AD1837" s="24"/>
      <c r="AE1837" s="24"/>
      <c r="AF1837" s="24"/>
      <c r="AG1837" s="24"/>
      <c r="AH1837" s="24"/>
    </row>
    <row r="1838" spans="1:34" ht="45" x14ac:dyDescent="0.25">
      <c r="A1838" s="24" t="str">
        <f>HYPERLINK("https://www.cpso.on.ca/DoctorDetails/Philip-Nathan-Cheifetz/0013164-17944","Cheifetz, Philip Nathan")</f>
        <v>Cheifetz, Philip Nathan</v>
      </c>
      <c r="B1838" s="25" t="s">
        <v>17360</v>
      </c>
      <c r="C1838" s="24" t="s">
        <v>17361</v>
      </c>
      <c r="D1838" s="24" t="s">
        <v>17362</v>
      </c>
      <c r="E1838" s="24" t="s">
        <v>29</v>
      </c>
      <c r="F1838" s="24" t="s">
        <v>30</v>
      </c>
      <c r="G1838" s="24" t="s">
        <v>813</v>
      </c>
      <c r="H1838" s="24" t="s">
        <v>17363</v>
      </c>
      <c r="I1838" s="24" t="s">
        <v>17364</v>
      </c>
      <c r="J1838" s="24" t="s">
        <v>17365</v>
      </c>
      <c r="K1838" s="24" t="s">
        <v>17366</v>
      </c>
      <c r="L1838" s="24" t="s">
        <v>84</v>
      </c>
      <c r="M1838" s="15"/>
      <c r="N1838" s="15" t="s">
        <v>710</v>
      </c>
      <c r="O1838" s="15" t="s">
        <v>17367</v>
      </c>
      <c r="P1838" s="15" t="s">
        <v>17368</v>
      </c>
      <c r="Q1838" s="15"/>
      <c r="R1838" s="15" t="s">
        <v>17369</v>
      </c>
      <c r="S1838" s="24" t="s">
        <v>39</v>
      </c>
      <c r="T1838" s="24" t="s">
        <v>39</v>
      </c>
      <c r="U1838" s="24" t="s">
        <v>39</v>
      </c>
      <c r="V1838" s="24" t="s">
        <v>39</v>
      </c>
      <c r="W1838" s="24"/>
      <c r="X1838" s="24"/>
      <c r="Y1838" s="15"/>
      <c r="Z1838" s="15"/>
      <c r="AA1838" s="24"/>
      <c r="AB1838" s="24"/>
      <c r="AC1838" s="24"/>
      <c r="AD1838" s="24"/>
      <c r="AE1838" s="24"/>
      <c r="AF1838" s="24"/>
      <c r="AG1838" s="24"/>
      <c r="AH1838" s="24"/>
    </row>
    <row r="1839" spans="1:34" x14ac:dyDescent="0.25">
      <c r="A1839" s="24" t="str">
        <f>HYPERLINK("https://www.cpso.on.ca/DoctorDetails/Philippa-Anne-Moss/0292954-102525","Moss, Philippa Anne")</f>
        <v>Moss, Philippa Anne</v>
      </c>
      <c r="B1839" s="25" t="s">
        <v>17370</v>
      </c>
      <c r="C1839" s="24" t="s">
        <v>17371</v>
      </c>
      <c r="D1839" s="24" t="s">
        <v>17372</v>
      </c>
      <c r="E1839" s="24" t="s">
        <v>29</v>
      </c>
      <c r="F1839" s="24" t="s">
        <v>47</v>
      </c>
      <c r="G1839" s="24" t="s">
        <v>31</v>
      </c>
      <c r="H1839" s="24" t="s">
        <v>17373</v>
      </c>
      <c r="I1839" s="24" t="s">
        <v>17374</v>
      </c>
      <c r="J1839" s="24" t="s">
        <v>17375</v>
      </c>
      <c r="K1839" s="24" t="s">
        <v>17376</v>
      </c>
      <c r="L1839" s="24"/>
      <c r="M1839" s="15"/>
      <c r="N1839" s="15" t="s">
        <v>194</v>
      </c>
      <c r="O1839" s="15" t="s">
        <v>121</v>
      </c>
      <c r="P1839" s="15" t="s">
        <v>259</v>
      </c>
      <c r="Q1839" s="15"/>
      <c r="R1839" s="15" t="s">
        <v>17377</v>
      </c>
      <c r="S1839" s="24" t="s">
        <v>39</v>
      </c>
      <c r="T1839" s="24" t="s">
        <v>39</v>
      </c>
      <c r="U1839" s="24" t="s">
        <v>39</v>
      </c>
      <c r="V1839" s="24" t="s">
        <v>39</v>
      </c>
      <c r="W1839" s="24"/>
      <c r="X1839" s="24"/>
      <c r="Y1839" s="15"/>
      <c r="Z1839" s="15"/>
      <c r="AA1839" s="24"/>
      <c r="AB1839" s="24"/>
      <c r="AC1839" s="24"/>
      <c r="AD1839" s="24"/>
      <c r="AE1839" s="24"/>
      <c r="AF1839" s="24"/>
      <c r="AG1839" s="24"/>
      <c r="AH1839" s="24"/>
    </row>
    <row r="1840" spans="1:34" ht="60" x14ac:dyDescent="0.25">
      <c r="A1840" s="24" t="str">
        <f>HYPERLINK("https://www.cpso.on.ca/DoctorDetails/Philippe-Robaey/0208532-80426","Robaey, Philippe")</f>
        <v>Robaey, Philippe</v>
      </c>
      <c r="B1840" s="25" t="s">
        <v>17378</v>
      </c>
      <c r="C1840" s="24" t="s">
        <v>17379</v>
      </c>
      <c r="D1840" s="24" t="s">
        <v>17380</v>
      </c>
      <c r="E1840" s="24" t="s">
        <v>29</v>
      </c>
      <c r="F1840" s="24" t="s">
        <v>30</v>
      </c>
      <c r="G1840" s="24" t="s">
        <v>813</v>
      </c>
      <c r="H1840" s="24" t="s">
        <v>17381</v>
      </c>
      <c r="I1840" s="24" t="s">
        <v>17382</v>
      </c>
      <c r="J1840" s="24" t="s">
        <v>17383</v>
      </c>
      <c r="K1840" s="24" t="s">
        <v>5895</v>
      </c>
      <c r="L1840" s="24" t="s">
        <v>84</v>
      </c>
      <c r="M1840" s="15"/>
      <c r="N1840" s="15" t="s">
        <v>17384</v>
      </c>
      <c r="O1840" s="15" t="s">
        <v>2806</v>
      </c>
      <c r="P1840" s="15" t="s">
        <v>17385</v>
      </c>
      <c r="Q1840" s="15"/>
      <c r="R1840" s="15" t="s">
        <v>17386</v>
      </c>
      <c r="S1840" s="24" t="s">
        <v>39</v>
      </c>
      <c r="T1840" s="24" t="s">
        <v>39</v>
      </c>
      <c r="U1840" s="24" t="s">
        <v>39</v>
      </c>
      <c r="V1840" s="24" t="s">
        <v>39</v>
      </c>
      <c r="W1840" s="24" t="s">
        <v>17387</v>
      </c>
      <c r="X1840" s="24" t="s">
        <v>17388</v>
      </c>
      <c r="Y1840" s="15" t="s">
        <v>17389</v>
      </c>
      <c r="Z1840" s="15" t="s">
        <v>17390</v>
      </c>
      <c r="AA1840" s="24"/>
      <c r="AB1840" s="24"/>
      <c r="AC1840" s="24"/>
      <c r="AD1840" s="24"/>
      <c r="AE1840" s="24"/>
      <c r="AF1840" s="24"/>
      <c r="AG1840" s="24"/>
      <c r="AH1840" s="24"/>
    </row>
    <row r="1841" spans="1:34" ht="105" x14ac:dyDescent="0.25">
      <c r="A1841" s="24" t="str">
        <f>HYPERLINK("https://www.cpso.on.ca/DoctorDetails/PhilippeEdouard-Boursiquot/0243977-87339","Boursiquot, Philippe-Edouard")</f>
        <v>Boursiquot, Philippe-Edouard</v>
      </c>
      <c r="B1841" s="25" t="s">
        <v>17391</v>
      </c>
      <c r="C1841" s="24" t="s">
        <v>17392</v>
      </c>
      <c r="D1841" s="24" t="s">
        <v>17393</v>
      </c>
      <c r="E1841" s="24" t="s">
        <v>29</v>
      </c>
      <c r="F1841" s="24" t="s">
        <v>30</v>
      </c>
      <c r="G1841" s="24" t="s">
        <v>31</v>
      </c>
      <c r="H1841" s="24" t="s">
        <v>17394</v>
      </c>
      <c r="I1841" s="24" t="s">
        <v>17395</v>
      </c>
      <c r="J1841" s="24" t="s">
        <v>17396</v>
      </c>
      <c r="K1841" s="24" t="s">
        <v>10227</v>
      </c>
      <c r="L1841" s="24" t="s">
        <v>184</v>
      </c>
      <c r="M1841" s="15"/>
      <c r="N1841" s="15"/>
      <c r="O1841" s="15" t="s">
        <v>1135</v>
      </c>
      <c r="P1841" s="15" t="s">
        <v>7386</v>
      </c>
      <c r="Q1841" s="15" t="s">
        <v>17397</v>
      </c>
      <c r="R1841" s="15" t="s">
        <v>17398</v>
      </c>
      <c r="S1841" s="24" t="s">
        <v>39</v>
      </c>
      <c r="T1841" s="24" t="s">
        <v>39</v>
      </c>
      <c r="U1841" s="24" t="s">
        <v>39</v>
      </c>
      <c r="V1841" s="24" t="s">
        <v>39</v>
      </c>
      <c r="W1841" s="24"/>
      <c r="X1841" s="24"/>
      <c r="Y1841" s="15"/>
      <c r="Z1841" s="15"/>
      <c r="AA1841" s="24"/>
      <c r="AB1841" s="24"/>
      <c r="AC1841" s="24"/>
      <c r="AD1841" s="24"/>
      <c r="AE1841" s="24"/>
      <c r="AF1841" s="24"/>
      <c r="AG1841" s="24"/>
      <c r="AH1841" s="24"/>
    </row>
    <row r="1842" spans="1:34" ht="30" x14ac:dyDescent="0.25">
      <c r="A1842" s="24" t="str">
        <f>HYPERLINK("https://www.cpso.on.ca/DoctorDetails/Phillip-Duncan-Norris/0042597-56575","Norris, Phillip Duncan")</f>
        <v>Norris, Phillip Duncan</v>
      </c>
      <c r="B1842" s="25" t="s">
        <v>17399</v>
      </c>
      <c r="C1842" s="24" t="s">
        <v>17400</v>
      </c>
      <c r="D1842" s="24" t="s">
        <v>17401</v>
      </c>
      <c r="E1842" s="24" t="s">
        <v>29</v>
      </c>
      <c r="F1842" s="24" t="s">
        <v>30</v>
      </c>
      <c r="G1842" s="24" t="s">
        <v>31</v>
      </c>
      <c r="H1842" s="24" t="s">
        <v>17402</v>
      </c>
      <c r="I1842" s="24" t="s">
        <v>17403</v>
      </c>
      <c r="J1842" s="24" t="s">
        <v>17404</v>
      </c>
      <c r="K1842" s="24" t="s">
        <v>17405</v>
      </c>
      <c r="L1842" s="24" t="s">
        <v>135</v>
      </c>
      <c r="M1842" s="15" t="s">
        <v>17406</v>
      </c>
      <c r="N1842" s="15"/>
      <c r="O1842" s="15" t="s">
        <v>8520</v>
      </c>
      <c r="P1842" s="15" t="s">
        <v>17407</v>
      </c>
      <c r="Q1842" s="15" t="s">
        <v>17408</v>
      </c>
      <c r="R1842" s="15" t="s">
        <v>17409</v>
      </c>
      <c r="S1842" s="24" t="s">
        <v>39</v>
      </c>
      <c r="T1842" s="24" t="s">
        <v>39</v>
      </c>
      <c r="U1842" s="24" t="s">
        <v>39</v>
      </c>
      <c r="V1842" s="24" t="s">
        <v>39</v>
      </c>
      <c r="W1842" s="24" t="s">
        <v>17410</v>
      </c>
      <c r="X1842" s="24" t="s">
        <v>15192</v>
      </c>
      <c r="Y1842" s="15" t="s">
        <v>17411</v>
      </c>
      <c r="Z1842" s="15" t="s">
        <v>17412</v>
      </c>
      <c r="AA1842" s="24"/>
      <c r="AB1842" s="24"/>
      <c r="AC1842" s="24"/>
      <c r="AD1842" s="24"/>
      <c r="AE1842" s="24"/>
      <c r="AF1842" s="24"/>
      <c r="AG1842" s="24"/>
      <c r="AH1842" s="24"/>
    </row>
    <row r="1843" spans="1:34" ht="75" x14ac:dyDescent="0.25">
      <c r="A1843" s="24" t="str">
        <f>HYPERLINK("https://www.cpso.on.ca/DoctorDetails/Phillip-Joseph-Maerov/0132551-70547","Maerov, Phillip Joseph")</f>
        <v>Maerov, Phillip Joseph</v>
      </c>
      <c r="B1843" s="25" t="s">
        <v>17413</v>
      </c>
      <c r="C1843" s="24" t="s">
        <v>17414</v>
      </c>
      <c r="D1843" s="24" t="s">
        <v>17415</v>
      </c>
      <c r="E1843" s="24" t="s">
        <v>29</v>
      </c>
      <c r="F1843" s="24" t="s">
        <v>30</v>
      </c>
      <c r="G1843" s="24" t="s">
        <v>31</v>
      </c>
      <c r="H1843" s="24" t="s">
        <v>14006</v>
      </c>
      <c r="I1843" s="24" t="s">
        <v>11172</v>
      </c>
      <c r="J1843" s="24" t="s">
        <v>17416</v>
      </c>
      <c r="K1843" s="24" t="s">
        <v>1783</v>
      </c>
      <c r="L1843" s="24" t="s">
        <v>52</v>
      </c>
      <c r="M1843" s="15"/>
      <c r="N1843" s="15"/>
      <c r="O1843" s="15" t="s">
        <v>1784</v>
      </c>
      <c r="P1843" s="15" t="s">
        <v>2678</v>
      </c>
      <c r="Q1843" s="15" t="s">
        <v>1112</v>
      </c>
      <c r="R1843" s="15" t="s">
        <v>17417</v>
      </c>
      <c r="S1843" s="24" t="s">
        <v>39</v>
      </c>
      <c r="T1843" s="24" t="s">
        <v>39</v>
      </c>
      <c r="U1843" s="24" t="s">
        <v>39</v>
      </c>
      <c r="V1843" s="24" t="s">
        <v>39</v>
      </c>
      <c r="W1843" s="24" t="s">
        <v>17418</v>
      </c>
      <c r="X1843" s="24" t="s">
        <v>17419</v>
      </c>
      <c r="Y1843" s="15" t="s">
        <v>17420</v>
      </c>
      <c r="Z1843" s="15" t="s">
        <v>12368</v>
      </c>
      <c r="AA1843" s="24"/>
      <c r="AB1843" s="24"/>
      <c r="AC1843" s="24"/>
      <c r="AD1843" s="24"/>
      <c r="AE1843" s="24"/>
      <c r="AF1843" s="24"/>
      <c r="AG1843" s="24"/>
      <c r="AH1843" s="24"/>
    </row>
    <row r="1844" spans="1:34" ht="75" x14ac:dyDescent="0.25">
      <c r="A1844" s="24" t="str">
        <f>HYPERLINK("https://www.cpso.on.ca/DoctorDetails/Phuong-Pho-Tran/0052998-66962","Tran, Phuong Pho")</f>
        <v>Tran, Phuong Pho</v>
      </c>
      <c r="B1844" s="25" t="s">
        <v>17421</v>
      </c>
      <c r="C1844" s="24" t="s">
        <v>17422</v>
      </c>
      <c r="D1844" s="24" t="s">
        <v>17423</v>
      </c>
      <c r="E1844" s="24" t="s">
        <v>29</v>
      </c>
      <c r="F1844" s="24" t="s">
        <v>30</v>
      </c>
      <c r="G1844" s="24" t="s">
        <v>17424</v>
      </c>
      <c r="H1844" s="24" t="s">
        <v>838</v>
      </c>
      <c r="I1844" s="24" t="s">
        <v>17425</v>
      </c>
      <c r="J1844" s="24" t="s">
        <v>17426</v>
      </c>
      <c r="K1844" s="24" t="s">
        <v>17427</v>
      </c>
      <c r="L1844" s="24" t="s">
        <v>52</v>
      </c>
      <c r="M1844" s="15" t="s">
        <v>17428</v>
      </c>
      <c r="N1844" s="15"/>
      <c r="O1844" s="15"/>
      <c r="P1844" s="15" t="s">
        <v>343</v>
      </c>
      <c r="Q1844" s="15" t="s">
        <v>1937</v>
      </c>
      <c r="R1844" s="15" t="s">
        <v>17429</v>
      </c>
      <c r="S1844" s="24" t="s">
        <v>39</v>
      </c>
      <c r="T1844" s="24" t="s">
        <v>39</v>
      </c>
      <c r="U1844" s="24" t="s">
        <v>39</v>
      </c>
      <c r="V1844" s="24" t="s">
        <v>39</v>
      </c>
      <c r="W1844" s="24" t="s">
        <v>17430</v>
      </c>
      <c r="X1844" s="24" t="s">
        <v>17431</v>
      </c>
      <c r="Y1844" s="15" t="s">
        <v>17432</v>
      </c>
      <c r="Z1844" s="15" t="s">
        <v>17433</v>
      </c>
      <c r="AA1844" s="24"/>
      <c r="AB1844" s="24"/>
      <c r="AC1844" s="24"/>
      <c r="AD1844" s="24"/>
      <c r="AE1844" s="24"/>
      <c r="AF1844" s="24"/>
      <c r="AG1844" s="24"/>
      <c r="AH1844" s="24"/>
    </row>
    <row r="1845" spans="1:34" ht="75" x14ac:dyDescent="0.25">
      <c r="A1845" s="24" t="str">
        <f>HYPERLINK("https://www.cpso.on.ca/DoctorDetails/Pier-Katharine-Bryden/0051163-65142","Bryden, Pier Katharine")</f>
        <v>Bryden, Pier Katharine</v>
      </c>
      <c r="B1845" s="25" t="s">
        <v>17434</v>
      </c>
      <c r="C1845" s="24" t="s">
        <v>1908</v>
      </c>
      <c r="D1845" s="24" t="s">
        <v>8676</v>
      </c>
      <c r="E1845" s="24" t="s">
        <v>29</v>
      </c>
      <c r="F1845" s="24" t="s">
        <v>47</v>
      </c>
      <c r="G1845" s="24" t="s">
        <v>31</v>
      </c>
      <c r="H1845" s="24" t="s">
        <v>8005</v>
      </c>
      <c r="I1845" s="24" t="s">
        <v>17435</v>
      </c>
      <c r="J1845" s="24" t="s">
        <v>17436</v>
      </c>
      <c r="K1845" s="24" t="s">
        <v>17437</v>
      </c>
      <c r="L1845" s="24" t="s">
        <v>52</v>
      </c>
      <c r="M1845" s="15"/>
      <c r="N1845" s="15"/>
      <c r="O1845" s="15" t="s">
        <v>121</v>
      </c>
      <c r="P1845" s="15" t="s">
        <v>17438</v>
      </c>
      <c r="Q1845" s="15" t="s">
        <v>17439</v>
      </c>
      <c r="R1845" s="15" t="s">
        <v>17440</v>
      </c>
      <c r="S1845" s="24" t="s">
        <v>39</v>
      </c>
      <c r="T1845" s="24" t="s">
        <v>39</v>
      </c>
      <c r="U1845" s="24" t="s">
        <v>39</v>
      </c>
      <c r="V1845" s="24" t="s">
        <v>39</v>
      </c>
      <c r="W1845" s="24"/>
      <c r="X1845" s="24"/>
      <c r="Y1845" s="15"/>
      <c r="Z1845" s="15"/>
      <c r="AA1845" s="24"/>
      <c r="AB1845" s="24"/>
      <c r="AC1845" s="24"/>
      <c r="AD1845" s="24"/>
      <c r="AE1845" s="24"/>
      <c r="AF1845" s="24"/>
      <c r="AG1845" s="24"/>
      <c r="AH1845" s="24"/>
    </row>
    <row r="1846" spans="1:34" ht="30" x14ac:dyDescent="0.25">
      <c r="A1846" s="24" t="str">
        <f>HYPERLINK("https://www.cpso.on.ca/DoctorDetails/Pierre-Andre-Michael-Beausejour/0022602-27393","Beausejour, Pierre Andre Michael")</f>
        <v>Beausejour, Pierre Andre Michael</v>
      </c>
      <c r="B1846" s="25" t="s">
        <v>17441</v>
      </c>
      <c r="C1846" s="24" t="s">
        <v>17442</v>
      </c>
      <c r="D1846" s="24" t="s">
        <v>17443</v>
      </c>
      <c r="E1846" s="24" t="s">
        <v>29</v>
      </c>
      <c r="F1846" s="24" t="s">
        <v>30</v>
      </c>
      <c r="G1846" s="24" t="s">
        <v>813</v>
      </c>
      <c r="H1846" s="24" t="s">
        <v>9482</v>
      </c>
      <c r="I1846" s="24" t="s">
        <v>17444</v>
      </c>
      <c r="J1846" s="24" t="s">
        <v>17445</v>
      </c>
      <c r="K1846" s="24" t="s">
        <v>17446</v>
      </c>
      <c r="L1846" s="24"/>
      <c r="M1846" s="15"/>
      <c r="N1846" s="15" t="s">
        <v>710</v>
      </c>
      <c r="O1846" s="15"/>
      <c r="P1846" s="15" t="s">
        <v>6170</v>
      </c>
      <c r="Q1846" s="15"/>
      <c r="R1846" s="15" t="s">
        <v>17447</v>
      </c>
      <c r="S1846" s="24" t="s">
        <v>39</v>
      </c>
      <c r="T1846" s="24" t="s">
        <v>39</v>
      </c>
      <c r="U1846" s="24" t="s">
        <v>39</v>
      </c>
      <c r="V1846" s="24" t="s">
        <v>39</v>
      </c>
      <c r="W1846" s="24"/>
      <c r="X1846" s="24"/>
      <c r="Y1846" s="15"/>
      <c r="Z1846" s="15"/>
      <c r="AA1846" s="24"/>
      <c r="AB1846" s="24"/>
      <c r="AC1846" s="24"/>
      <c r="AD1846" s="24"/>
      <c r="AE1846" s="24"/>
      <c r="AF1846" s="24"/>
      <c r="AG1846" s="24"/>
      <c r="AH1846" s="24"/>
    </row>
    <row r="1847" spans="1:34" ht="30" x14ac:dyDescent="0.25">
      <c r="A1847" s="24" t="str">
        <f>HYPERLINK("https://www.cpso.on.ca/DoctorDetails/Pierre-Asnot-Monpremier/0025647-30470","Monpremier, Pierre Asnot")</f>
        <v>Monpremier, Pierre Asnot</v>
      </c>
      <c r="B1847" s="25" t="s">
        <v>17448</v>
      </c>
      <c r="C1847" s="24" t="s">
        <v>6427</v>
      </c>
      <c r="D1847" s="24" t="s">
        <v>17449</v>
      </c>
      <c r="E1847" s="24" t="s">
        <v>29</v>
      </c>
      <c r="F1847" s="24" t="s">
        <v>30</v>
      </c>
      <c r="G1847" s="24" t="s">
        <v>4601</v>
      </c>
      <c r="H1847" s="24" t="s">
        <v>17450</v>
      </c>
      <c r="I1847" s="24" t="s">
        <v>17451</v>
      </c>
      <c r="J1847" s="24" t="s">
        <v>6897</v>
      </c>
      <c r="K1847" s="24" t="s">
        <v>6898</v>
      </c>
      <c r="L1847" s="24" t="s">
        <v>84</v>
      </c>
      <c r="M1847" s="15"/>
      <c r="N1847" s="15"/>
      <c r="O1847" s="15"/>
      <c r="P1847" s="15" t="s">
        <v>7499</v>
      </c>
      <c r="Q1847" s="15"/>
      <c r="R1847" s="15" t="s">
        <v>17452</v>
      </c>
      <c r="S1847" s="24" t="s">
        <v>39</v>
      </c>
      <c r="T1847" s="24" t="s">
        <v>39</v>
      </c>
      <c r="U1847" s="24" t="s">
        <v>39</v>
      </c>
      <c r="V1847" s="24" t="s">
        <v>39</v>
      </c>
      <c r="W1847" s="24" t="s">
        <v>17453</v>
      </c>
      <c r="X1847" s="24" t="s">
        <v>17454</v>
      </c>
      <c r="Y1847" s="15" t="s">
        <v>17455</v>
      </c>
      <c r="Z1847" s="15" t="s">
        <v>17456</v>
      </c>
      <c r="AA1847" s="24"/>
      <c r="AB1847" s="24"/>
      <c r="AC1847" s="24"/>
      <c r="AD1847" s="24"/>
      <c r="AE1847" s="24"/>
      <c r="AF1847" s="24"/>
      <c r="AG1847" s="24"/>
      <c r="AH1847" s="24"/>
    </row>
    <row r="1848" spans="1:34" x14ac:dyDescent="0.25">
      <c r="A1848" s="24" t="str">
        <f>HYPERLINK("https://www.cpso.on.ca/DoctorDetails/Pierre-Ferguson/0205222-79839","Ferguson, Pierre")</f>
        <v>Ferguson, Pierre</v>
      </c>
      <c r="B1848" s="25" t="s">
        <v>17457</v>
      </c>
      <c r="C1848" s="24" t="s">
        <v>17458</v>
      </c>
      <c r="D1848" s="24" t="s">
        <v>1323</v>
      </c>
      <c r="E1848" s="24" t="s">
        <v>29</v>
      </c>
      <c r="F1848" s="24" t="s">
        <v>30</v>
      </c>
      <c r="G1848" s="24" t="s">
        <v>813</v>
      </c>
      <c r="H1848" s="24" t="s">
        <v>17459</v>
      </c>
      <c r="I1848" s="24" t="s">
        <v>17460</v>
      </c>
      <c r="J1848" s="24" t="s">
        <v>17461</v>
      </c>
      <c r="K1848" s="24" t="s">
        <v>6008</v>
      </c>
      <c r="L1848" s="24" t="s">
        <v>84</v>
      </c>
      <c r="M1848" s="15" t="s">
        <v>17462</v>
      </c>
      <c r="N1848" s="15"/>
      <c r="O1848" s="15" t="s">
        <v>6010</v>
      </c>
      <c r="P1848" s="15" t="s">
        <v>1330</v>
      </c>
      <c r="Q1848" s="15"/>
      <c r="R1848" s="15" t="s">
        <v>17463</v>
      </c>
      <c r="S1848" s="24" t="s">
        <v>39</v>
      </c>
      <c r="T1848" s="24" t="s">
        <v>39</v>
      </c>
      <c r="U1848" s="24" t="s">
        <v>39</v>
      </c>
      <c r="V1848" s="24" t="s">
        <v>39</v>
      </c>
      <c r="W1848" s="24"/>
      <c r="X1848" s="24"/>
      <c r="Y1848" s="15"/>
      <c r="Z1848" s="15"/>
      <c r="AA1848" s="24"/>
      <c r="AB1848" s="24"/>
      <c r="AC1848" s="24"/>
      <c r="AD1848" s="24"/>
      <c r="AE1848" s="24"/>
      <c r="AF1848" s="24"/>
      <c r="AG1848" s="24"/>
      <c r="AH1848" s="24"/>
    </row>
    <row r="1849" spans="1:34" ht="90" x14ac:dyDescent="0.25">
      <c r="A1849" s="24" t="str">
        <f>HYPERLINK("https://www.cpso.on.ca/DoctorDetails/Plabon-Mohammad-Ismail/0258626-91312","Ismail, Plabon Mohammad")</f>
        <v>Ismail, Plabon Mohammad</v>
      </c>
      <c r="B1849" s="25" t="s">
        <v>17464</v>
      </c>
      <c r="C1849" s="24" t="s">
        <v>442</v>
      </c>
      <c r="D1849" s="24" t="s">
        <v>443</v>
      </c>
      <c r="E1849" s="24" t="s">
        <v>29</v>
      </c>
      <c r="F1849" s="24" t="s">
        <v>30</v>
      </c>
      <c r="G1849" s="24" t="s">
        <v>179</v>
      </c>
      <c r="H1849" s="24" t="s">
        <v>17465</v>
      </c>
      <c r="I1849" s="24" t="s">
        <v>3349</v>
      </c>
      <c r="J1849" s="24" t="s">
        <v>17466</v>
      </c>
      <c r="K1849" s="24" t="s">
        <v>17467</v>
      </c>
      <c r="L1849" s="24" t="s">
        <v>36</v>
      </c>
      <c r="M1849" s="15" t="s">
        <v>17468</v>
      </c>
      <c r="N1849" s="15"/>
      <c r="O1849" s="15" t="s">
        <v>1760</v>
      </c>
      <c r="P1849" s="15" t="s">
        <v>449</v>
      </c>
      <c r="Q1849" s="15" t="s">
        <v>17469</v>
      </c>
      <c r="R1849" s="15" t="s">
        <v>2181</v>
      </c>
      <c r="S1849" s="24" t="s">
        <v>39</v>
      </c>
      <c r="T1849" s="24" t="s">
        <v>39</v>
      </c>
      <c r="U1849" s="24" t="s">
        <v>39</v>
      </c>
      <c r="V1849" s="24" t="s">
        <v>39</v>
      </c>
      <c r="W1849" s="24" t="s">
        <v>17470</v>
      </c>
      <c r="X1849" s="24" t="s">
        <v>3472</v>
      </c>
      <c r="Y1849" s="15" t="s">
        <v>17471</v>
      </c>
      <c r="Z1849" s="15" t="s">
        <v>17472</v>
      </c>
      <c r="AA1849" s="24"/>
      <c r="AB1849" s="24"/>
      <c r="AC1849" s="24"/>
      <c r="AD1849" s="24"/>
      <c r="AE1849" s="24"/>
      <c r="AF1849" s="24"/>
      <c r="AG1849" s="24"/>
      <c r="AH1849" s="24"/>
    </row>
    <row r="1850" spans="1:34" ht="30" x14ac:dyDescent="0.25">
      <c r="A1850" s="24" t="str">
        <f>HYPERLINK("https://www.cpso.on.ca/DoctorDetails/Poonam-Sharma/0137573-70980","Sharma, Poonam")</f>
        <v>Sharma, Poonam</v>
      </c>
      <c r="B1850" s="25" t="s">
        <v>17473</v>
      </c>
      <c r="C1850" s="24" t="s">
        <v>17474</v>
      </c>
      <c r="D1850" s="24" t="s">
        <v>17475</v>
      </c>
      <c r="E1850" s="24" t="s">
        <v>29</v>
      </c>
      <c r="F1850" s="24" t="s">
        <v>47</v>
      </c>
      <c r="G1850" s="24" t="s">
        <v>691</v>
      </c>
      <c r="H1850" s="24" t="s">
        <v>17476</v>
      </c>
      <c r="I1850" s="24" t="s">
        <v>17477</v>
      </c>
      <c r="J1850" s="24" t="s">
        <v>17478</v>
      </c>
      <c r="K1850" s="24" t="s">
        <v>17479</v>
      </c>
      <c r="L1850" s="24" t="s">
        <v>184</v>
      </c>
      <c r="M1850" s="15" t="s">
        <v>17480</v>
      </c>
      <c r="N1850" s="15"/>
      <c r="O1850" s="15" t="s">
        <v>6884</v>
      </c>
      <c r="P1850" s="15" t="s">
        <v>169</v>
      </c>
      <c r="Q1850" s="15"/>
      <c r="R1850" s="15" t="s">
        <v>17481</v>
      </c>
      <c r="S1850" s="24" t="s">
        <v>39</v>
      </c>
      <c r="T1850" s="24" t="s">
        <v>39</v>
      </c>
      <c r="U1850" s="24" t="s">
        <v>39</v>
      </c>
      <c r="V1850" s="24" t="s">
        <v>39</v>
      </c>
      <c r="W1850" s="24" t="s">
        <v>17482</v>
      </c>
      <c r="X1850" s="24" t="s">
        <v>17483</v>
      </c>
      <c r="Y1850" s="15" t="s">
        <v>17484</v>
      </c>
      <c r="Z1850" s="15" t="s">
        <v>17485</v>
      </c>
      <c r="AA1850" s="24"/>
      <c r="AB1850" s="24"/>
      <c r="AC1850" s="24"/>
      <c r="AD1850" s="24"/>
      <c r="AE1850" s="24"/>
      <c r="AF1850" s="24"/>
      <c r="AG1850" s="24"/>
      <c r="AH1850" s="24"/>
    </row>
    <row r="1851" spans="1:34" ht="120" x14ac:dyDescent="0.25">
      <c r="A1851" s="24" t="str">
        <f>HYPERLINK("https://www.cpso.on.ca/DoctorDetails/Popuri-Murali-Krishna/0194914-78690","Krishna, Popuri Murali")</f>
        <v>Krishna, Popuri Murali</v>
      </c>
      <c r="B1851" s="25" t="s">
        <v>17486</v>
      </c>
      <c r="C1851" s="24" t="s">
        <v>17487</v>
      </c>
      <c r="D1851" s="24" t="s">
        <v>17488</v>
      </c>
      <c r="E1851" s="24" t="s">
        <v>29</v>
      </c>
      <c r="F1851" s="24" t="s">
        <v>30</v>
      </c>
      <c r="G1851" s="24" t="s">
        <v>12372</v>
      </c>
      <c r="H1851" s="24" t="s">
        <v>17489</v>
      </c>
      <c r="I1851" s="24" t="s">
        <v>1742</v>
      </c>
      <c r="J1851" s="24" t="s">
        <v>1743</v>
      </c>
      <c r="K1851" s="24" t="s">
        <v>1744</v>
      </c>
      <c r="L1851" s="24" t="s">
        <v>328</v>
      </c>
      <c r="M1851" s="15"/>
      <c r="N1851" s="15"/>
      <c r="O1851" s="15" t="s">
        <v>1746</v>
      </c>
      <c r="P1851" s="15" t="s">
        <v>17490</v>
      </c>
      <c r="Q1851" s="15"/>
      <c r="R1851" s="15" t="s">
        <v>17491</v>
      </c>
      <c r="S1851" s="24" t="s">
        <v>39</v>
      </c>
      <c r="T1851" s="24" t="s">
        <v>39</v>
      </c>
      <c r="U1851" s="24" t="s">
        <v>39</v>
      </c>
      <c r="V1851" s="24" t="s">
        <v>39</v>
      </c>
      <c r="W1851" s="24" t="s">
        <v>17492</v>
      </c>
      <c r="X1851" s="24" t="s">
        <v>17493</v>
      </c>
      <c r="Y1851" s="15" t="s">
        <v>17494</v>
      </c>
      <c r="Z1851" s="15" t="s">
        <v>17495</v>
      </c>
      <c r="AA1851" s="24"/>
      <c r="AB1851" s="24"/>
      <c r="AC1851" s="24"/>
      <c r="AD1851" s="24"/>
      <c r="AE1851" s="24"/>
      <c r="AF1851" s="24"/>
      <c r="AG1851" s="24"/>
      <c r="AH1851" s="24"/>
    </row>
    <row r="1852" spans="1:34" ht="75" x14ac:dyDescent="0.25">
      <c r="A1852" s="24" t="str">
        <f>HYPERLINK("https://www.cpso.on.ca/DoctorDetails/Pracha-Rohini-Vatsya/0258043-90898","Vatsya, Pracha Rohini")</f>
        <v>Vatsya, Pracha Rohini</v>
      </c>
      <c r="B1852" s="25" t="s">
        <v>17496</v>
      </c>
      <c r="C1852" s="24" t="s">
        <v>17497</v>
      </c>
      <c r="D1852" s="24" t="s">
        <v>17498</v>
      </c>
      <c r="E1852" s="24" t="s">
        <v>29</v>
      </c>
      <c r="F1852" s="24" t="s">
        <v>47</v>
      </c>
      <c r="G1852" s="24" t="s">
        <v>31</v>
      </c>
      <c r="H1852" s="24" t="s">
        <v>444</v>
      </c>
      <c r="I1852" s="24" t="s">
        <v>17499</v>
      </c>
      <c r="J1852" s="24" t="s">
        <v>1262</v>
      </c>
      <c r="K1852" s="24"/>
      <c r="L1852" s="24" t="s">
        <v>52</v>
      </c>
      <c r="M1852" s="15"/>
      <c r="N1852" s="15"/>
      <c r="O1852" s="15" t="s">
        <v>842</v>
      </c>
      <c r="P1852" s="15" t="s">
        <v>449</v>
      </c>
      <c r="Q1852" s="15" t="s">
        <v>450</v>
      </c>
      <c r="R1852" s="15" t="s">
        <v>17500</v>
      </c>
      <c r="S1852" s="24" t="s">
        <v>39</v>
      </c>
      <c r="T1852" s="24" t="s">
        <v>39</v>
      </c>
      <c r="U1852" s="24" t="s">
        <v>39</v>
      </c>
      <c r="V1852" s="24" t="s">
        <v>39</v>
      </c>
      <c r="W1852" s="24" t="s">
        <v>17501</v>
      </c>
      <c r="X1852" s="24" t="s">
        <v>17502</v>
      </c>
      <c r="Y1852" s="15" t="s">
        <v>17503</v>
      </c>
      <c r="Z1852" s="15" t="s">
        <v>17504</v>
      </c>
      <c r="AA1852" s="24"/>
      <c r="AB1852" s="24"/>
      <c r="AC1852" s="24"/>
      <c r="AD1852" s="24"/>
      <c r="AE1852" s="24"/>
      <c r="AF1852" s="24"/>
      <c r="AG1852" s="24"/>
      <c r="AH1852" s="24"/>
    </row>
    <row r="1853" spans="1:34" ht="45" x14ac:dyDescent="0.25">
      <c r="A1853" s="24" t="str">
        <f>HYPERLINK("https://www.cpso.on.ca/DoctorDetails/Pradeep-Arya/0325994-117089","Arya, Pradeep")</f>
        <v>Arya, Pradeep</v>
      </c>
      <c r="B1853" s="25" t="s">
        <v>17505</v>
      </c>
      <c r="C1853" s="24" t="s">
        <v>4111</v>
      </c>
      <c r="D1853" s="24" t="s">
        <v>4112</v>
      </c>
      <c r="E1853" s="24" t="s">
        <v>29</v>
      </c>
      <c r="F1853" s="24" t="s">
        <v>30</v>
      </c>
      <c r="G1853" s="24" t="s">
        <v>31</v>
      </c>
      <c r="H1853" s="24" t="s">
        <v>17506</v>
      </c>
      <c r="I1853" s="24" t="s">
        <v>17507</v>
      </c>
      <c r="J1853" s="24" t="s">
        <v>6387</v>
      </c>
      <c r="K1853" s="24"/>
      <c r="L1853" s="24" t="s">
        <v>340</v>
      </c>
      <c r="M1853" s="15"/>
      <c r="N1853" s="15"/>
      <c r="O1853" s="15"/>
      <c r="P1853" s="15" t="s">
        <v>4116</v>
      </c>
      <c r="Q1853" s="15"/>
      <c r="R1853" s="15" t="s">
        <v>17508</v>
      </c>
      <c r="S1853" s="24" t="s">
        <v>71</v>
      </c>
      <c r="T1853" s="24" t="s">
        <v>39</v>
      </c>
      <c r="U1853" s="24" t="s">
        <v>39</v>
      </c>
      <c r="V1853" s="24" t="s">
        <v>39</v>
      </c>
      <c r="W1853" s="24"/>
      <c r="X1853" s="24"/>
      <c r="Y1853" s="15"/>
      <c r="Z1853" s="15"/>
      <c r="AA1853" s="24"/>
      <c r="AB1853" s="24"/>
      <c r="AC1853" s="24"/>
      <c r="AD1853" s="24"/>
      <c r="AE1853" s="24"/>
      <c r="AF1853" s="24"/>
      <c r="AG1853" s="24"/>
      <c r="AH1853" s="24"/>
    </row>
    <row r="1854" spans="1:34" ht="105" x14ac:dyDescent="0.25">
      <c r="A1854" s="24" t="str">
        <f>HYPERLINK("https://www.cpso.on.ca/DoctorDetails/Prakash-Kishor-Babani/0280468-98766","Babani, Prakash Kishor")</f>
        <v>Babani, Prakash Kishor</v>
      </c>
      <c r="B1854" s="25" t="s">
        <v>17509</v>
      </c>
      <c r="C1854" s="24" t="s">
        <v>3052</v>
      </c>
      <c r="D1854" s="24" t="s">
        <v>545</v>
      </c>
      <c r="E1854" s="24" t="s">
        <v>29</v>
      </c>
      <c r="F1854" s="24" t="s">
        <v>30</v>
      </c>
      <c r="G1854" s="24" t="s">
        <v>17510</v>
      </c>
      <c r="H1854" s="24" t="s">
        <v>17511</v>
      </c>
      <c r="I1854" s="24" t="s">
        <v>15632</v>
      </c>
      <c r="J1854" s="24" t="s">
        <v>17512</v>
      </c>
      <c r="K1854" s="24"/>
      <c r="L1854" s="24" t="s">
        <v>36</v>
      </c>
      <c r="M1854" s="15" t="s">
        <v>17513</v>
      </c>
      <c r="N1854" s="15"/>
      <c r="O1854" s="15" t="s">
        <v>17514</v>
      </c>
      <c r="P1854" s="15" t="s">
        <v>550</v>
      </c>
      <c r="Q1854" s="15" t="s">
        <v>17515</v>
      </c>
      <c r="R1854" s="15" t="s">
        <v>17516</v>
      </c>
      <c r="S1854" s="24" t="s">
        <v>39</v>
      </c>
      <c r="T1854" s="24" t="s">
        <v>39</v>
      </c>
      <c r="U1854" s="24" t="s">
        <v>39</v>
      </c>
      <c r="V1854" s="24" t="s">
        <v>39</v>
      </c>
      <c r="W1854" s="24" t="s">
        <v>17517</v>
      </c>
      <c r="X1854" s="24" t="s">
        <v>17518</v>
      </c>
      <c r="Y1854" s="15" t="s">
        <v>17519</v>
      </c>
      <c r="Z1854" s="15" t="s">
        <v>17520</v>
      </c>
      <c r="AA1854" s="24"/>
      <c r="AB1854" s="24"/>
      <c r="AC1854" s="24"/>
      <c r="AD1854" s="24"/>
      <c r="AE1854" s="24"/>
      <c r="AF1854" s="24"/>
      <c r="AG1854" s="24"/>
      <c r="AH1854" s="24"/>
    </row>
    <row r="1855" spans="1:34" ht="75" x14ac:dyDescent="0.25">
      <c r="A1855" s="24" t="str">
        <f>HYPERLINK("https://www.cpso.on.ca/DoctorDetails/Prakash-Shantilal-Gangdev/0223045-83690","Gangdev, Prakash Shantilal")</f>
        <v>Gangdev, Prakash Shantilal</v>
      </c>
      <c r="B1855" s="25" t="s">
        <v>17521</v>
      </c>
      <c r="C1855" s="24" t="s">
        <v>17522</v>
      </c>
      <c r="D1855" s="24" t="s">
        <v>17523</v>
      </c>
      <c r="E1855" s="24" t="s">
        <v>29</v>
      </c>
      <c r="F1855" s="24" t="s">
        <v>30</v>
      </c>
      <c r="G1855" s="24" t="s">
        <v>4103</v>
      </c>
      <c r="H1855" s="24" t="s">
        <v>17524</v>
      </c>
      <c r="I1855" s="24" t="s">
        <v>17525</v>
      </c>
      <c r="J1855" s="24" t="s">
        <v>17526</v>
      </c>
      <c r="K1855" s="24" t="s">
        <v>17527</v>
      </c>
      <c r="L1855" s="24" t="s">
        <v>135</v>
      </c>
      <c r="M1855" s="15" t="s">
        <v>17528</v>
      </c>
      <c r="N1855" s="15"/>
      <c r="O1855" s="15"/>
      <c r="P1855" s="15" t="s">
        <v>17529</v>
      </c>
      <c r="Q1855" s="15"/>
      <c r="R1855" s="15" t="s">
        <v>17530</v>
      </c>
      <c r="S1855" s="24" t="s">
        <v>71</v>
      </c>
      <c r="T1855" s="24" t="s">
        <v>39</v>
      </c>
      <c r="U1855" s="24" t="s">
        <v>39</v>
      </c>
      <c r="V1855" s="24" t="s">
        <v>39</v>
      </c>
      <c r="W1855" s="24" t="s">
        <v>17531</v>
      </c>
      <c r="X1855" s="24" t="s">
        <v>17532</v>
      </c>
      <c r="Y1855" s="15" t="s">
        <v>17533</v>
      </c>
      <c r="Z1855" s="15" t="s">
        <v>17534</v>
      </c>
      <c r="AA1855" s="24"/>
      <c r="AB1855" s="24"/>
      <c r="AC1855" s="24"/>
      <c r="AD1855" s="24"/>
      <c r="AE1855" s="24"/>
      <c r="AF1855" s="24"/>
      <c r="AG1855" s="24"/>
      <c r="AH1855" s="24"/>
    </row>
    <row r="1856" spans="1:34" ht="90" x14ac:dyDescent="0.25">
      <c r="A1856" s="24" t="str">
        <f>HYPERLINK("https://www.cpso.on.ca/DoctorDetails/Pramudith-Manujaya-Maldeniya/0281329-98439","Maldeniya, Pramudith Manujaya")</f>
        <v>Maldeniya, Pramudith Manujaya</v>
      </c>
      <c r="B1856" s="25" t="s">
        <v>17535</v>
      </c>
      <c r="C1856" s="24" t="s">
        <v>17536</v>
      </c>
      <c r="D1856" s="24" t="s">
        <v>17537</v>
      </c>
      <c r="E1856" s="24" t="s">
        <v>29</v>
      </c>
      <c r="F1856" s="24" t="s">
        <v>30</v>
      </c>
      <c r="G1856" s="24" t="s">
        <v>31</v>
      </c>
      <c r="H1856" s="24" t="s">
        <v>2650</v>
      </c>
      <c r="I1856" s="24" t="s">
        <v>17538</v>
      </c>
      <c r="J1856" s="24" t="s">
        <v>17539</v>
      </c>
      <c r="K1856" s="24"/>
      <c r="L1856" s="24" t="s">
        <v>36</v>
      </c>
      <c r="M1856" s="15"/>
      <c r="N1856" s="15"/>
      <c r="O1856" s="15" t="s">
        <v>653</v>
      </c>
      <c r="P1856" s="15" t="s">
        <v>550</v>
      </c>
      <c r="Q1856" s="15" t="s">
        <v>17540</v>
      </c>
      <c r="R1856" s="15" t="s">
        <v>17541</v>
      </c>
      <c r="S1856" s="24" t="s">
        <v>39</v>
      </c>
      <c r="T1856" s="24" t="s">
        <v>39</v>
      </c>
      <c r="U1856" s="24" t="s">
        <v>39</v>
      </c>
      <c r="V1856" s="24" t="s">
        <v>39</v>
      </c>
      <c r="W1856" s="24"/>
      <c r="X1856" s="24"/>
      <c r="Y1856" s="15"/>
      <c r="Z1856" s="15"/>
      <c r="AA1856" s="24"/>
      <c r="AB1856" s="24"/>
      <c r="AC1856" s="24"/>
      <c r="AD1856" s="24"/>
      <c r="AE1856" s="24"/>
      <c r="AF1856" s="24"/>
      <c r="AG1856" s="24"/>
      <c r="AH1856" s="24"/>
    </row>
    <row r="1857" spans="1:34" ht="45" x14ac:dyDescent="0.25">
      <c r="A1857" s="24" t="str">
        <f>HYPERLINK("https://www.cpso.on.ca/DoctorDetails/Prethima-Manohar/0048978-62956","Manohar, Prethima")</f>
        <v>Manohar, Prethima</v>
      </c>
      <c r="B1857" s="25" t="s">
        <v>17542</v>
      </c>
      <c r="C1857" s="24" t="s">
        <v>9821</v>
      </c>
      <c r="D1857" s="24" t="s">
        <v>5853</v>
      </c>
      <c r="E1857" s="24" t="s">
        <v>29</v>
      </c>
      <c r="F1857" s="24" t="s">
        <v>47</v>
      </c>
      <c r="G1857" s="24" t="s">
        <v>2255</v>
      </c>
      <c r="H1857" s="24" t="s">
        <v>2203</v>
      </c>
      <c r="I1857" s="24" t="s">
        <v>17543</v>
      </c>
      <c r="J1857" s="24" t="s">
        <v>17544</v>
      </c>
      <c r="K1857" s="24" t="s">
        <v>17545</v>
      </c>
      <c r="L1857" s="24" t="s">
        <v>36</v>
      </c>
      <c r="M1857" s="15"/>
      <c r="N1857" s="15"/>
      <c r="O1857" s="15"/>
      <c r="P1857" s="15" t="s">
        <v>3433</v>
      </c>
      <c r="Q1857" s="15"/>
      <c r="R1857" s="15" t="s">
        <v>17546</v>
      </c>
      <c r="S1857" s="24" t="s">
        <v>39</v>
      </c>
      <c r="T1857" s="24" t="s">
        <v>39</v>
      </c>
      <c r="U1857" s="24" t="s">
        <v>39</v>
      </c>
      <c r="V1857" s="24" t="s">
        <v>39</v>
      </c>
      <c r="W1857" s="24" t="s">
        <v>17547</v>
      </c>
      <c r="X1857" s="24" t="s">
        <v>17548</v>
      </c>
      <c r="Y1857" s="15" t="s">
        <v>17549</v>
      </c>
      <c r="Z1857" s="15" t="s">
        <v>17550</v>
      </c>
      <c r="AA1857" s="24"/>
      <c r="AB1857" s="24"/>
      <c r="AC1857" s="24"/>
      <c r="AD1857" s="24"/>
      <c r="AE1857" s="24"/>
      <c r="AF1857" s="24"/>
      <c r="AG1857" s="24"/>
      <c r="AH1857" s="24"/>
    </row>
    <row r="1858" spans="1:34" ht="90" x14ac:dyDescent="0.25">
      <c r="A1858" s="24" t="str">
        <f>HYPERLINK("https://www.cpso.on.ca/DoctorDetails/Priya-Niharika-Watson/0169396-75093","Watson, Priya Niharika")</f>
        <v>Watson, Priya Niharika</v>
      </c>
      <c r="B1858" s="25" t="s">
        <v>17551</v>
      </c>
      <c r="C1858" s="24" t="s">
        <v>6708</v>
      </c>
      <c r="D1858" s="24" t="s">
        <v>6709</v>
      </c>
      <c r="E1858" s="24" t="s">
        <v>29</v>
      </c>
      <c r="F1858" s="24" t="s">
        <v>47</v>
      </c>
      <c r="G1858" s="24" t="s">
        <v>813</v>
      </c>
      <c r="H1858" s="24" t="s">
        <v>4067</v>
      </c>
      <c r="I1858" s="24" t="s">
        <v>17552</v>
      </c>
      <c r="J1858" s="24" t="s">
        <v>17553</v>
      </c>
      <c r="K1858" s="24" t="s">
        <v>5642</v>
      </c>
      <c r="L1858" s="24" t="s">
        <v>52</v>
      </c>
      <c r="M1858" s="15"/>
      <c r="N1858" s="15"/>
      <c r="O1858" s="15" t="s">
        <v>14715</v>
      </c>
      <c r="P1858" s="15" t="s">
        <v>1239</v>
      </c>
      <c r="Q1858" s="15" t="s">
        <v>12060</v>
      </c>
      <c r="R1858" s="15" t="s">
        <v>17554</v>
      </c>
      <c r="S1858" s="24" t="s">
        <v>39</v>
      </c>
      <c r="T1858" s="24" t="s">
        <v>39</v>
      </c>
      <c r="U1858" s="24" t="s">
        <v>39</v>
      </c>
      <c r="V1858" s="24" t="s">
        <v>39</v>
      </c>
      <c r="W1858" s="24" t="s">
        <v>17555</v>
      </c>
      <c r="X1858" s="24" t="s">
        <v>17556</v>
      </c>
      <c r="Y1858" s="15" t="s">
        <v>17557</v>
      </c>
      <c r="Z1858" s="15" t="s">
        <v>17558</v>
      </c>
      <c r="AA1858" s="24"/>
      <c r="AB1858" s="24"/>
      <c r="AC1858" s="24"/>
      <c r="AD1858" s="24"/>
      <c r="AE1858" s="24"/>
      <c r="AF1858" s="24"/>
      <c r="AG1858" s="24"/>
      <c r="AH1858" s="24"/>
    </row>
    <row r="1859" spans="1:34" ht="90" x14ac:dyDescent="0.25">
      <c r="A1859" s="24" t="str">
        <f>HYPERLINK("https://www.cpso.on.ca/DoctorDetails/Priya-Sharma/0281217-98792","Sharma, Priya")</f>
        <v>Sharma, Priya</v>
      </c>
      <c r="B1859" s="25" t="s">
        <v>17559</v>
      </c>
      <c r="C1859" s="24" t="s">
        <v>544</v>
      </c>
      <c r="D1859" s="24" t="s">
        <v>545</v>
      </c>
      <c r="E1859" s="24" t="s">
        <v>29</v>
      </c>
      <c r="F1859" s="24" t="s">
        <v>47</v>
      </c>
      <c r="G1859" s="24" t="s">
        <v>31</v>
      </c>
      <c r="H1859" s="24" t="s">
        <v>10352</v>
      </c>
      <c r="I1859" s="24" t="s">
        <v>17560</v>
      </c>
      <c r="J1859" s="24" t="s">
        <v>17561</v>
      </c>
      <c r="K1859" s="24"/>
      <c r="L1859" s="24" t="s">
        <v>65</v>
      </c>
      <c r="M1859" s="15"/>
      <c r="N1859" s="15" t="s">
        <v>1449</v>
      </c>
      <c r="O1859" s="15"/>
      <c r="P1859" s="15" t="s">
        <v>550</v>
      </c>
      <c r="Q1859" s="15" t="s">
        <v>17562</v>
      </c>
      <c r="R1859" s="15" t="s">
        <v>17563</v>
      </c>
      <c r="S1859" s="24" t="s">
        <v>39</v>
      </c>
      <c r="T1859" s="24" t="s">
        <v>39</v>
      </c>
      <c r="U1859" s="24" t="s">
        <v>39</v>
      </c>
      <c r="V1859" s="24" t="s">
        <v>39</v>
      </c>
      <c r="W1859" s="24"/>
      <c r="X1859" s="24"/>
      <c r="Y1859" s="15"/>
      <c r="Z1859" s="15"/>
      <c r="AA1859" s="24"/>
      <c r="AB1859" s="24"/>
      <c r="AC1859" s="24"/>
      <c r="AD1859" s="24"/>
      <c r="AE1859" s="24"/>
      <c r="AF1859" s="24"/>
      <c r="AG1859" s="24"/>
      <c r="AH1859" s="24"/>
    </row>
    <row r="1860" spans="1:34" ht="75" x14ac:dyDescent="0.25">
      <c r="A1860" s="24" t="str">
        <f>HYPERLINK("https://www.cpso.on.ca/DoctorDetails/Priya-Subramanian/0253576-90102","Subramanian, Priya")</f>
        <v>Subramanian, Priya</v>
      </c>
      <c r="B1860" s="25" t="s">
        <v>17564</v>
      </c>
      <c r="C1860" s="24" t="s">
        <v>17565</v>
      </c>
      <c r="D1860" s="24" t="s">
        <v>17566</v>
      </c>
      <c r="E1860" s="24" t="s">
        <v>29</v>
      </c>
      <c r="F1860" s="24" t="s">
        <v>47</v>
      </c>
      <c r="G1860" s="24" t="s">
        <v>2255</v>
      </c>
      <c r="H1860" s="24" t="s">
        <v>17567</v>
      </c>
      <c r="I1860" s="24" t="s">
        <v>17568</v>
      </c>
      <c r="J1860" s="24" t="s">
        <v>17569</v>
      </c>
      <c r="K1860" s="24" t="s">
        <v>17570</v>
      </c>
      <c r="L1860" s="24" t="s">
        <v>135</v>
      </c>
      <c r="M1860" s="15"/>
      <c r="N1860" s="15"/>
      <c r="O1860" s="15" t="s">
        <v>4950</v>
      </c>
      <c r="P1860" s="15" t="s">
        <v>17571</v>
      </c>
      <c r="Q1860" s="15" t="s">
        <v>17572</v>
      </c>
      <c r="R1860" s="15" t="s">
        <v>17573</v>
      </c>
      <c r="S1860" s="24" t="s">
        <v>71</v>
      </c>
      <c r="T1860" s="24" t="s">
        <v>39</v>
      </c>
      <c r="U1860" s="24" t="s">
        <v>39</v>
      </c>
      <c r="V1860" s="24" t="s">
        <v>39</v>
      </c>
      <c r="W1860" s="24" t="s">
        <v>17574</v>
      </c>
      <c r="X1860" s="24" t="s">
        <v>11358</v>
      </c>
      <c r="Y1860" s="15" t="s">
        <v>17575</v>
      </c>
      <c r="Z1860" s="15" t="s">
        <v>17576</v>
      </c>
      <c r="AA1860" s="24"/>
      <c r="AB1860" s="24"/>
      <c r="AC1860" s="24"/>
      <c r="AD1860" s="24"/>
      <c r="AE1860" s="24"/>
      <c r="AF1860" s="24"/>
      <c r="AG1860" s="24"/>
      <c r="AH1860" s="24"/>
    </row>
    <row r="1861" spans="1:34" ht="75" x14ac:dyDescent="0.25">
      <c r="A1861" s="24" t="str">
        <f>HYPERLINK("https://www.cpso.on.ca/DoctorDetails/Priyadarshani-Raju/0242668-87124","Raju, Priyadarshani")</f>
        <v>Raju, Priyadarshani</v>
      </c>
      <c r="B1861" s="25" t="s">
        <v>17577</v>
      </c>
      <c r="C1861" s="24" t="s">
        <v>17578</v>
      </c>
      <c r="D1861" s="24" t="s">
        <v>17579</v>
      </c>
      <c r="E1861" s="24" t="s">
        <v>29</v>
      </c>
      <c r="F1861" s="24" t="s">
        <v>47</v>
      </c>
      <c r="G1861" s="24" t="s">
        <v>31</v>
      </c>
      <c r="H1861" s="24" t="s">
        <v>4973</v>
      </c>
      <c r="I1861" s="24" t="s">
        <v>17580</v>
      </c>
      <c r="J1861" s="24" t="s">
        <v>17581</v>
      </c>
      <c r="K1861" s="24" t="s">
        <v>5723</v>
      </c>
      <c r="L1861" s="24" t="s">
        <v>52</v>
      </c>
      <c r="M1861" s="15" t="s">
        <v>17582</v>
      </c>
      <c r="N1861" s="15" t="s">
        <v>342</v>
      </c>
      <c r="O1861" s="15" t="s">
        <v>121</v>
      </c>
      <c r="P1861" s="15" t="s">
        <v>1074</v>
      </c>
      <c r="Q1861" s="15" t="s">
        <v>1601</v>
      </c>
      <c r="R1861" s="15" t="s">
        <v>17583</v>
      </c>
      <c r="S1861" s="24" t="s">
        <v>39</v>
      </c>
      <c r="T1861" s="24" t="s">
        <v>39</v>
      </c>
      <c r="U1861" s="24" t="s">
        <v>39</v>
      </c>
      <c r="V1861" s="24" t="s">
        <v>39</v>
      </c>
      <c r="W1861" s="24" t="s">
        <v>17584</v>
      </c>
      <c r="X1861" s="24" t="s">
        <v>17585</v>
      </c>
      <c r="Y1861" s="15" t="s">
        <v>17586</v>
      </c>
      <c r="Z1861" s="15" t="s">
        <v>17587</v>
      </c>
      <c r="AA1861" s="24"/>
      <c r="AB1861" s="24"/>
      <c r="AC1861" s="24"/>
      <c r="AD1861" s="24"/>
      <c r="AE1861" s="24"/>
      <c r="AF1861" s="24"/>
      <c r="AG1861" s="24"/>
      <c r="AH1861" s="24"/>
    </row>
    <row r="1862" spans="1:34" ht="60" x14ac:dyDescent="0.25">
      <c r="A1862" s="24" t="str">
        <f>HYPERLINK("https://www.cpso.on.ca/DoctorDetails/Priyadharshini-Sabesan/0309432-110560","Sabesan, Priyadharshini")</f>
        <v>Sabesan, Priyadharshini</v>
      </c>
      <c r="B1862" s="25" t="s">
        <v>17588</v>
      </c>
      <c r="C1862" s="24" t="s">
        <v>17589</v>
      </c>
      <c r="D1862" s="24" t="s">
        <v>17590</v>
      </c>
      <c r="E1862" s="24" t="s">
        <v>29</v>
      </c>
      <c r="F1862" s="24" t="s">
        <v>47</v>
      </c>
      <c r="G1862" s="24" t="s">
        <v>2255</v>
      </c>
      <c r="H1862" s="24" t="s">
        <v>17591</v>
      </c>
      <c r="I1862" s="24" t="s">
        <v>17592</v>
      </c>
      <c r="J1862" s="24" t="s">
        <v>17593</v>
      </c>
      <c r="K1862" s="24" t="s">
        <v>17594</v>
      </c>
      <c r="L1862" s="24" t="s">
        <v>135</v>
      </c>
      <c r="M1862" s="15"/>
      <c r="N1862" s="15" t="s">
        <v>695</v>
      </c>
      <c r="O1862" s="15" t="s">
        <v>913</v>
      </c>
      <c r="P1862" s="15" t="s">
        <v>17595</v>
      </c>
      <c r="Q1862" s="15"/>
      <c r="R1862" s="15" t="s">
        <v>17596</v>
      </c>
      <c r="S1862" s="24" t="s">
        <v>71</v>
      </c>
      <c r="T1862" s="24" t="s">
        <v>39</v>
      </c>
      <c r="U1862" s="24" t="s">
        <v>39</v>
      </c>
      <c r="V1862" s="24" t="s">
        <v>39</v>
      </c>
      <c r="W1862" s="24" t="s">
        <v>17597</v>
      </c>
      <c r="X1862" s="24" t="s">
        <v>17598</v>
      </c>
      <c r="Y1862" s="15" t="s">
        <v>17599</v>
      </c>
      <c r="Z1862" s="15" t="s">
        <v>17600</v>
      </c>
      <c r="AA1862" s="24"/>
      <c r="AB1862" s="24"/>
      <c r="AC1862" s="24"/>
      <c r="AD1862" s="24"/>
      <c r="AE1862" s="24"/>
      <c r="AF1862" s="24"/>
      <c r="AG1862" s="24"/>
      <c r="AH1862" s="24"/>
    </row>
    <row r="1863" spans="1:34" ht="30" x14ac:dyDescent="0.25">
      <c r="A1863" s="24" t="str">
        <f>HYPERLINK("https://www.cpso.on.ca/DoctorDetails/Priyanka-Simone-Comfort/0314041-111279","Comfort, Priyanka Simone")</f>
        <v>Comfort, Priyanka Simone</v>
      </c>
      <c r="B1863" s="25" t="s">
        <v>17601</v>
      </c>
      <c r="C1863" s="24" t="s">
        <v>17602</v>
      </c>
      <c r="D1863" s="24" t="s">
        <v>17603</v>
      </c>
      <c r="E1863" s="24" t="s">
        <v>29</v>
      </c>
      <c r="F1863" s="24" t="s">
        <v>47</v>
      </c>
      <c r="G1863" s="24" t="s">
        <v>31</v>
      </c>
      <c r="H1863" s="24" t="s">
        <v>17604</v>
      </c>
      <c r="I1863" s="24" t="s">
        <v>17605</v>
      </c>
      <c r="J1863" s="24" t="s">
        <v>17606</v>
      </c>
      <c r="K1863" s="24"/>
      <c r="L1863" s="24" t="s">
        <v>184</v>
      </c>
      <c r="M1863" s="15"/>
      <c r="N1863" s="15" t="s">
        <v>3698</v>
      </c>
      <c r="O1863" s="15"/>
      <c r="P1863" s="15" t="s">
        <v>550</v>
      </c>
      <c r="Q1863" s="15" t="s">
        <v>17607</v>
      </c>
      <c r="R1863" s="15" t="s">
        <v>17608</v>
      </c>
      <c r="S1863" s="24" t="s">
        <v>39</v>
      </c>
      <c r="T1863" s="24" t="s">
        <v>39</v>
      </c>
      <c r="U1863" s="24" t="s">
        <v>39</v>
      </c>
      <c r="V1863" s="24" t="s">
        <v>39</v>
      </c>
      <c r="W1863" s="24"/>
      <c r="X1863" s="24"/>
      <c r="Y1863" s="15"/>
      <c r="Z1863" s="15"/>
      <c r="AA1863" s="24"/>
      <c r="AB1863" s="24"/>
      <c r="AC1863" s="24"/>
      <c r="AD1863" s="24"/>
      <c r="AE1863" s="24"/>
      <c r="AF1863" s="24"/>
      <c r="AG1863" s="24"/>
      <c r="AH1863" s="24"/>
    </row>
    <row r="1864" spans="1:34" ht="90" x14ac:dyDescent="0.25">
      <c r="A1864" s="24" t="str">
        <f>HYPERLINK("https://www.cpso.on.ca/DoctorDetails/Priyanthy-Weerasekera/0041386-55362","Weerasekera, Priyanthy")</f>
        <v>Weerasekera, Priyanthy</v>
      </c>
      <c r="B1864" s="25" t="s">
        <v>17609</v>
      </c>
      <c r="C1864" s="24" t="s">
        <v>2132</v>
      </c>
      <c r="D1864" s="24" t="s">
        <v>6821</v>
      </c>
      <c r="E1864" s="24" t="s">
        <v>29</v>
      </c>
      <c r="F1864" s="24" t="s">
        <v>47</v>
      </c>
      <c r="G1864" s="24" t="s">
        <v>31</v>
      </c>
      <c r="H1864" s="24" t="s">
        <v>4592</v>
      </c>
      <c r="I1864" s="24" t="s">
        <v>17610</v>
      </c>
      <c r="J1864" s="24" t="s">
        <v>17611</v>
      </c>
      <c r="K1864" s="24" t="s">
        <v>17612</v>
      </c>
      <c r="L1864" s="24" t="s">
        <v>184</v>
      </c>
      <c r="M1864" s="15"/>
      <c r="N1864" s="15"/>
      <c r="O1864" s="15" t="s">
        <v>6565</v>
      </c>
      <c r="P1864" s="15" t="s">
        <v>2908</v>
      </c>
      <c r="Q1864" s="15" t="s">
        <v>17613</v>
      </c>
      <c r="R1864" s="15" t="s">
        <v>17614</v>
      </c>
      <c r="S1864" s="24" t="s">
        <v>39</v>
      </c>
      <c r="T1864" s="24" t="s">
        <v>39</v>
      </c>
      <c r="U1864" s="24" t="s">
        <v>39</v>
      </c>
      <c r="V1864" s="24" t="s">
        <v>39</v>
      </c>
      <c r="W1864" s="24" t="s">
        <v>17615</v>
      </c>
      <c r="X1864" s="24" t="s">
        <v>6904</v>
      </c>
      <c r="Y1864" s="15" t="s">
        <v>17616</v>
      </c>
      <c r="Z1864" s="15" t="s">
        <v>17617</v>
      </c>
      <c r="AA1864" s="24"/>
      <c r="AB1864" s="24"/>
      <c r="AC1864" s="24"/>
      <c r="AD1864" s="24"/>
      <c r="AE1864" s="24"/>
      <c r="AF1864" s="24"/>
      <c r="AG1864" s="24"/>
      <c r="AH1864" s="24"/>
    </row>
    <row r="1865" spans="1:34" ht="90" x14ac:dyDescent="0.25">
      <c r="A1865" s="24" t="str">
        <f>HYPERLINK("https://www.cpso.on.ca/DoctorDetails/Pushpal-Desarkar/0272055-96963","Desarkar, Pushpal")</f>
        <v>Desarkar, Pushpal</v>
      </c>
      <c r="B1865" s="25" t="s">
        <v>17618</v>
      </c>
      <c r="C1865" s="24" t="s">
        <v>17619</v>
      </c>
      <c r="D1865" s="24" t="s">
        <v>17620</v>
      </c>
      <c r="E1865" s="24" t="s">
        <v>29</v>
      </c>
      <c r="F1865" s="24" t="s">
        <v>30</v>
      </c>
      <c r="G1865" s="24" t="s">
        <v>1375</v>
      </c>
      <c r="H1865" s="24" t="s">
        <v>17621</v>
      </c>
      <c r="I1865" s="24" t="s">
        <v>17622</v>
      </c>
      <c r="J1865" s="24" t="s">
        <v>17623</v>
      </c>
      <c r="K1865" s="24"/>
      <c r="L1865" s="24" t="s">
        <v>52</v>
      </c>
      <c r="M1865" s="15"/>
      <c r="N1865" s="15" t="s">
        <v>2221</v>
      </c>
      <c r="O1865" s="15" t="s">
        <v>981</v>
      </c>
      <c r="P1865" s="15" t="s">
        <v>17624</v>
      </c>
      <c r="Q1865" s="15"/>
      <c r="R1865" s="15" t="s">
        <v>17625</v>
      </c>
      <c r="S1865" s="24" t="s">
        <v>71</v>
      </c>
      <c r="T1865" s="24" t="s">
        <v>39</v>
      </c>
      <c r="U1865" s="24" t="s">
        <v>39</v>
      </c>
      <c r="V1865" s="24" t="s">
        <v>39</v>
      </c>
      <c r="W1865" s="24"/>
      <c r="X1865" s="24"/>
      <c r="Y1865" s="15"/>
      <c r="Z1865" s="15"/>
      <c r="AA1865" s="24"/>
      <c r="AB1865" s="24"/>
      <c r="AC1865" s="24"/>
      <c r="AD1865" s="24"/>
      <c r="AE1865" s="24"/>
      <c r="AF1865" s="24"/>
      <c r="AG1865" s="24"/>
      <c r="AH1865" s="24"/>
    </row>
    <row r="1866" spans="1:34" ht="30" x14ac:dyDescent="0.25">
      <c r="A1866" s="24" t="str">
        <f>HYPERLINK("https://www.cpso.on.ca/DoctorDetails/Rachel-Alexandra-Henry/0244649-87511","Henry, Rachel Alexandra")</f>
        <v>Henry, Rachel Alexandra</v>
      </c>
      <c r="B1866" s="25" t="s">
        <v>17626</v>
      </c>
      <c r="C1866" s="24" t="s">
        <v>17627</v>
      </c>
      <c r="D1866" s="24" t="s">
        <v>17628</v>
      </c>
      <c r="E1866" s="24" t="s">
        <v>29</v>
      </c>
      <c r="F1866" s="24" t="s">
        <v>47</v>
      </c>
      <c r="G1866" s="24" t="s">
        <v>31</v>
      </c>
      <c r="H1866" s="24" t="s">
        <v>14927</v>
      </c>
      <c r="I1866" s="24" t="s">
        <v>17629</v>
      </c>
      <c r="J1866" s="24" t="s">
        <v>17630</v>
      </c>
      <c r="K1866" s="24" t="s">
        <v>17631</v>
      </c>
      <c r="L1866" s="24" t="s">
        <v>328</v>
      </c>
      <c r="M1866" s="15" t="s">
        <v>17632</v>
      </c>
      <c r="N1866" s="15"/>
      <c r="O1866" s="15" t="s">
        <v>17633</v>
      </c>
      <c r="P1866" s="15" t="s">
        <v>17634</v>
      </c>
      <c r="Q1866" s="15"/>
      <c r="R1866" s="15" t="s">
        <v>17635</v>
      </c>
      <c r="S1866" s="24" t="s">
        <v>39</v>
      </c>
      <c r="T1866" s="24" t="s">
        <v>39</v>
      </c>
      <c r="U1866" s="24" t="s">
        <v>39</v>
      </c>
      <c r="V1866" s="24" t="s">
        <v>39</v>
      </c>
      <c r="W1866" s="24" t="s">
        <v>17636</v>
      </c>
      <c r="X1866" s="24" t="s">
        <v>17637</v>
      </c>
      <c r="Y1866" s="15" t="s">
        <v>17638</v>
      </c>
      <c r="Z1866" s="15" t="s">
        <v>17639</v>
      </c>
      <c r="AA1866" s="24"/>
      <c r="AB1866" s="24"/>
      <c r="AC1866" s="24"/>
      <c r="AD1866" s="24"/>
      <c r="AE1866" s="24"/>
      <c r="AF1866" s="24"/>
      <c r="AG1866" s="24"/>
      <c r="AH1866" s="24"/>
    </row>
    <row r="1867" spans="1:34" ht="75" x14ac:dyDescent="0.25">
      <c r="A1867" s="24" t="str">
        <f>HYPERLINK("https://www.cpso.on.ca/DoctorDetails/Rachel-Christina-Turcan/0250117-88433","Turcan, Rachel Christina")</f>
        <v>Turcan, Rachel Christina</v>
      </c>
      <c r="B1867" s="25" t="s">
        <v>17640</v>
      </c>
      <c r="C1867" s="24" t="s">
        <v>17641</v>
      </c>
      <c r="D1867" s="24" t="s">
        <v>17642</v>
      </c>
      <c r="E1867" s="24" t="s">
        <v>29</v>
      </c>
      <c r="F1867" s="24" t="s">
        <v>47</v>
      </c>
      <c r="G1867" s="24" t="s">
        <v>31</v>
      </c>
      <c r="H1867" s="24" t="s">
        <v>8722</v>
      </c>
      <c r="I1867" s="24" t="s">
        <v>17643</v>
      </c>
      <c r="J1867" s="24" t="s">
        <v>17644</v>
      </c>
      <c r="K1867" s="24" t="s">
        <v>10227</v>
      </c>
      <c r="L1867" s="24" t="s">
        <v>184</v>
      </c>
      <c r="M1867" s="15" t="s">
        <v>17645</v>
      </c>
      <c r="N1867" s="15"/>
      <c r="O1867" s="15" t="s">
        <v>1135</v>
      </c>
      <c r="P1867" s="15" t="s">
        <v>272</v>
      </c>
      <c r="Q1867" s="15" t="s">
        <v>4364</v>
      </c>
      <c r="R1867" s="15" t="s">
        <v>17646</v>
      </c>
      <c r="S1867" s="24" t="s">
        <v>39</v>
      </c>
      <c r="T1867" s="24" t="s">
        <v>39</v>
      </c>
      <c r="U1867" s="24" t="s">
        <v>39</v>
      </c>
      <c r="V1867" s="24" t="s">
        <v>39</v>
      </c>
      <c r="W1867" s="24"/>
      <c r="X1867" s="24"/>
      <c r="Y1867" s="15"/>
      <c r="Z1867" s="15"/>
      <c r="AA1867" s="24"/>
      <c r="AB1867" s="24"/>
      <c r="AC1867" s="24"/>
      <c r="AD1867" s="24"/>
      <c r="AE1867" s="24"/>
      <c r="AF1867" s="24"/>
      <c r="AG1867" s="24"/>
      <c r="AH1867" s="24"/>
    </row>
    <row r="1868" spans="1:34" ht="105" x14ac:dyDescent="0.25">
      <c r="A1868" s="24" t="str">
        <f>HYPERLINK("https://www.cpso.on.ca/DoctorDetails/Rachel-Hana-Berman-Mitchell/0257968-91155","Mitchell, Rachel Hana Berman")</f>
        <v>Mitchell, Rachel Hana Berman</v>
      </c>
      <c r="B1868" s="25" t="s">
        <v>17647</v>
      </c>
      <c r="C1868" s="24" t="s">
        <v>442</v>
      </c>
      <c r="D1868" s="24" t="s">
        <v>443</v>
      </c>
      <c r="E1868" s="24" t="s">
        <v>29</v>
      </c>
      <c r="F1868" s="24" t="s">
        <v>47</v>
      </c>
      <c r="G1868" s="24" t="s">
        <v>31</v>
      </c>
      <c r="H1868" s="24" t="s">
        <v>444</v>
      </c>
      <c r="I1868" s="24" t="s">
        <v>17648</v>
      </c>
      <c r="J1868" s="24" t="s">
        <v>17649</v>
      </c>
      <c r="K1868" s="24" t="s">
        <v>17650</v>
      </c>
      <c r="L1868" s="24" t="s">
        <v>52</v>
      </c>
      <c r="M1868" s="15" t="s">
        <v>17651</v>
      </c>
      <c r="N1868" s="15"/>
      <c r="O1868" s="15" t="s">
        <v>17652</v>
      </c>
      <c r="P1868" s="15" t="s">
        <v>449</v>
      </c>
      <c r="Q1868" s="15" t="s">
        <v>17653</v>
      </c>
      <c r="R1868" s="15" t="s">
        <v>451</v>
      </c>
      <c r="S1868" s="24" t="s">
        <v>39</v>
      </c>
      <c r="T1868" s="24" t="s">
        <v>39</v>
      </c>
      <c r="U1868" s="24" t="s">
        <v>39</v>
      </c>
      <c r="V1868" s="24" t="s">
        <v>39</v>
      </c>
      <c r="W1868" s="24"/>
      <c r="X1868" s="24"/>
      <c r="Y1868" s="15"/>
      <c r="Z1868" s="15"/>
      <c r="AA1868" s="24"/>
      <c r="AB1868" s="24"/>
      <c r="AC1868" s="24"/>
      <c r="AD1868" s="24"/>
      <c r="AE1868" s="24"/>
      <c r="AF1868" s="24"/>
      <c r="AG1868" s="24"/>
      <c r="AH1868" s="24"/>
    </row>
    <row r="1869" spans="1:34" ht="90" x14ac:dyDescent="0.25">
      <c r="A1869" s="24" t="str">
        <f>HYPERLINK("https://www.cpso.on.ca/DoctorDetails/Rachel-L-Burdett/0194064-77819","Burdett, Rachel L")</f>
        <v>Burdett, Rachel L</v>
      </c>
      <c r="B1869" s="25" t="s">
        <v>17654</v>
      </c>
      <c r="C1869" s="24" t="s">
        <v>17655</v>
      </c>
      <c r="D1869" s="24" t="s">
        <v>17656</v>
      </c>
      <c r="E1869" s="24" t="s">
        <v>29</v>
      </c>
      <c r="F1869" s="24" t="s">
        <v>47</v>
      </c>
      <c r="G1869" s="24" t="s">
        <v>31</v>
      </c>
      <c r="H1869" s="24" t="s">
        <v>5679</v>
      </c>
      <c r="I1869" s="24" t="s">
        <v>17657</v>
      </c>
      <c r="J1869" s="24" t="s">
        <v>17658</v>
      </c>
      <c r="K1869" s="24" t="s">
        <v>17659</v>
      </c>
      <c r="L1869" s="24" t="s">
        <v>65</v>
      </c>
      <c r="M1869" s="15" t="s">
        <v>17660</v>
      </c>
      <c r="N1869" s="15"/>
      <c r="O1869" s="15" t="s">
        <v>17661</v>
      </c>
      <c r="P1869" s="15" t="s">
        <v>17662</v>
      </c>
      <c r="Q1869" s="15" t="s">
        <v>17663</v>
      </c>
      <c r="R1869" s="15" t="s">
        <v>17664</v>
      </c>
      <c r="S1869" s="24" t="s">
        <v>39</v>
      </c>
      <c r="T1869" s="24" t="s">
        <v>39</v>
      </c>
      <c r="U1869" s="24" t="s">
        <v>39</v>
      </c>
      <c r="V1869" s="24" t="s">
        <v>39</v>
      </c>
      <c r="W1869" s="24" t="s">
        <v>17665</v>
      </c>
      <c r="X1869" s="24" t="s">
        <v>17666</v>
      </c>
      <c r="Y1869" s="15" t="s">
        <v>17667</v>
      </c>
      <c r="Z1869" s="15" t="s">
        <v>17668</v>
      </c>
      <c r="AA1869" s="24"/>
      <c r="AB1869" s="24"/>
      <c r="AC1869" s="24"/>
      <c r="AD1869" s="24"/>
      <c r="AE1869" s="24"/>
      <c r="AF1869" s="24"/>
      <c r="AG1869" s="24"/>
      <c r="AH1869" s="24"/>
    </row>
    <row r="1870" spans="1:34" ht="75" x14ac:dyDescent="0.25">
      <c r="A1870" s="24" t="str">
        <f>HYPERLINK("https://www.cpso.on.ca/DoctorDetails/Rachel-Ptashny/0266122-93648","Ptashny, Rachel")</f>
        <v>Ptashny, Rachel</v>
      </c>
      <c r="B1870" s="25" t="s">
        <v>17669</v>
      </c>
      <c r="C1870" s="24" t="s">
        <v>570</v>
      </c>
      <c r="D1870" s="24" t="s">
        <v>571</v>
      </c>
      <c r="E1870" s="24" t="s">
        <v>29</v>
      </c>
      <c r="F1870" s="24" t="s">
        <v>47</v>
      </c>
      <c r="G1870" s="24" t="s">
        <v>31</v>
      </c>
      <c r="H1870" s="24" t="s">
        <v>5057</v>
      </c>
      <c r="I1870" s="24" t="s">
        <v>6242</v>
      </c>
      <c r="J1870" s="24" t="s">
        <v>17670</v>
      </c>
      <c r="K1870" s="24"/>
      <c r="L1870" s="24" t="s">
        <v>52</v>
      </c>
      <c r="M1870" s="15"/>
      <c r="N1870" s="15"/>
      <c r="O1870" s="15" t="s">
        <v>17671</v>
      </c>
      <c r="P1870" s="15" t="s">
        <v>629</v>
      </c>
      <c r="Q1870" s="15" t="s">
        <v>4824</v>
      </c>
      <c r="R1870" s="15" t="s">
        <v>1706</v>
      </c>
      <c r="S1870" s="24" t="s">
        <v>39</v>
      </c>
      <c r="T1870" s="24" t="s">
        <v>39</v>
      </c>
      <c r="U1870" s="24" t="s">
        <v>39</v>
      </c>
      <c r="V1870" s="24" t="s">
        <v>39</v>
      </c>
      <c r="W1870" s="24" t="s">
        <v>17672</v>
      </c>
      <c r="X1870" s="24" t="s">
        <v>17673</v>
      </c>
      <c r="Y1870" s="15" t="s">
        <v>17674</v>
      </c>
      <c r="Z1870" s="15" t="s">
        <v>17675</v>
      </c>
      <c r="AA1870" s="24"/>
      <c r="AB1870" s="24"/>
      <c r="AC1870" s="24"/>
      <c r="AD1870" s="24"/>
      <c r="AE1870" s="24"/>
      <c r="AF1870" s="24"/>
      <c r="AG1870" s="24"/>
      <c r="AH1870" s="24"/>
    </row>
    <row r="1871" spans="1:34" ht="105" x14ac:dyDescent="0.25">
      <c r="A1871" s="24" t="str">
        <f>HYPERLINK("https://www.cpso.on.ca/DoctorDetails/Rachel-Sara-Erstling/0214462-81271","Erstling, Rachel Sara")</f>
        <v>Erstling, Rachel Sara</v>
      </c>
      <c r="B1871" s="25" t="s">
        <v>17676</v>
      </c>
      <c r="C1871" s="24" t="s">
        <v>17677</v>
      </c>
      <c r="D1871" s="24" t="s">
        <v>17678</v>
      </c>
      <c r="E1871" s="24" t="s">
        <v>29</v>
      </c>
      <c r="F1871" s="24" t="s">
        <v>47</v>
      </c>
      <c r="G1871" s="24" t="s">
        <v>813</v>
      </c>
      <c r="H1871" s="24" t="s">
        <v>17679</v>
      </c>
      <c r="I1871" s="24" t="s">
        <v>17680</v>
      </c>
      <c r="J1871" s="24" t="s">
        <v>17681</v>
      </c>
      <c r="K1871" s="24" t="s">
        <v>17682</v>
      </c>
      <c r="L1871" s="24" t="s">
        <v>184</v>
      </c>
      <c r="M1871" s="15" t="s">
        <v>17683</v>
      </c>
      <c r="N1871" s="15"/>
      <c r="O1871" s="15" t="s">
        <v>17684</v>
      </c>
      <c r="P1871" s="15" t="s">
        <v>17685</v>
      </c>
      <c r="Q1871" s="15" t="s">
        <v>17686</v>
      </c>
      <c r="R1871" s="15" t="s">
        <v>17687</v>
      </c>
      <c r="S1871" s="24" t="s">
        <v>39</v>
      </c>
      <c r="T1871" s="24" t="s">
        <v>39</v>
      </c>
      <c r="U1871" s="24" t="s">
        <v>39</v>
      </c>
      <c r="V1871" s="24" t="s">
        <v>39</v>
      </c>
      <c r="W1871" s="24" t="s">
        <v>17688</v>
      </c>
      <c r="X1871" s="24" t="s">
        <v>157</v>
      </c>
      <c r="Y1871" s="15" t="s">
        <v>17689</v>
      </c>
      <c r="Z1871" s="15" t="s">
        <v>17690</v>
      </c>
      <c r="AA1871" s="24"/>
      <c r="AB1871" s="24"/>
      <c r="AC1871" s="24"/>
      <c r="AD1871" s="24"/>
      <c r="AE1871" s="24"/>
      <c r="AF1871" s="24"/>
      <c r="AG1871" s="24"/>
      <c r="AH1871" s="24"/>
    </row>
    <row r="1872" spans="1:34" ht="90" x14ac:dyDescent="0.25">
      <c r="A1872" s="24" t="str">
        <f>HYPERLINK("https://www.cpso.on.ca/DoctorDetails/Rachelle-Gitel-Guttman/0220715-86752","Guttman, Rachelle Gitel")</f>
        <v>Guttman, Rachelle Gitel</v>
      </c>
      <c r="B1872" s="25" t="s">
        <v>17691</v>
      </c>
      <c r="C1872" s="24" t="s">
        <v>17692</v>
      </c>
      <c r="D1872" s="24" t="s">
        <v>17693</v>
      </c>
      <c r="E1872" s="24" t="s">
        <v>29</v>
      </c>
      <c r="F1872" s="24" t="s">
        <v>47</v>
      </c>
      <c r="G1872" s="24" t="s">
        <v>31</v>
      </c>
      <c r="H1872" s="24" t="s">
        <v>11384</v>
      </c>
      <c r="I1872" s="24" t="s">
        <v>17694</v>
      </c>
      <c r="J1872" s="24" t="s">
        <v>4478</v>
      </c>
      <c r="K1872" s="24" t="s">
        <v>1493</v>
      </c>
      <c r="L1872" s="24" t="s">
        <v>52</v>
      </c>
      <c r="M1872" s="15"/>
      <c r="N1872" s="15"/>
      <c r="O1872" s="15"/>
      <c r="P1872" s="15" t="s">
        <v>7386</v>
      </c>
      <c r="Q1872" s="15" t="s">
        <v>17695</v>
      </c>
      <c r="R1872" s="15" t="s">
        <v>17696</v>
      </c>
      <c r="S1872" s="24" t="s">
        <v>39</v>
      </c>
      <c r="T1872" s="24" t="s">
        <v>39</v>
      </c>
      <c r="U1872" s="24" t="s">
        <v>39</v>
      </c>
      <c r="V1872" s="24" t="s">
        <v>39</v>
      </c>
      <c r="W1872" s="24"/>
      <c r="X1872" s="24"/>
      <c r="Y1872" s="15"/>
      <c r="Z1872" s="15"/>
      <c r="AA1872" s="24"/>
      <c r="AB1872" s="24"/>
      <c r="AC1872" s="24"/>
      <c r="AD1872" s="24"/>
      <c r="AE1872" s="24"/>
      <c r="AF1872" s="24"/>
      <c r="AG1872" s="24"/>
      <c r="AH1872" s="24"/>
    </row>
    <row r="1873" spans="1:34" ht="30" x14ac:dyDescent="0.25">
      <c r="A1873" s="24" t="str">
        <f>HYPERLINK("https://www.cpso.on.ca/DoctorDetails/Radomila-Lenz/0048167-62145","Lenz, Radomila")</f>
        <v>Lenz, Radomila</v>
      </c>
      <c r="B1873" s="25" t="s">
        <v>17697</v>
      </c>
      <c r="C1873" s="24" t="s">
        <v>3890</v>
      </c>
      <c r="D1873" s="24" t="s">
        <v>17698</v>
      </c>
      <c r="E1873" s="24" t="s">
        <v>29</v>
      </c>
      <c r="F1873" s="24" t="s">
        <v>47</v>
      </c>
      <c r="G1873" s="24" t="s">
        <v>8618</v>
      </c>
      <c r="H1873" s="24" t="s">
        <v>17699</v>
      </c>
      <c r="I1873" s="24" t="s">
        <v>17700</v>
      </c>
      <c r="J1873" s="24" t="s">
        <v>17701</v>
      </c>
      <c r="K1873" s="24" t="s">
        <v>17702</v>
      </c>
      <c r="L1873" s="24" t="s">
        <v>84</v>
      </c>
      <c r="M1873" s="15"/>
      <c r="N1873" s="15"/>
      <c r="O1873" s="15"/>
      <c r="P1873" s="15" t="s">
        <v>17703</v>
      </c>
      <c r="Q1873" s="15" t="s">
        <v>17704</v>
      </c>
      <c r="R1873" s="15" t="s">
        <v>17705</v>
      </c>
      <c r="S1873" s="24" t="s">
        <v>39</v>
      </c>
      <c r="T1873" s="24" t="s">
        <v>39</v>
      </c>
      <c r="U1873" s="24" t="s">
        <v>39</v>
      </c>
      <c r="V1873" s="24" t="s">
        <v>39</v>
      </c>
      <c r="W1873" s="24"/>
      <c r="X1873" s="24"/>
      <c r="Y1873" s="15"/>
      <c r="Z1873" s="15"/>
      <c r="AA1873" s="24"/>
      <c r="AB1873" s="24"/>
      <c r="AC1873" s="24"/>
      <c r="AD1873" s="24"/>
      <c r="AE1873" s="24"/>
      <c r="AF1873" s="24"/>
      <c r="AG1873" s="24"/>
      <c r="AH1873" s="24"/>
    </row>
    <row r="1874" spans="1:34" ht="75" x14ac:dyDescent="0.25">
      <c r="A1874" s="24" t="str">
        <f>HYPERLINK("https://www.cpso.on.ca/DoctorDetails/Raed-Jad-Hawa/0056685-68273","Hawa, Raed Jad")</f>
        <v>Hawa, Raed Jad</v>
      </c>
      <c r="B1874" s="25" t="s">
        <v>17706</v>
      </c>
      <c r="C1874" s="24" t="s">
        <v>1669</v>
      </c>
      <c r="D1874" s="24" t="s">
        <v>1670</v>
      </c>
      <c r="E1874" s="24" t="s">
        <v>29</v>
      </c>
      <c r="F1874" s="24" t="s">
        <v>30</v>
      </c>
      <c r="G1874" s="24" t="s">
        <v>31</v>
      </c>
      <c r="H1874" s="24" t="s">
        <v>7463</v>
      </c>
      <c r="I1874" s="24" t="s">
        <v>17707</v>
      </c>
      <c r="J1874" s="24" t="s">
        <v>17708</v>
      </c>
      <c r="K1874" s="24" t="s">
        <v>10978</v>
      </c>
      <c r="L1874" s="24" t="s">
        <v>52</v>
      </c>
      <c r="M1874" s="15"/>
      <c r="N1874" s="15"/>
      <c r="O1874" s="15" t="s">
        <v>5784</v>
      </c>
      <c r="P1874" s="15" t="s">
        <v>1677</v>
      </c>
      <c r="Q1874" s="15" t="s">
        <v>1678</v>
      </c>
      <c r="R1874" s="15" t="s">
        <v>1679</v>
      </c>
      <c r="S1874" s="24" t="s">
        <v>39</v>
      </c>
      <c r="T1874" s="24" t="s">
        <v>39</v>
      </c>
      <c r="U1874" s="24" t="s">
        <v>39</v>
      </c>
      <c r="V1874" s="24" t="s">
        <v>39</v>
      </c>
      <c r="W1874" s="24" t="s">
        <v>17709</v>
      </c>
      <c r="X1874" s="24" t="s">
        <v>17710</v>
      </c>
      <c r="Y1874" s="15" t="s">
        <v>17711</v>
      </c>
      <c r="Z1874" s="15" t="s">
        <v>17712</v>
      </c>
      <c r="AA1874" s="24"/>
      <c r="AB1874" s="24"/>
      <c r="AC1874" s="24"/>
      <c r="AD1874" s="24"/>
      <c r="AE1874" s="24"/>
      <c r="AF1874" s="24"/>
      <c r="AG1874" s="24"/>
      <c r="AH1874" s="24"/>
    </row>
    <row r="1875" spans="1:34" ht="30" x14ac:dyDescent="0.25">
      <c r="A1875" s="24" t="str">
        <f>HYPERLINK("https://www.cpso.on.ca/DoctorDetails/Raghunath-Kumaran/0039758-53734","Kumaran, Raghunath")</f>
        <v>Kumaran, Raghunath</v>
      </c>
      <c r="B1875" s="25" t="s">
        <v>17713</v>
      </c>
      <c r="C1875" s="24" t="s">
        <v>5637</v>
      </c>
      <c r="D1875" s="24" t="s">
        <v>17714</v>
      </c>
      <c r="E1875" s="24" t="s">
        <v>29</v>
      </c>
      <c r="F1875" s="24" t="s">
        <v>30</v>
      </c>
      <c r="G1875" s="24" t="s">
        <v>1245</v>
      </c>
      <c r="H1875" s="24" t="s">
        <v>17715</v>
      </c>
      <c r="I1875" s="24" t="s">
        <v>17716</v>
      </c>
      <c r="J1875" s="24" t="s">
        <v>17717</v>
      </c>
      <c r="K1875" s="24" t="s">
        <v>17718</v>
      </c>
      <c r="L1875" s="24" t="s">
        <v>184</v>
      </c>
      <c r="M1875" s="15"/>
      <c r="N1875" s="15"/>
      <c r="O1875" s="15" t="s">
        <v>17719</v>
      </c>
      <c r="P1875" s="15" t="s">
        <v>7499</v>
      </c>
      <c r="Q1875" s="15"/>
      <c r="R1875" s="15" t="s">
        <v>17720</v>
      </c>
      <c r="S1875" s="24" t="s">
        <v>39</v>
      </c>
      <c r="T1875" s="24" t="s">
        <v>39</v>
      </c>
      <c r="U1875" s="24" t="s">
        <v>39</v>
      </c>
      <c r="V1875" s="24" t="s">
        <v>39</v>
      </c>
      <c r="W1875" s="24" t="s">
        <v>17721</v>
      </c>
      <c r="X1875" s="24" t="s">
        <v>17722</v>
      </c>
      <c r="Y1875" s="15" t="s">
        <v>17723</v>
      </c>
      <c r="Z1875" s="15" t="s">
        <v>17724</v>
      </c>
      <c r="AA1875" s="24"/>
      <c r="AB1875" s="24"/>
      <c r="AC1875" s="24"/>
      <c r="AD1875" s="24"/>
      <c r="AE1875" s="24"/>
      <c r="AF1875" s="24"/>
      <c r="AG1875" s="24"/>
      <c r="AH1875" s="24"/>
    </row>
    <row r="1876" spans="1:34" ht="150" x14ac:dyDescent="0.25">
      <c r="A1876" s="24" t="str">
        <f>HYPERLINK("https://www.cpso.on.ca/DoctorDetails/Rahaf-Mohammed-A-Alasiri/0270933-94972","Alasiri, Rahaf Mohammed A")</f>
        <v>Alasiri, Rahaf Mohammed A</v>
      </c>
      <c r="B1876" s="25" t="s">
        <v>17725</v>
      </c>
      <c r="C1876" s="24" t="s">
        <v>17726</v>
      </c>
      <c r="D1876" s="24" t="s">
        <v>17727</v>
      </c>
      <c r="E1876" s="24" t="s">
        <v>29</v>
      </c>
      <c r="F1876" s="24" t="s">
        <v>47</v>
      </c>
      <c r="G1876" s="24" t="s">
        <v>31</v>
      </c>
      <c r="H1876" s="24" t="s">
        <v>17728</v>
      </c>
      <c r="I1876" s="24" t="s">
        <v>353</v>
      </c>
      <c r="J1876" s="24" t="s">
        <v>17729</v>
      </c>
      <c r="K1876" s="24"/>
      <c r="L1876" s="24" t="s">
        <v>52</v>
      </c>
      <c r="M1876" s="15"/>
      <c r="N1876" s="15"/>
      <c r="O1876" s="15"/>
      <c r="P1876" s="15" t="s">
        <v>550</v>
      </c>
      <c r="Q1876" s="15" t="s">
        <v>17730</v>
      </c>
      <c r="R1876" s="15" t="s">
        <v>17731</v>
      </c>
      <c r="S1876" s="24" t="s">
        <v>39</v>
      </c>
      <c r="T1876" s="24" t="s">
        <v>39</v>
      </c>
      <c r="U1876" s="24" t="s">
        <v>39</v>
      </c>
      <c r="V1876" s="24" t="s">
        <v>39</v>
      </c>
      <c r="W1876" s="24"/>
      <c r="X1876" s="24"/>
      <c r="Y1876" s="15"/>
      <c r="Z1876" s="15"/>
      <c r="AA1876" s="24"/>
      <c r="AB1876" s="24"/>
      <c r="AC1876" s="24"/>
      <c r="AD1876" s="24"/>
      <c r="AE1876" s="24"/>
      <c r="AF1876" s="24"/>
      <c r="AG1876" s="24"/>
      <c r="AH1876" s="24"/>
    </row>
    <row r="1877" spans="1:34" x14ac:dyDescent="0.25">
      <c r="A1877" s="24" t="str">
        <f>HYPERLINK("https://www.cpso.on.ca/DoctorDetails/Raheel-Shahid/0291472-102367","Shahid, Raheel")</f>
        <v>Shahid, Raheel</v>
      </c>
      <c r="B1877" s="25" t="s">
        <v>17732</v>
      </c>
      <c r="C1877" s="24" t="s">
        <v>17733</v>
      </c>
      <c r="D1877" s="24" t="s">
        <v>17734</v>
      </c>
      <c r="E1877" s="24" t="s">
        <v>29</v>
      </c>
      <c r="F1877" s="24" t="s">
        <v>30</v>
      </c>
      <c r="G1877" s="24" t="s">
        <v>2425</v>
      </c>
      <c r="H1877" s="24" t="s">
        <v>17735</v>
      </c>
      <c r="I1877" s="24" t="s">
        <v>17736</v>
      </c>
      <c r="J1877" s="24" t="s">
        <v>17737</v>
      </c>
      <c r="K1877" s="24"/>
      <c r="L1877" s="24" t="s">
        <v>36</v>
      </c>
      <c r="M1877" s="15"/>
      <c r="N1877" s="15"/>
      <c r="O1877" s="15"/>
      <c r="P1877" s="15" t="s">
        <v>17738</v>
      </c>
      <c r="Q1877" s="15"/>
      <c r="R1877" s="15" t="s">
        <v>17739</v>
      </c>
      <c r="S1877" s="24" t="s">
        <v>39</v>
      </c>
      <c r="T1877" s="24" t="s">
        <v>39</v>
      </c>
      <c r="U1877" s="24" t="s">
        <v>39</v>
      </c>
      <c r="V1877" s="24" t="s">
        <v>39</v>
      </c>
      <c r="W1877" s="24"/>
      <c r="X1877" s="24"/>
      <c r="Y1877" s="15"/>
      <c r="Z1877" s="15"/>
      <c r="AA1877" s="24"/>
      <c r="AB1877" s="24"/>
      <c r="AC1877" s="24"/>
      <c r="AD1877" s="24"/>
      <c r="AE1877" s="24"/>
      <c r="AF1877" s="24"/>
      <c r="AG1877" s="24"/>
      <c r="AH1877" s="24"/>
    </row>
    <row r="1878" spans="1:34" ht="45" x14ac:dyDescent="0.25">
      <c r="A1878" s="24" t="str">
        <f>HYPERLINK("https://www.cpso.on.ca/DoctorDetails/Rahul-Manchanda/0040971-54947","Manchanda, Rahul")</f>
        <v>Manchanda, Rahul</v>
      </c>
      <c r="B1878" s="25" t="s">
        <v>17740</v>
      </c>
      <c r="C1878" s="24" t="s">
        <v>17262</v>
      </c>
      <c r="D1878" s="24" t="s">
        <v>8235</v>
      </c>
      <c r="E1878" s="24" t="s">
        <v>29</v>
      </c>
      <c r="F1878" s="24" t="s">
        <v>30</v>
      </c>
      <c r="G1878" s="24" t="s">
        <v>691</v>
      </c>
      <c r="H1878" s="24" t="s">
        <v>17741</v>
      </c>
      <c r="I1878" s="24" t="s">
        <v>17742</v>
      </c>
      <c r="J1878" s="24" t="s">
        <v>17743</v>
      </c>
      <c r="K1878" s="24"/>
      <c r="L1878" s="24" t="s">
        <v>135</v>
      </c>
      <c r="M1878" s="15"/>
      <c r="N1878" s="15"/>
      <c r="O1878" s="15"/>
      <c r="P1878" s="15" t="s">
        <v>5827</v>
      </c>
      <c r="Q1878" s="15"/>
      <c r="R1878" s="15" t="s">
        <v>17744</v>
      </c>
      <c r="S1878" s="24" t="s">
        <v>71</v>
      </c>
      <c r="T1878" s="24" t="s">
        <v>39</v>
      </c>
      <c r="U1878" s="24" t="s">
        <v>39</v>
      </c>
      <c r="V1878" s="24" t="s">
        <v>39</v>
      </c>
      <c r="W1878" s="24" t="s">
        <v>17745</v>
      </c>
      <c r="X1878" s="24" t="s">
        <v>17746</v>
      </c>
      <c r="Y1878" s="15" t="s">
        <v>17747</v>
      </c>
      <c r="Z1878" s="15" t="s">
        <v>17748</v>
      </c>
      <c r="AA1878" s="24"/>
      <c r="AB1878" s="24"/>
      <c r="AC1878" s="24"/>
      <c r="AD1878" s="24"/>
      <c r="AE1878" s="24"/>
      <c r="AF1878" s="24"/>
      <c r="AG1878" s="24"/>
      <c r="AH1878" s="24"/>
    </row>
    <row r="1879" spans="1:34" x14ac:dyDescent="0.25">
      <c r="A1879" s="24" t="str">
        <f>HYPERLINK("https://www.cpso.on.ca/DoctorDetails/Rajamannar-Ramasubbu/0050910-64889","Ramasubbu, Rajamannar")</f>
        <v>Ramasubbu, Rajamannar</v>
      </c>
      <c r="B1879" s="25" t="s">
        <v>17749</v>
      </c>
      <c r="C1879" s="24" t="s">
        <v>17750</v>
      </c>
      <c r="D1879" s="24" t="s">
        <v>17751</v>
      </c>
      <c r="E1879" s="24" t="s">
        <v>29</v>
      </c>
      <c r="F1879" s="24" t="s">
        <v>30</v>
      </c>
      <c r="G1879" s="24" t="s">
        <v>2255</v>
      </c>
      <c r="H1879" s="24" t="s">
        <v>17752</v>
      </c>
      <c r="I1879" s="24" t="s">
        <v>17753</v>
      </c>
      <c r="J1879" s="24" t="s">
        <v>17754</v>
      </c>
      <c r="K1879" s="24" t="s">
        <v>17755</v>
      </c>
      <c r="L1879" s="24"/>
      <c r="M1879" s="15"/>
      <c r="N1879" s="15" t="s">
        <v>258</v>
      </c>
      <c r="O1879" s="15"/>
      <c r="P1879" s="15" t="s">
        <v>3232</v>
      </c>
      <c r="Q1879" s="15" t="s">
        <v>14138</v>
      </c>
      <c r="R1879" s="15" t="s">
        <v>17756</v>
      </c>
      <c r="S1879" s="24" t="s">
        <v>39</v>
      </c>
      <c r="T1879" s="24" t="s">
        <v>39</v>
      </c>
      <c r="U1879" s="24" t="s">
        <v>39</v>
      </c>
      <c r="V1879" s="24" t="s">
        <v>39</v>
      </c>
      <c r="W1879" s="24"/>
      <c r="X1879" s="24"/>
      <c r="Y1879" s="15"/>
      <c r="Z1879" s="15"/>
      <c r="AA1879" s="24"/>
      <c r="AB1879" s="24"/>
      <c r="AC1879" s="24"/>
      <c r="AD1879" s="24"/>
      <c r="AE1879" s="24"/>
      <c r="AF1879" s="24"/>
      <c r="AG1879" s="24"/>
      <c r="AH1879" s="24"/>
    </row>
    <row r="1880" spans="1:34" ht="105" x14ac:dyDescent="0.25">
      <c r="A1880" s="24" t="str">
        <f>HYPERLINK("https://www.cpso.on.ca/DoctorDetails/Rajasekar-Basker/0279202-99581","Basker, Rajasekar")</f>
        <v>Basker, Rajasekar</v>
      </c>
      <c r="B1880" s="25" t="s">
        <v>17757</v>
      </c>
      <c r="C1880" s="24" t="s">
        <v>17758</v>
      </c>
      <c r="D1880" s="24" t="s">
        <v>17759</v>
      </c>
      <c r="E1880" s="24" t="s">
        <v>29</v>
      </c>
      <c r="F1880" s="24" t="s">
        <v>30</v>
      </c>
      <c r="G1880" s="24" t="s">
        <v>2255</v>
      </c>
      <c r="H1880" s="24" t="s">
        <v>17760</v>
      </c>
      <c r="I1880" s="24" t="s">
        <v>17761</v>
      </c>
      <c r="J1880" s="24" t="s">
        <v>17762</v>
      </c>
      <c r="K1880" s="24" t="s">
        <v>17763</v>
      </c>
      <c r="L1880" s="24" t="s">
        <v>65</v>
      </c>
      <c r="M1880" s="15" t="s">
        <v>17764</v>
      </c>
      <c r="N1880" s="15" t="s">
        <v>17765</v>
      </c>
      <c r="O1880" s="15"/>
      <c r="P1880" s="15" t="s">
        <v>425</v>
      </c>
      <c r="Q1880" s="15"/>
      <c r="R1880" s="15" t="s">
        <v>17766</v>
      </c>
      <c r="S1880" s="24" t="s">
        <v>39</v>
      </c>
      <c r="T1880" s="24" t="s">
        <v>39</v>
      </c>
      <c r="U1880" s="24" t="s">
        <v>39</v>
      </c>
      <c r="V1880" s="24" t="s">
        <v>39</v>
      </c>
      <c r="W1880" s="24" t="s">
        <v>17767</v>
      </c>
      <c r="X1880" s="24" t="s">
        <v>17768</v>
      </c>
      <c r="Y1880" s="15" t="s">
        <v>17769</v>
      </c>
      <c r="Z1880" s="15" t="s">
        <v>17770</v>
      </c>
      <c r="AA1880" s="24"/>
      <c r="AB1880" s="24"/>
      <c r="AC1880" s="24"/>
      <c r="AD1880" s="24"/>
      <c r="AE1880" s="24"/>
      <c r="AF1880" s="24"/>
      <c r="AG1880" s="24"/>
      <c r="AH1880" s="24"/>
    </row>
    <row r="1881" spans="1:34" x14ac:dyDescent="0.25">
      <c r="A1881" s="24" t="str">
        <f>HYPERLINK("https://www.cpso.on.ca/DoctorDetails/Rajeev-Sachdeva/0039642-53618","Sachdeva, Rajeev")</f>
        <v>Sachdeva, Rajeev</v>
      </c>
      <c r="B1881" s="25" t="s">
        <v>17771</v>
      </c>
      <c r="C1881" s="24" t="s">
        <v>17772</v>
      </c>
      <c r="D1881" s="24" t="s">
        <v>16139</v>
      </c>
      <c r="E1881" s="24" t="s">
        <v>29</v>
      </c>
      <c r="F1881" s="24" t="s">
        <v>30</v>
      </c>
      <c r="G1881" s="24" t="s">
        <v>31</v>
      </c>
      <c r="H1881" s="24" t="s">
        <v>13157</v>
      </c>
      <c r="I1881" s="24" t="s">
        <v>742</v>
      </c>
      <c r="J1881" s="24" t="s">
        <v>17773</v>
      </c>
      <c r="K1881" s="24"/>
      <c r="L1881" s="24" t="s">
        <v>84</v>
      </c>
      <c r="M1881" s="15"/>
      <c r="N1881" s="15"/>
      <c r="O1881" s="15" t="s">
        <v>498</v>
      </c>
      <c r="P1881" s="15" t="s">
        <v>808</v>
      </c>
      <c r="Q1881" s="15"/>
      <c r="R1881" s="15" t="s">
        <v>17774</v>
      </c>
      <c r="S1881" s="24" t="s">
        <v>39</v>
      </c>
      <c r="T1881" s="24" t="s">
        <v>39</v>
      </c>
      <c r="U1881" s="24" t="s">
        <v>39</v>
      </c>
      <c r="V1881" s="24" t="s">
        <v>39</v>
      </c>
      <c r="W1881" s="24" t="s">
        <v>17775</v>
      </c>
      <c r="X1881" s="24" t="s">
        <v>17776</v>
      </c>
      <c r="Y1881" s="15" t="s">
        <v>17777</v>
      </c>
      <c r="Z1881" s="15" t="s">
        <v>2554</v>
      </c>
      <c r="AA1881" s="24"/>
      <c r="AB1881" s="24"/>
      <c r="AC1881" s="24"/>
      <c r="AD1881" s="24"/>
      <c r="AE1881" s="24"/>
      <c r="AF1881" s="24"/>
      <c r="AG1881" s="24"/>
      <c r="AH1881" s="24"/>
    </row>
    <row r="1882" spans="1:34" ht="75" x14ac:dyDescent="0.25">
      <c r="A1882" s="24" t="str">
        <f>HYPERLINK("https://www.cpso.on.ca/DoctorDetails/Rajeevan-Rasasingham/0259554-92014","Rasasingham, Rajeevan")</f>
        <v>Rasasingham, Rajeevan</v>
      </c>
      <c r="B1882" s="25" t="s">
        <v>17778</v>
      </c>
      <c r="C1882" s="24" t="s">
        <v>17779</v>
      </c>
      <c r="D1882" s="24" t="s">
        <v>17780</v>
      </c>
      <c r="E1882" s="24" t="s">
        <v>29</v>
      </c>
      <c r="F1882" s="24" t="s">
        <v>30</v>
      </c>
      <c r="G1882" s="24" t="s">
        <v>31</v>
      </c>
      <c r="H1882" s="24" t="s">
        <v>17781</v>
      </c>
      <c r="I1882" s="24" t="s">
        <v>17782</v>
      </c>
      <c r="J1882" s="24" t="s">
        <v>17783</v>
      </c>
      <c r="K1882" s="24"/>
      <c r="L1882" s="24" t="s">
        <v>52</v>
      </c>
      <c r="M1882" s="15"/>
      <c r="N1882" s="15" t="s">
        <v>17784</v>
      </c>
      <c r="O1882" s="15" t="s">
        <v>1784</v>
      </c>
      <c r="P1882" s="15" t="s">
        <v>412</v>
      </c>
      <c r="Q1882" s="15"/>
      <c r="R1882" s="15" t="s">
        <v>17785</v>
      </c>
      <c r="S1882" s="24" t="s">
        <v>39</v>
      </c>
      <c r="T1882" s="24" t="s">
        <v>39</v>
      </c>
      <c r="U1882" s="24" t="s">
        <v>39</v>
      </c>
      <c r="V1882" s="24" t="s">
        <v>39</v>
      </c>
      <c r="W1882" s="24" t="s">
        <v>17786</v>
      </c>
      <c r="X1882" s="24" t="s">
        <v>17787</v>
      </c>
      <c r="Y1882" s="15" t="s">
        <v>17788</v>
      </c>
      <c r="Z1882" s="15" t="s">
        <v>17789</v>
      </c>
      <c r="AA1882" s="24"/>
      <c r="AB1882" s="24"/>
      <c r="AC1882" s="24"/>
      <c r="AD1882" s="24"/>
      <c r="AE1882" s="24"/>
      <c r="AF1882" s="24"/>
      <c r="AG1882" s="24"/>
      <c r="AH1882" s="24"/>
    </row>
    <row r="1883" spans="1:34" ht="45" x14ac:dyDescent="0.25">
      <c r="A1883" s="24" t="str">
        <f>HYPERLINK("https://www.cpso.on.ca/DoctorDetails/Rajender-Kumar/0056920-68509","Kumar, Rajender")</f>
        <v>Kumar, Rajender</v>
      </c>
      <c r="B1883" s="25" t="s">
        <v>17790</v>
      </c>
      <c r="C1883" s="24" t="s">
        <v>17791</v>
      </c>
      <c r="D1883" s="24" t="s">
        <v>17792</v>
      </c>
      <c r="E1883" s="24" t="s">
        <v>29</v>
      </c>
      <c r="F1883" s="24" t="s">
        <v>30</v>
      </c>
      <c r="G1883" s="24" t="s">
        <v>61</v>
      </c>
      <c r="H1883" s="24" t="s">
        <v>17793</v>
      </c>
      <c r="I1883" s="24" t="s">
        <v>17794</v>
      </c>
      <c r="J1883" s="24" t="s">
        <v>1769</v>
      </c>
      <c r="K1883" s="24" t="s">
        <v>1744</v>
      </c>
      <c r="L1883" s="24" t="s">
        <v>328</v>
      </c>
      <c r="M1883" s="15" t="s">
        <v>17795</v>
      </c>
      <c r="N1883" s="15"/>
      <c r="O1883" s="15" t="s">
        <v>1746</v>
      </c>
      <c r="P1883" s="15" t="s">
        <v>8479</v>
      </c>
      <c r="Q1883" s="15"/>
      <c r="R1883" s="15" t="s">
        <v>17796</v>
      </c>
      <c r="S1883" s="24" t="s">
        <v>39</v>
      </c>
      <c r="T1883" s="24" t="s">
        <v>39</v>
      </c>
      <c r="U1883" s="24" t="s">
        <v>39</v>
      </c>
      <c r="V1883" s="24" t="s">
        <v>39</v>
      </c>
      <c r="W1883" s="24" t="s">
        <v>17797</v>
      </c>
      <c r="X1883" s="24" t="s">
        <v>17798</v>
      </c>
      <c r="Y1883" s="15" t="s">
        <v>17799</v>
      </c>
      <c r="Z1883" s="15" t="s">
        <v>17800</v>
      </c>
      <c r="AA1883" s="24"/>
      <c r="AB1883" s="24"/>
      <c r="AC1883" s="24"/>
      <c r="AD1883" s="24"/>
      <c r="AE1883" s="24"/>
      <c r="AF1883" s="24"/>
      <c r="AG1883" s="24"/>
      <c r="AH1883" s="24"/>
    </row>
    <row r="1884" spans="1:34" ht="60" x14ac:dyDescent="0.25">
      <c r="A1884" s="24" t="str">
        <f>HYPERLINK("https://www.cpso.on.ca/DoctorDetails/Rajendra-Harricharan/0046236-60214","Harricharan, Rajendra")</f>
        <v>Harricharan, Rajendra</v>
      </c>
      <c r="B1884" s="25" t="s">
        <v>17801</v>
      </c>
      <c r="C1884" s="24" t="s">
        <v>17802</v>
      </c>
      <c r="D1884" s="24" t="s">
        <v>17803</v>
      </c>
      <c r="E1884" s="24" t="s">
        <v>29</v>
      </c>
      <c r="F1884" s="24" t="s">
        <v>30</v>
      </c>
      <c r="G1884" s="24" t="s">
        <v>31</v>
      </c>
      <c r="H1884" s="24" t="s">
        <v>17804</v>
      </c>
      <c r="I1884" s="24" t="s">
        <v>17805</v>
      </c>
      <c r="J1884" s="24" t="s">
        <v>17806</v>
      </c>
      <c r="K1884" s="24" t="s">
        <v>17570</v>
      </c>
      <c r="L1884" s="24" t="s">
        <v>135</v>
      </c>
      <c r="M1884" s="15" t="s">
        <v>17807</v>
      </c>
      <c r="N1884" s="15"/>
      <c r="O1884" s="15" t="s">
        <v>17808</v>
      </c>
      <c r="P1884" s="15" t="s">
        <v>617</v>
      </c>
      <c r="Q1884" s="15" t="s">
        <v>17809</v>
      </c>
      <c r="R1884" s="15" t="s">
        <v>17810</v>
      </c>
      <c r="S1884" s="24" t="s">
        <v>39</v>
      </c>
      <c r="T1884" s="24" t="s">
        <v>39</v>
      </c>
      <c r="U1884" s="24" t="s">
        <v>39</v>
      </c>
      <c r="V1884" s="24" t="s">
        <v>39</v>
      </c>
      <c r="W1884" s="24" t="s">
        <v>17811</v>
      </c>
      <c r="X1884" s="24" t="s">
        <v>17812</v>
      </c>
      <c r="Y1884" s="15" t="s">
        <v>17813</v>
      </c>
      <c r="Z1884" s="15" t="s">
        <v>17814</v>
      </c>
      <c r="AA1884" s="24"/>
      <c r="AB1884" s="24"/>
      <c r="AC1884" s="24"/>
      <c r="AD1884" s="24"/>
      <c r="AE1884" s="24"/>
      <c r="AF1884" s="24"/>
      <c r="AG1884" s="24"/>
      <c r="AH1884" s="24"/>
    </row>
    <row r="1885" spans="1:34" ht="105" x14ac:dyDescent="0.25">
      <c r="A1885" s="24" t="str">
        <f>HYPERLINK("https://www.cpso.on.ca/DoctorDetails/Rajinder-Singh-Momi/0246798-89282","Momi, Rajinder Singh")</f>
        <v>Momi, Rajinder Singh</v>
      </c>
      <c r="B1885" s="25" t="s">
        <v>17815</v>
      </c>
      <c r="C1885" s="24" t="s">
        <v>17816</v>
      </c>
      <c r="D1885" s="24" t="s">
        <v>17817</v>
      </c>
      <c r="E1885" s="24" t="s">
        <v>29</v>
      </c>
      <c r="F1885" s="24" t="s">
        <v>30</v>
      </c>
      <c r="G1885" s="24" t="s">
        <v>61</v>
      </c>
      <c r="H1885" s="24" t="s">
        <v>17818</v>
      </c>
      <c r="I1885" s="24" t="s">
        <v>17819</v>
      </c>
      <c r="J1885" s="24" t="s">
        <v>2056</v>
      </c>
      <c r="K1885" s="24" t="s">
        <v>2057</v>
      </c>
      <c r="L1885" s="24" t="s">
        <v>340</v>
      </c>
      <c r="M1885" s="15" t="s">
        <v>17820</v>
      </c>
      <c r="N1885" s="15"/>
      <c r="O1885" s="15" t="s">
        <v>17821</v>
      </c>
      <c r="P1885" s="15" t="s">
        <v>14561</v>
      </c>
      <c r="Q1885" s="15"/>
      <c r="R1885" s="15" t="s">
        <v>17822</v>
      </c>
      <c r="S1885" s="24" t="s">
        <v>39</v>
      </c>
      <c r="T1885" s="24" t="s">
        <v>39</v>
      </c>
      <c r="U1885" s="24" t="s">
        <v>39</v>
      </c>
      <c r="V1885" s="24" t="s">
        <v>39</v>
      </c>
      <c r="W1885" s="24" t="s">
        <v>17823</v>
      </c>
      <c r="X1885" s="24" t="s">
        <v>17824</v>
      </c>
      <c r="Y1885" s="15" t="s">
        <v>17825</v>
      </c>
      <c r="Z1885" s="15" t="s">
        <v>17826</v>
      </c>
      <c r="AA1885" s="24"/>
      <c r="AB1885" s="24"/>
      <c r="AC1885" s="24"/>
      <c r="AD1885" s="24"/>
      <c r="AE1885" s="24"/>
      <c r="AF1885" s="24"/>
      <c r="AG1885" s="24"/>
      <c r="AH1885" s="24"/>
    </row>
    <row r="1886" spans="1:34" ht="60" x14ac:dyDescent="0.25">
      <c r="A1886" s="24" t="str">
        <f>HYPERLINK("https://www.cpso.on.ca/DoctorDetails/Rajiv-Bhatla/0050890-64869","Bhatla, Rajiv")</f>
        <v>Bhatla, Rajiv</v>
      </c>
      <c r="B1886" s="25" t="s">
        <v>17827</v>
      </c>
      <c r="C1886" s="24" t="s">
        <v>17828</v>
      </c>
      <c r="D1886" s="24" t="s">
        <v>17829</v>
      </c>
      <c r="E1886" s="24" t="s">
        <v>29</v>
      </c>
      <c r="F1886" s="24" t="s">
        <v>30</v>
      </c>
      <c r="G1886" s="24" t="s">
        <v>31</v>
      </c>
      <c r="H1886" s="24" t="s">
        <v>4679</v>
      </c>
      <c r="I1886" s="24" t="s">
        <v>742</v>
      </c>
      <c r="J1886" s="24" t="s">
        <v>17830</v>
      </c>
      <c r="K1886" s="24" t="s">
        <v>17831</v>
      </c>
      <c r="L1886" s="24" t="s">
        <v>84</v>
      </c>
      <c r="M1886" s="15"/>
      <c r="N1886" s="15"/>
      <c r="O1886" s="15" t="s">
        <v>6139</v>
      </c>
      <c r="P1886" s="15" t="s">
        <v>2470</v>
      </c>
      <c r="Q1886" s="15"/>
      <c r="R1886" s="15" t="s">
        <v>17832</v>
      </c>
      <c r="S1886" s="24" t="s">
        <v>39</v>
      </c>
      <c r="T1886" s="24" t="s">
        <v>39</v>
      </c>
      <c r="U1886" s="24" t="s">
        <v>39</v>
      </c>
      <c r="V1886" s="24" t="s">
        <v>39</v>
      </c>
      <c r="W1886" s="24" t="s">
        <v>17833</v>
      </c>
      <c r="X1886" s="24" t="s">
        <v>17834</v>
      </c>
      <c r="Y1886" s="15" t="s">
        <v>17835</v>
      </c>
      <c r="Z1886" s="15" t="s">
        <v>17836</v>
      </c>
      <c r="AA1886" s="24"/>
      <c r="AB1886" s="24"/>
      <c r="AC1886" s="24"/>
      <c r="AD1886" s="24"/>
      <c r="AE1886" s="24"/>
      <c r="AF1886" s="24"/>
      <c r="AG1886" s="24"/>
      <c r="AH1886" s="24"/>
    </row>
    <row r="1887" spans="1:34" ht="45" x14ac:dyDescent="0.25">
      <c r="A1887" s="24" t="str">
        <f>HYPERLINK("https://www.cpso.on.ca/DoctorDetails/Rakesh-Jetly/0050150-64129","Jetly, Rakesh")</f>
        <v>Jetly, Rakesh</v>
      </c>
      <c r="B1887" s="25" t="s">
        <v>17837</v>
      </c>
      <c r="C1887" s="24" t="s">
        <v>17003</v>
      </c>
      <c r="D1887" s="24" t="s">
        <v>17004</v>
      </c>
      <c r="E1887" s="24" t="s">
        <v>29</v>
      </c>
      <c r="F1887" s="24" t="s">
        <v>30</v>
      </c>
      <c r="G1887" s="24" t="s">
        <v>31</v>
      </c>
      <c r="H1887" s="24" t="s">
        <v>2038</v>
      </c>
      <c r="I1887" s="24" t="s">
        <v>17838</v>
      </c>
      <c r="J1887" s="24" t="s">
        <v>17839</v>
      </c>
      <c r="K1887" s="24"/>
      <c r="L1887" s="24" t="s">
        <v>84</v>
      </c>
      <c r="M1887" s="15" t="s">
        <v>17840</v>
      </c>
      <c r="N1887" s="15"/>
      <c r="O1887" s="15" t="s">
        <v>498</v>
      </c>
      <c r="P1887" s="15" t="s">
        <v>1343</v>
      </c>
      <c r="Q1887" s="15" t="s">
        <v>17841</v>
      </c>
      <c r="R1887" s="15" t="s">
        <v>17842</v>
      </c>
      <c r="S1887" s="24" t="s">
        <v>39</v>
      </c>
      <c r="T1887" s="24" t="s">
        <v>39</v>
      </c>
      <c r="U1887" s="24" t="s">
        <v>39</v>
      </c>
      <c r="V1887" s="24" t="s">
        <v>39</v>
      </c>
      <c r="W1887" s="24" t="s">
        <v>17843</v>
      </c>
      <c r="X1887" s="24" t="s">
        <v>17844</v>
      </c>
      <c r="Y1887" s="15" t="s">
        <v>17845</v>
      </c>
      <c r="Z1887" s="15" t="s">
        <v>17846</v>
      </c>
      <c r="AA1887" s="24"/>
      <c r="AB1887" s="24"/>
      <c r="AC1887" s="24"/>
      <c r="AD1887" s="24"/>
      <c r="AE1887" s="24"/>
      <c r="AF1887" s="24"/>
      <c r="AG1887" s="24"/>
      <c r="AH1887" s="24"/>
    </row>
    <row r="1888" spans="1:34" ht="90" x14ac:dyDescent="0.25">
      <c r="A1888" s="24" t="str">
        <f>HYPERLINK("https://www.cpso.on.ca/DoctorDetails/Ralph-Brett-Lewis/0051726-65705","Lewis, Ralph Brett")</f>
        <v>Lewis, Ralph Brett</v>
      </c>
      <c r="B1888" s="25" t="s">
        <v>17847</v>
      </c>
      <c r="C1888" s="24" t="s">
        <v>13619</v>
      </c>
      <c r="D1888" s="24" t="s">
        <v>3948</v>
      </c>
      <c r="E1888" s="24" t="s">
        <v>29</v>
      </c>
      <c r="F1888" s="24" t="s">
        <v>30</v>
      </c>
      <c r="G1888" s="24" t="s">
        <v>31</v>
      </c>
      <c r="H1888" s="24" t="s">
        <v>17848</v>
      </c>
      <c r="I1888" s="24" t="s">
        <v>11936</v>
      </c>
      <c r="J1888" s="24" t="s">
        <v>3877</v>
      </c>
      <c r="K1888" s="24" t="s">
        <v>4908</v>
      </c>
      <c r="L1888" s="24" t="s">
        <v>52</v>
      </c>
      <c r="M1888" s="15"/>
      <c r="N1888" s="15"/>
      <c r="O1888" s="15" t="s">
        <v>1397</v>
      </c>
      <c r="P1888" s="15" t="s">
        <v>3954</v>
      </c>
      <c r="Q1888" s="15" t="s">
        <v>13226</v>
      </c>
      <c r="R1888" s="15" t="s">
        <v>3956</v>
      </c>
      <c r="S1888" s="24" t="s">
        <v>39</v>
      </c>
      <c r="T1888" s="24" t="s">
        <v>39</v>
      </c>
      <c r="U1888" s="24" t="s">
        <v>39</v>
      </c>
      <c r="V1888" s="24" t="s">
        <v>39</v>
      </c>
      <c r="W1888" s="24" t="s">
        <v>17849</v>
      </c>
      <c r="X1888" s="24" t="s">
        <v>17850</v>
      </c>
      <c r="Y1888" s="15" t="s">
        <v>17851</v>
      </c>
      <c r="Z1888" s="15" t="s">
        <v>17852</v>
      </c>
      <c r="AA1888" s="24"/>
      <c r="AB1888" s="24"/>
      <c r="AC1888" s="24"/>
      <c r="AD1888" s="24"/>
      <c r="AE1888" s="24"/>
      <c r="AF1888" s="24"/>
      <c r="AG1888" s="24"/>
      <c r="AH1888" s="24"/>
    </row>
    <row r="1889" spans="1:34" x14ac:dyDescent="0.25">
      <c r="A1889" s="24" t="str">
        <f>HYPERLINK("https://www.cpso.on.ca/DoctorDetails/Raluca-Maria-Tuineag/0325981-115785","Tuineag, Raluca Maria")</f>
        <v>Tuineag, Raluca Maria</v>
      </c>
      <c r="B1889" s="25" t="s">
        <v>17853</v>
      </c>
      <c r="C1889" s="24" t="s">
        <v>1548</v>
      </c>
      <c r="D1889" s="24" t="s">
        <v>200</v>
      </c>
      <c r="E1889" s="24" t="s">
        <v>29</v>
      </c>
      <c r="F1889" s="24" t="s">
        <v>47</v>
      </c>
      <c r="G1889" s="24" t="s">
        <v>31</v>
      </c>
      <c r="H1889" s="24" t="s">
        <v>17854</v>
      </c>
      <c r="I1889" s="24" t="s">
        <v>17855</v>
      </c>
      <c r="J1889" s="24"/>
      <c r="K1889" s="24"/>
      <c r="L1889" s="24" t="s">
        <v>52</v>
      </c>
      <c r="M1889" s="15"/>
      <c r="N1889" s="15"/>
      <c r="O1889" s="15"/>
      <c r="P1889" s="15" t="s">
        <v>205</v>
      </c>
      <c r="Q1889" s="15" t="s">
        <v>17856</v>
      </c>
      <c r="R1889" s="15" t="s">
        <v>1553</v>
      </c>
      <c r="S1889" s="24" t="s">
        <v>39</v>
      </c>
      <c r="T1889" s="24" t="s">
        <v>39</v>
      </c>
      <c r="U1889" s="24" t="s">
        <v>39</v>
      </c>
      <c r="V1889" s="24" t="s">
        <v>39</v>
      </c>
      <c r="W1889" s="24"/>
      <c r="X1889" s="24"/>
      <c r="Y1889" s="15"/>
      <c r="Z1889" s="15"/>
      <c r="AA1889" s="24"/>
      <c r="AB1889" s="24"/>
      <c r="AC1889" s="24"/>
      <c r="AD1889" s="24"/>
      <c r="AE1889" s="24"/>
      <c r="AF1889" s="24"/>
      <c r="AG1889" s="24"/>
      <c r="AH1889" s="24"/>
    </row>
    <row r="1890" spans="1:34" ht="30" x14ac:dyDescent="0.25">
      <c r="A1890" s="24" t="str">
        <f>HYPERLINK("https://www.cpso.on.ca/DoctorDetails/Rama-Sanyasi-Rao-Prayaga/0161462-74590","Prayaga, Rama Sanyasi Rao")</f>
        <v>Prayaga, Rama Sanyasi Rao</v>
      </c>
      <c r="B1890" s="25" t="s">
        <v>17857</v>
      </c>
      <c r="C1890" s="24" t="s">
        <v>17858</v>
      </c>
      <c r="D1890" s="24" t="s">
        <v>17859</v>
      </c>
      <c r="E1890" s="24" t="s">
        <v>29</v>
      </c>
      <c r="F1890" s="24" t="s">
        <v>30</v>
      </c>
      <c r="G1890" s="24" t="s">
        <v>17860</v>
      </c>
      <c r="H1890" s="24" t="s">
        <v>17861</v>
      </c>
      <c r="I1890" s="24" t="s">
        <v>17862</v>
      </c>
      <c r="J1890" s="24" t="s">
        <v>17863</v>
      </c>
      <c r="K1890" s="24" t="s">
        <v>17864</v>
      </c>
      <c r="L1890" s="24" t="s">
        <v>184</v>
      </c>
      <c r="M1890" s="15" t="s">
        <v>17865</v>
      </c>
      <c r="N1890" s="15"/>
      <c r="O1890" s="15" t="s">
        <v>17866</v>
      </c>
      <c r="P1890" s="15" t="s">
        <v>10990</v>
      </c>
      <c r="Q1890" s="15"/>
      <c r="R1890" s="15" t="s">
        <v>17867</v>
      </c>
      <c r="S1890" s="24" t="s">
        <v>39</v>
      </c>
      <c r="T1890" s="24" t="s">
        <v>39</v>
      </c>
      <c r="U1890" s="24" t="s">
        <v>39</v>
      </c>
      <c r="V1890" s="24" t="s">
        <v>39</v>
      </c>
      <c r="W1890" s="24" t="s">
        <v>17868</v>
      </c>
      <c r="X1890" s="24" t="s">
        <v>17869</v>
      </c>
      <c r="Y1890" s="15" t="s">
        <v>17870</v>
      </c>
      <c r="Z1890" s="15" t="s">
        <v>17871</v>
      </c>
      <c r="AA1890" s="24"/>
      <c r="AB1890" s="24"/>
      <c r="AC1890" s="24"/>
      <c r="AD1890" s="24"/>
      <c r="AE1890" s="24"/>
      <c r="AF1890" s="24"/>
      <c r="AG1890" s="24"/>
      <c r="AH1890" s="24"/>
    </row>
    <row r="1891" spans="1:34" x14ac:dyDescent="0.25">
      <c r="A1891" s="24" t="str">
        <f>HYPERLINK("https://www.cpso.on.ca/DoctorDetails/Ramakrishna-Rao-Surapaneni/0046056-60034","Surapaneni, Ramakrishna Rao")</f>
        <v>Surapaneni, Ramakrishna Rao</v>
      </c>
      <c r="B1891" s="25" t="s">
        <v>17872</v>
      </c>
      <c r="C1891" s="24" t="s">
        <v>17873</v>
      </c>
      <c r="D1891" s="24" t="s">
        <v>17874</v>
      </c>
      <c r="E1891" s="24" t="s">
        <v>29</v>
      </c>
      <c r="F1891" s="24" t="s">
        <v>30</v>
      </c>
      <c r="G1891" s="24" t="s">
        <v>12372</v>
      </c>
      <c r="H1891" s="24" t="s">
        <v>17875</v>
      </c>
      <c r="I1891" s="24" t="s">
        <v>17876</v>
      </c>
      <c r="J1891" s="24" t="s">
        <v>17877</v>
      </c>
      <c r="K1891" s="24" t="s">
        <v>17878</v>
      </c>
      <c r="L1891" s="24" t="s">
        <v>152</v>
      </c>
      <c r="M1891" s="15"/>
      <c r="N1891" s="15"/>
      <c r="O1891" s="15"/>
      <c r="P1891" s="15" t="s">
        <v>785</v>
      </c>
      <c r="Q1891" s="15"/>
      <c r="R1891" s="15" t="s">
        <v>17879</v>
      </c>
      <c r="S1891" s="24" t="s">
        <v>39</v>
      </c>
      <c r="T1891" s="24" t="s">
        <v>39</v>
      </c>
      <c r="U1891" s="24" t="s">
        <v>39</v>
      </c>
      <c r="V1891" s="24" t="s">
        <v>39</v>
      </c>
      <c r="W1891" s="24" t="s">
        <v>17880</v>
      </c>
      <c r="X1891" s="24" t="s">
        <v>17881</v>
      </c>
      <c r="Y1891" s="15" t="s">
        <v>17882</v>
      </c>
      <c r="Z1891" s="15" t="s">
        <v>17883</v>
      </c>
      <c r="AA1891" s="24"/>
      <c r="AB1891" s="24"/>
      <c r="AC1891" s="24"/>
      <c r="AD1891" s="24"/>
      <c r="AE1891" s="24"/>
      <c r="AF1891" s="24"/>
      <c r="AG1891" s="24"/>
      <c r="AH1891" s="24"/>
    </row>
    <row r="1892" spans="1:34" ht="30" x14ac:dyDescent="0.25">
      <c r="A1892" s="24" t="str">
        <f>HYPERLINK("https://www.cpso.on.ca/DoctorDetails/Ramamohan-Veluri/0053469-67435","Veluri, Ramamohan")</f>
        <v>Veluri, Ramamohan</v>
      </c>
      <c r="B1892" s="25" t="s">
        <v>17884</v>
      </c>
      <c r="C1892" s="24" t="s">
        <v>17885</v>
      </c>
      <c r="D1892" s="24" t="s">
        <v>6974</v>
      </c>
      <c r="E1892" s="24" t="s">
        <v>29</v>
      </c>
      <c r="F1892" s="24" t="s">
        <v>30</v>
      </c>
      <c r="G1892" s="24" t="s">
        <v>17886</v>
      </c>
      <c r="H1892" s="24" t="s">
        <v>17887</v>
      </c>
      <c r="I1892" s="24" t="s">
        <v>17888</v>
      </c>
      <c r="J1892" s="24" t="s">
        <v>17889</v>
      </c>
      <c r="K1892" s="24" t="s">
        <v>17890</v>
      </c>
      <c r="L1892" s="24" t="s">
        <v>328</v>
      </c>
      <c r="M1892" s="15" t="s">
        <v>17891</v>
      </c>
      <c r="N1892" s="15"/>
      <c r="O1892" s="15" t="s">
        <v>1746</v>
      </c>
      <c r="P1892" s="15" t="s">
        <v>6158</v>
      </c>
      <c r="Q1892" s="15"/>
      <c r="R1892" s="15" t="s">
        <v>17892</v>
      </c>
      <c r="S1892" s="24" t="s">
        <v>39</v>
      </c>
      <c r="T1892" s="24" t="s">
        <v>39</v>
      </c>
      <c r="U1892" s="24" t="s">
        <v>39</v>
      </c>
      <c r="V1892" s="24" t="s">
        <v>39</v>
      </c>
      <c r="W1892" s="24" t="s">
        <v>17893</v>
      </c>
      <c r="X1892" s="24" t="s">
        <v>17894</v>
      </c>
      <c r="Y1892" s="15" t="s">
        <v>17895</v>
      </c>
      <c r="Z1892" s="15" t="s">
        <v>17896</v>
      </c>
      <c r="AA1892" s="24"/>
      <c r="AB1892" s="24"/>
      <c r="AC1892" s="24"/>
      <c r="AD1892" s="24"/>
      <c r="AE1892" s="24"/>
      <c r="AF1892" s="24"/>
      <c r="AG1892" s="24"/>
      <c r="AH1892" s="24"/>
    </row>
    <row r="1893" spans="1:34" ht="75" x14ac:dyDescent="0.25">
      <c r="A1893" s="24" t="str">
        <f>HYPERLINK("https://www.cpso.on.ca/DoctorDetails/Ramandeep-Singh-Chahal/0265073-94070","Chahal, Ramandeep Singh")</f>
        <v>Chahal, Ramandeep Singh</v>
      </c>
      <c r="B1893" s="25" t="s">
        <v>17897</v>
      </c>
      <c r="C1893" s="24" t="s">
        <v>8079</v>
      </c>
      <c r="D1893" s="24" t="s">
        <v>8080</v>
      </c>
      <c r="E1893" s="24" t="s">
        <v>29</v>
      </c>
      <c r="F1893" s="24" t="s">
        <v>30</v>
      </c>
      <c r="G1893" s="24" t="s">
        <v>691</v>
      </c>
      <c r="H1893" s="24" t="s">
        <v>17898</v>
      </c>
      <c r="I1893" s="24" t="s">
        <v>17899</v>
      </c>
      <c r="J1893" s="24" t="s">
        <v>17900</v>
      </c>
      <c r="K1893" s="24" t="s">
        <v>17901</v>
      </c>
      <c r="L1893" s="24" t="s">
        <v>135</v>
      </c>
      <c r="M1893" s="15" t="s">
        <v>17902</v>
      </c>
      <c r="N1893" s="15"/>
      <c r="O1893" s="15" t="s">
        <v>11795</v>
      </c>
      <c r="P1893" s="15" t="s">
        <v>7386</v>
      </c>
      <c r="Q1893" s="15"/>
      <c r="R1893" s="15" t="s">
        <v>17903</v>
      </c>
      <c r="S1893" s="24" t="s">
        <v>39</v>
      </c>
      <c r="T1893" s="24" t="s">
        <v>39</v>
      </c>
      <c r="U1893" s="24" t="s">
        <v>39</v>
      </c>
      <c r="V1893" s="24" t="s">
        <v>39</v>
      </c>
      <c r="W1893" s="24" t="s">
        <v>17904</v>
      </c>
      <c r="X1893" s="24" t="s">
        <v>17905</v>
      </c>
      <c r="Y1893" s="15" t="s">
        <v>17906</v>
      </c>
      <c r="Z1893" s="15" t="s">
        <v>17907</v>
      </c>
      <c r="AA1893" s="24"/>
      <c r="AB1893" s="24"/>
      <c r="AC1893" s="24"/>
      <c r="AD1893" s="24"/>
      <c r="AE1893" s="24"/>
      <c r="AF1893" s="24"/>
      <c r="AG1893" s="24"/>
      <c r="AH1893" s="24"/>
    </row>
    <row r="1894" spans="1:34" ht="75" x14ac:dyDescent="0.25">
      <c r="A1894" s="24" t="str">
        <f>HYPERLINK("https://www.cpso.on.ca/DoctorDetails/Rami-Habib/0052592-66556","Habib, Rami")</f>
        <v>Habib, Rami</v>
      </c>
      <c r="B1894" s="25" t="s">
        <v>17908</v>
      </c>
      <c r="C1894" s="24" t="s">
        <v>17909</v>
      </c>
      <c r="D1894" s="24" t="s">
        <v>17910</v>
      </c>
      <c r="E1894" s="24" t="s">
        <v>29</v>
      </c>
      <c r="F1894" s="24" t="s">
        <v>30</v>
      </c>
      <c r="G1894" s="24" t="s">
        <v>31</v>
      </c>
      <c r="H1894" s="24" t="s">
        <v>4768</v>
      </c>
      <c r="I1894" s="24" t="s">
        <v>17911</v>
      </c>
      <c r="J1894" s="24" t="s">
        <v>17912</v>
      </c>
      <c r="K1894" s="24" t="s">
        <v>17913</v>
      </c>
      <c r="L1894" s="24" t="s">
        <v>340</v>
      </c>
      <c r="M1894" s="15" t="s">
        <v>17914</v>
      </c>
      <c r="N1894" s="15"/>
      <c r="O1894" s="15"/>
      <c r="P1894" s="15" t="s">
        <v>6403</v>
      </c>
      <c r="Q1894" s="15" t="s">
        <v>4221</v>
      </c>
      <c r="R1894" s="15" t="s">
        <v>17915</v>
      </c>
      <c r="S1894" s="24" t="s">
        <v>39</v>
      </c>
      <c r="T1894" s="24" t="s">
        <v>39</v>
      </c>
      <c r="U1894" s="24" t="s">
        <v>39</v>
      </c>
      <c r="V1894" s="24" t="s">
        <v>39</v>
      </c>
      <c r="W1894" s="24" t="s">
        <v>17916</v>
      </c>
      <c r="X1894" s="24" t="s">
        <v>17917</v>
      </c>
      <c r="Y1894" s="15" t="s">
        <v>17918</v>
      </c>
      <c r="Z1894" s="15" t="s">
        <v>17919</v>
      </c>
      <c r="AA1894" s="24"/>
      <c r="AB1894" s="24"/>
      <c r="AC1894" s="24"/>
      <c r="AD1894" s="24"/>
      <c r="AE1894" s="24"/>
      <c r="AF1894" s="24"/>
      <c r="AG1894" s="24"/>
      <c r="AH1894" s="24"/>
    </row>
    <row r="1895" spans="1:34" ht="45" x14ac:dyDescent="0.25">
      <c r="A1895" s="24" t="str">
        <f>HYPERLINK("https://www.cpso.on.ca/DoctorDetails/Raminder-Kaur-Bhangu/0049197-63175","Bhangu, Raminder Kaur")</f>
        <v>Bhangu, Raminder Kaur</v>
      </c>
      <c r="B1895" s="25" t="s">
        <v>17920</v>
      </c>
      <c r="C1895" s="24" t="s">
        <v>17921</v>
      </c>
      <c r="D1895" s="24" t="s">
        <v>17922</v>
      </c>
      <c r="E1895" s="24" t="s">
        <v>17923</v>
      </c>
      <c r="F1895" s="24" t="s">
        <v>47</v>
      </c>
      <c r="G1895" s="24" t="s">
        <v>61</v>
      </c>
      <c r="H1895" s="24" t="s">
        <v>17924</v>
      </c>
      <c r="I1895" s="24" t="s">
        <v>17925</v>
      </c>
      <c r="J1895" s="24" t="s">
        <v>17926</v>
      </c>
      <c r="K1895" s="24" t="s">
        <v>17927</v>
      </c>
      <c r="L1895" s="24"/>
      <c r="M1895" s="15" t="s">
        <v>17928</v>
      </c>
      <c r="N1895" s="15" t="s">
        <v>17929</v>
      </c>
      <c r="O1895" s="15" t="s">
        <v>380</v>
      </c>
      <c r="P1895" s="15" t="s">
        <v>1251</v>
      </c>
      <c r="Q1895" s="15" t="s">
        <v>17930</v>
      </c>
      <c r="R1895" s="15" t="s">
        <v>17931</v>
      </c>
      <c r="S1895" s="24" t="s">
        <v>39</v>
      </c>
      <c r="T1895" s="24" t="s">
        <v>39</v>
      </c>
      <c r="U1895" s="24" t="s">
        <v>39</v>
      </c>
      <c r="V1895" s="24" t="s">
        <v>39</v>
      </c>
      <c r="W1895" s="24"/>
      <c r="X1895" s="24"/>
      <c r="Y1895" s="15"/>
      <c r="Z1895" s="15"/>
      <c r="AA1895" s="24"/>
      <c r="AB1895" s="24"/>
      <c r="AC1895" s="24"/>
      <c r="AD1895" s="24"/>
      <c r="AE1895" s="24"/>
      <c r="AF1895" s="24"/>
      <c r="AG1895" s="24"/>
      <c r="AH1895" s="24"/>
    </row>
    <row r="1896" spans="1:34" ht="75" x14ac:dyDescent="0.25">
      <c r="A1896" s="24" t="str">
        <f>HYPERLINK("https://www.cpso.on.ca/DoctorDetails/Ramprasad-Bismil/0232361-84945","Bismil, Ramprasad")</f>
        <v>Bismil, Ramprasad</v>
      </c>
      <c r="B1896" s="25" t="s">
        <v>17932</v>
      </c>
      <c r="C1896" s="24" t="s">
        <v>647</v>
      </c>
      <c r="D1896" s="24" t="s">
        <v>2343</v>
      </c>
      <c r="E1896" s="24" t="s">
        <v>29</v>
      </c>
      <c r="F1896" s="24" t="s">
        <v>30</v>
      </c>
      <c r="G1896" s="24" t="s">
        <v>3230</v>
      </c>
      <c r="H1896" s="24" t="s">
        <v>17933</v>
      </c>
      <c r="I1896" s="24" t="s">
        <v>17934</v>
      </c>
      <c r="J1896" s="24" t="s">
        <v>17935</v>
      </c>
      <c r="K1896" s="24" t="s">
        <v>17936</v>
      </c>
      <c r="L1896" s="24" t="s">
        <v>3849</v>
      </c>
      <c r="M1896" s="15" t="s">
        <v>17937</v>
      </c>
      <c r="N1896" s="15"/>
      <c r="O1896" s="15" t="s">
        <v>17938</v>
      </c>
      <c r="P1896" s="15" t="s">
        <v>2348</v>
      </c>
      <c r="Q1896" s="15" t="s">
        <v>17939</v>
      </c>
      <c r="R1896" s="15" t="s">
        <v>17940</v>
      </c>
      <c r="S1896" s="24" t="s">
        <v>39</v>
      </c>
      <c r="T1896" s="24" t="s">
        <v>39</v>
      </c>
      <c r="U1896" s="24" t="s">
        <v>39</v>
      </c>
      <c r="V1896" s="24" t="s">
        <v>39</v>
      </c>
      <c r="W1896" s="24" t="s">
        <v>17941</v>
      </c>
      <c r="X1896" s="24" t="s">
        <v>17942</v>
      </c>
      <c r="Y1896" s="15" t="s">
        <v>17943</v>
      </c>
      <c r="Z1896" s="15" t="s">
        <v>17944</v>
      </c>
      <c r="AA1896" s="24"/>
      <c r="AB1896" s="24"/>
      <c r="AC1896" s="24"/>
      <c r="AD1896" s="24"/>
      <c r="AE1896" s="24"/>
      <c r="AF1896" s="24"/>
      <c r="AG1896" s="24"/>
      <c r="AH1896" s="24"/>
    </row>
    <row r="1897" spans="1:34" ht="30" x14ac:dyDescent="0.25">
      <c r="A1897" s="24" t="str">
        <f>HYPERLINK("https://www.cpso.on.ca/DoctorDetails/Randall-Jeffrey-Denton-Jackson/0021934-26723","Jackson, Randall Jeffrey Denton")</f>
        <v>Jackson, Randall Jeffrey Denton</v>
      </c>
      <c r="B1897" s="25" t="s">
        <v>17945</v>
      </c>
      <c r="C1897" s="24" t="s">
        <v>17946</v>
      </c>
      <c r="D1897" s="24" t="s">
        <v>17947</v>
      </c>
      <c r="E1897" s="24" t="s">
        <v>29</v>
      </c>
      <c r="F1897" s="24" t="s">
        <v>30</v>
      </c>
      <c r="G1897" s="24" t="s">
        <v>31</v>
      </c>
      <c r="H1897" s="24" t="s">
        <v>17948</v>
      </c>
      <c r="I1897" s="24" t="s">
        <v>17949</v>
      </c>
      <c r="J1897" s="24" t="s">
        <v>3166</v>
      </c>
      <c r="K1897" s="24" t="s">
        <v>3167</v>
      </c>
      <c r="L1897" s="24" t="s">
        <v>84</v>
      </c>
      <c r="M1897" s="15"/>
      <c r="N1897" s="15"/>
      <c r="O1897" s="15" t="s">
        <v>2972</v>
      </c>
      <c r="P1897" s="15" t="s">
        <v>2864</v>
      </c>
      <c r="Q1897" s="15"/>
      <c r="R1897" s="15" t="s">
        <v>17950</v>
      </c>
      <c r="S1897" s="24" t="s">
        <v>39</v>
      </c>
      <c r="T1897" s="24" t="s">
        <v>39</v>
      </c>
      <c r="U1897" s="24" t="s">
        <v>39</v>
      </c>
      <c r="V1897" s="24" t="s">
        <v>39</v>
      </c>
      <c r="W1897" s="24"/>
      <c r="X1897" s="24"/>
      <c r="Y1897" s="15"/>
      <c r="Z1897" s="15"/>
      <c r="AA1897" s="24"/>
      <c r="AB1897" s="24"/>
      <c r="AC1897" s="24"/>
      <c r="AD1897" s="24"/>
      <c r="AE1897" s="24"/>
      <c r="AF1897" s="24"/>
      <c r="AG1897" s="24"/>
      <c r="AH1897" s="24"/>
    </row>
    <row r="1898" spans="1:34" x14ac:dyDescent="0.25">
      <c r="A1898" s="24" t="str">
        <f>HYPERLINK("https://www.cpso.on.ca/DoctorDetails/Randall-Stanley-Zbuk/0282755-99046","Zbuk, Randall Stanley")</f>
        <v>Zbuk, Randall Stanley</v>
      </c>
      <c r="B1898" s="25" t="s">
        <v>17951</v>
      </c>
      <c r="C1898" s="24" t="s">
        <v>17952</v>
      </c>
      <c r="D1898" s="24" t="s">
        <v>17953</v>
      </c>
      <c r="E1898" s="24" t="s">
        <v>29</v>
      </c>
      <c r="F1898" s="24" t="s">
        <v>30</v>
      </c>
      <c r="G1898" s="24" t="s">
        <v>31</v>
      </c>
      <c r="H1898" s="24" t="s">
        <v>17954</v>
      </c>
      <c r="I1898" s="24" t="s">
        <v>17955</v>
      </c>
      <c r="J1898" s="24" t="s">
        <v>17956</v>
      </c>
      <c r="K1898" s="24" t="s">
        <v>17957</v>
      </c>
      <c r="L1898" s="24"/>
      <c r="M1898" s="15"/>
      <c r="N1898" s="15" t="s">
        <v>258</v>
      </c>
      <c r="O1898" s="15"/>
      <c r="P1898" s="15" t="s">
        <v>654</v>
      </c>
      <c r="Q1898" s="15"/>
      <c r="R1898" s="15" t="s">
        <v>17958</v>
      </c>
      <c r="S1898" s="24" t="s">
        <v>39</v>
      </c>
      <c r="T1898" s="24" t="s">
        <v>39</v>
      </c>
      <c r="U1898" s="24" t="s">
        <v>39</v>
      </c>
      <c r="V1898" s="24" t="s">
        <v>39</v>
      </c>
      <c r="W1898" s="24"/>
      <c r="X1898" s="24"/>
      <c r="Y1898" s="15"/>
      <c r="Z1898" s="15"/>
      <c r="AA1898" s="24"/>
      <c r="AB1898" s="24"/>
      <c r="AC1898" s="24"/>
      <c r="AD1898" s="24"/>
      <c r="AE1898" s="24"/>
      <c r="AF1898" s="24"/>
      <c r="AG1898" s="24"/>
      <c r="AH1898" s="24"/>
    </row>
    <row r="1899" spans="1:34" ht="75" x14ac:dyDescent="0.25">
      <c r="A1899" s="24" t="str">
        <f>HYPERLINK("https://www.cpso.on.ca/DoctorDetails/Randolf-Albert-Staab/0056686-68274","Staab, Randolf Albert")</f>
        <v>Staab, Randolf Albert</v>
      </c>
      <c r="B1899" s="25" t="s">
        <v>17959</v>
      </c>
      <c r="C1899" s="24" t="s">
        <v>17960</v>
      </c>
      <c r="D1899" s="24" t="s">
        <v>17961</v>
      </c>
      <c r="E1899" s="24" t="s">
        <v>29</v>
      </c>
      <c r="F1899" s="24" t="s">
        <v>30</v>
      </c>
      <c r="G1899" s="24" t="s">
        <v>6608</v>
      </c>
      <c r="H1899" s="24" t="s">
        <v>7463</v>
      </c>
      <c r="I1899" s="24" t="s">
        <v>17962</v>
      </c>
      <c r="J1899" s="24" t="s">
        <v>5104</v>
      </c>
      <c r="K1899" s="24" t="s">
        <v>5105</v>
      </c>
      <c r="L1899" s="24" t="s">
        <v>36</v>
      </c>
      <c r="M1899" s="15"/>
      <c r="N1899" s="15"/>
      <c r="O1899" s="15" t="s">
        <v>972</v>
      </c>
      <c r="P1899" s="15" t="s">
        <v>343</v>
      </c>
      <c r="Q1899" s="15" t="s">
        <v>1678</v>
      </c>
      <c r="R1899" s="15" t="s">
        <v>17963</v>
      </c>
      <c r="S1899" s="24" t="s">
        <v>39</v>
      </c>
      <c r="T1899" s="24" t="s">
        <v>39</v>
      </c>
      <c r="U1899" s="24" t="s">
        <v>39</v>
      </c>
      <c r="V1899" s="24" t="s">
        <v>39</v>
      </c>
      <c r="W1899" s="24" t="s">
        <v>17964</v>
      </c>
      <c r="X1899" s="24" t="s">
        <v>17965</v>
      </c>
      <c r="Y1899" s="15" t="s">
        <v>17966</v>
      </c>
      <c r="Z1899" s="15" t="s">
        <v>17967</v>
      </c>
      <c r="AA1899" s="24"/>
      <c r="AB1899" s="24"/>
      <c r="AC1899" s="24"/>
      <c r="AD1899" s="24"/>
      <c r="AE1899" s="24"/>
      <c r="AF1899" s="24"/>
      <c r="AG1899" s="24"/>
      <c r="AH1899" s="24"/>
    </row>
    <row r="1900" spans="1:34" ht="30" x14ac:dyDescent="0.25">
      <c r="A1900" s="24" t="str">
        <f>HYPERLINK("https://www.cpso.on.ca/DoctorDetails/Randy-Arthur-Gangbar/0036643-50619","Gangbar, Randy Arthur")</f>
        <v>Gangbar, Randy Arthur</v>
      </c>
      <c r="B1900" s="25" t="s">
        <v>17968</v>
      </c>
      <c r="C1900" s="24" t="s">
        <v>17969</v>
      </c>
      <c r="D1900" s="24" t="s">
        <v>17970</v>
      </c>
      <c r="E1900" s="24" t="s">
        <v>29</v>
      </c>
      <c r="F1900" s="24" t="s">
        <v>30</v>
      </c>
      <c r="G1900" s="24" t="s">
        <v>31</v>
      </c>
      <c r="H1900" s="24" t="s">
        <v>3478</v>
      </c>
      <c r="I1900" s="24" t="s">
        <v>17971</v>
      </c>
      <c r="J1900" s="24" t="s">
        <v>17972</v>
      </c>
      <c r="K1900" s="24"/>
      <c r="L1900" s="24" t="s">
        <v>52</v>
      </c>
      <c r="M1900" s="15"/>
      <c r="N1900" s="15"/>
      <c r="O1900" s="15" t="s">
        <v>842</v>
      </c>
      <c r="P1900" s="15" t="s">
        <v>3636</v>
      </c>
      <c r="Q1900" s="15"/>
      <c r="R1900" s="15" t="s">
        <v>17973</v>
      </c>
      <c r="S1900" s="24" t="s">
        <v>39</v>
      </c>
      <c r="T1900" s="24" t="s">
        <v>39</v>
      </c>
      <c r="U1900" s="24" t="s">
        <v>39</v>
      </c>
      <c r="V1900" s="24" t="s">
        <v>39</v>
      </c>
      <c r="W1900" s="24" t="s">
        <v>17974</v>
      </c>
      <c r="X1900" s="24" t="s">
        <v>17975</v>
      </c>
      <c r="Y1900" s="15" t="s">
        <v>17976</v>
      </c>
      <c r="Z1900" s="15" t="s">
        <v>17977</v>
      </c>
      <c r="AA1900" s="24"/>
      <c r="AB1900" s="24"/>
      <c r="AC1900" s="24"/>
      <c r="AD1900" s="24"/>
      <c r="AE1900" s="24"/>
      <c r="AF1900" s="24"/>
      <c r="AG1900" s="24"/>
      <c r="AH1900" s="24"/>
    </row>
    <row r="1901" spans="1:34" x14ac:dyDescent="0.25">
      <c r="A1901" s="24" t="str">
        <f>HYPERLINK("https://www.cpso.on.ca/DoctorDetails/Ranjana-Nagpurkar/0042639-56617","Nagpurkar, Ranjana")</f>
        <v>Nagpurkar, Ranjana</v>
      </c>
      <c r="B1901" s="25" t="s">
        <v>17978</v>
      </c>
      <c r="C1901" s="24" t="s">
        <v>17979</v>
      </c>
      <c r="D1901" s="24" t="s">
        <v>17980</v>
      </c>
      <c r="E1901" s="24" t="s">
        <v>29</v>
      </c>
      <c r="F1901" s="24" t="s">
        <v>47</v>
      </c>
      <c r="G1901" s="24" t="s">
        <v>131</v>
      </c>
      <c r="H1901" s="24" t="s">
        <v>17981</v>
      </c>
      <c r="I1901" s="24" t="s">
        <v>17982</v>
      </c>
      <c r="J1901" s="24" t="s">
        <v>17983</v>
      </c>
      <c r="K1901" s="24"/>
      <c r="L1901" s="24" t="s">
        <v>36</v>
      </c>
      <c r="M1901" s="15"/>
      <c r="N1901" s="15"/>
      <c r="O1901" s="15"/>
      <c r="P1901" s="15" t="s">
        <v>745</v>
      </c>
      <c r="Q1901" s="15"/>
      <c r="R1901" s="15" t="s">
        <v>17984</v>
      </c>
      <c r="S1901" s="24" t="s">
        <v>39</v>
      </c>
      <c r="T1901" s="24" t="s">
        <v>39</v>
      </c>
      <c r="U1901" s="24" t="s">
        <v>39</v>
      </c>
      <c r="V1901" s="24" t="s">
        <v>39</v>
      </c>
      <c r="W1901" s="24" t="s">
        <v>17985</v>
      </c>
      <c r="X1901" s="24" t="s">
        <v>3086</v>
      </c>
      <c r="Y1901" s="15" t="s">
        <v>17986</v>
      </c>
      <c r="Z1901" s="15" t="s">
        <v>17987</v>
      </c>
      <c r="AA1901" s="24"/>
      <c r="AB1901" s="24"/>
      <c r="AC1901" s="24"/>
      <c r="AD1901" s="24"/>
      <c r="AE1901" s="24"/>
      <c r="AF1901" s="24"/>
      <c r="AG1901" s="24"/>
      <c r="AH1901" s="24"/>
    </row>
    <row r="1902" spans="1:34" ht="75" x14ac:dyDescent="0.25">
      <c r="A1902" s="24" t="str">
        <f>HYPERLINK("https://www.cpso.on.ca/DoctorDetails/Ranjith-Dayananda-Chandrasena/0030454-42434","Chandrasena, Ranjith Dayananda")</f>
        <v>Chandrasena, Ranjith Dayananda</v>
      </c>
      <c r="B1902" s="25" t="s">
        <v>17988</v>
      </c>
      <c r="C1902" s="24" t="s">
        <v>17989</v>
      </c>
      <c r="D1902" s="24" t="s">
        <v>17990</v>
      </c>
      <c r="E1902" s="24" t="s">
        <v>29</v>
      </c>
      <c r="F1902" s="24" t="s">
        <v>30</v>
      </c>
      <c r="G1902" s="24" t="s">
        <v>5884</v>
      </c>
      <c r="H1902" s="24" t="s">
        <v>17991</v>
      </c>
      <c r="I1902" s="24" t="s">
        <v>17992</v>
      </c>
      <c r="J1902" s="24" t="s">
        <v>17993</v>
      </c>
      <c r="K1902" s="24" t="s">
        <v>17994</v>
      </c>
      <c r="L1902" s="24" t="s">
        <v>65</v>
      </c>
      <c r="M1902" s="15" t="s">
        <v>17995</v>
      </c>
      <c r="N1902" s="15"/>
      <c r="O1902" s="15" t="s">
        <v>17996</v>
      </c>
      <c r="P1902" s="15" t="s">
        <v>7499</v>
      </c>
      <c r="Q1902" s="15"/>
      <c r="R1902" s="15" t="s">
        <v>17997</v>
      </c>
      <c r="S1902" s="24" t="s">
        <v>39</v>
      </c>
      <c r="T1902" s="24" t="s">
        <v>39</v>
      </c>
      <c r="U1902" s="24" t="s">
        <v>39</v>
      </c>
      <c r="V1902" s="24" t="s">
        <v>39</v>
      </c>
      <c r="W1902" s="24" t="s">
        <v>17998</v>
      </c>
      <c r="X1902" s="24" t="s">
        <v>17999</v>
      </c>
      <c r="Y1902" s="15" t="s">
        <v>18000</v>
      </c>
      <c r="Z1902" s="15" t="s">
        <v>18001</v>
      </c>
      <c r="AA1902" s="24"/>
      <c r="AB1902" s="24"/>
      <c r="AC1902" s="24"/>
      <c r="AD1902" s="24"/>
      <c r="AE1902" s="24"/>
      <c r="AF1902" s="24"/>
      <c r="AG1902" s="24"/>
      <c r="AH1902" s="24"/>
    </row>
    <row r="1903" spans="1:34" ht="75" x14ac:dyDescent="0.25">
      <c r="A1903" s="24" t="str">
        <f>HYPERLINK("https://www.cpso.on.ca/DoctorDetails/Raouf-Albert-Youssef-Massabki/0052807-66771","Massabki, Raouf Albert Youssef")</f>
        <v>Massabki, Raouf Albert Youssef</v>
      </c>
      <c r="B1903" s="25" t="s">
        <v>18002</v>
      </c>
      <c r="C1903" s="24" t="s">
        <v>836</v>
      </c>
      <c r="D1903" s="24" t="s">
        <v>18003</v>
      </c>
      <c r="E1903" s="24" t="s">
        <v>29</v>
      </c>
      <c r="F1903" s="24" t="s">
        <v>30</v>
      </c>
      <c r="G1903" s="24" t="s">
        <v>6442</v>
      </c>
      <c r="H1903" s="24" t="s">
        <v>18004</v>
      </c>
      <c r="I1903" s="24" t="s">
        <v>4081</v>
      </c>
      <c r="J1903" s="24" t="s">
        <v>12702</v>
      </c>
      <c r="K1903" s="24" t="s">
        <v>18005</v>
      </c>
      <c r="L1903" s="24" t="s">
        <v>36</v>
      </c>
      <c r="M1903" s="15"/>
      <c r="N1903" s="15"/>
      <c r="O1903" s="15" t="s">
        <v>1691</v>
      </c>
      <c r="P1903" s="15" t="s">
        <v>5965</v>
      </c>
      <c r="Q1903" s="15" t="s">
        <v>18006</v>
      </c>
      <c r="R1903" s="15" t="s">
        <v>18007</v>
      </c>
      <c r="S1903" s="24" t="s">
        <v>39</v>
      </c>
      <c r="T1903" s="24" t="s">
        <v>39</v>
      </c>
      <c r="U1903" s="24" t="s">
        <v>39</v>
      </c>
      <c r="V1903" s="24" t="s">
        <v>39</v>
      </c>
      <c r="W1903" s="24" t="s">
        <v>18008</v>
      </c>
      <c r="X1903" s="24" t="s">
        <v>18009</v>
      </c>
      <c r="Y1903" s="15"/>
      <c r="Z1903" s="15"/>
      <c r="AA1903" s="24" t="s">
        <v>18010</v>
      </c>
      <c r="AB1903" s="24" t="s">
        <v>5633</v>
      </c>
      <c r="AC1903" s="24" t="s">
        <v>18011</v>
      </c>
      <c r="AD1903" s="24" t="s">
        <v>18012</v>
      </c>
      <c r="AE1903" s="24"/>
      <c r="AF1903" s="24"/>
      <c r="AG1903" s="24"/>
      <c r="AH1903" s="24"/>
    </row>
    <row r="1904" spans="1:34" ht="120" x14ac:dyDescent="0.25">
      <c r="A1904" s="24" t="str">
        <f>HYPERLINK("https://www.cpso.on.ca/DoctorDetails/Raouf-Khalil-Abdallah-Edward/0049175-63153","Edward, Raouf Khalil Abdallah")</f>
        <v>Edward, Raouf Khalil Abdallah</v>
      </c>
      <c r="B1904" s="25" t="s">
        <v>18013</v>
      </c>
      <c r="C1904" s="24" t="s">
        <v>13367</v>
      </c>
      <c r="D1904" s="24" t="s">
        <v>13368</v>
      </c>
      <c r="E1904" s="24" t="s">
        <v>18014</v>
      </c>
      <c r="F1904" s="24" t="s">
        <v>30</v>
      </c>
      <c r="G1904" s="24" t="s">
        <v>105</v>
      </c>
      <c r="H1904" s="24" t="s">
        <v>18015</v>
      </c>
      <c r="I1904" s="24" t="s">
        <v>18016</v>
      </c>
      <c r="J1904" s="24" t="s">
        <v>18017</v>
      </c>
      <c r="K1904" s="24" t="s">
        <v>18018</v>
      </c>
      <c r="L1904" s="24" t="s">
        <v>52</v>
      </c>
      <c r="M1904" s="15"/>
      <c r="N1904" s="15"/>
      <c r="O1904" s="15"/>
      <c r="P1904" s="15" t="s">
        <v>18019</v>
      </c>
      <c r="Q1904" s="15" t="s">
        <v>18020</v>
      </c>
      <c r="R1904" s="15" t="s">
        <v>18021</v>
      </c>
      <c r="S1904" s="24" t="s">
        <v>39</v>
      </c>
      <c r="T1904" s="24" t="s">
        <v>39</v>
      </c>
      <c r="U1904" s="24" t="s">
        <v>39</v>
      </c>
      <c r="V1904" s="24" t="s">
        <v>39</v>
      </c>
      <c r="W1904" s="24" t="s">
        <v>18022</v>
      </c>
      <c r="X1904" s="24" t="s">
        <v>18023</v>
      </c>
      <c r="Y1904" s="15" t="s">
        <v>18024</v>
      </c>
      <c r="Z1904" s="15" t="s">
        <v>18025</v>
      </c>
      <c r="AA1904" s="24"/>
      <c r="AB1904" s="24"/>
      <c r="AC1904" s="24"/>
      <c r="AD1904" s="24"/>
      <c r="AE1904" s="24"/>
      <c r="AF1904" s="24"/>
      <c r="AG1904" s="24"/>
      <c r="AH1904" s="24"/>
    </row>
    <row r="1905" spans="1:34" x14ac:dyDescent="0.25">
      <c r="A1905" s="24" t="str">
        <f>HYPERLINK("https://www.cpso.on.ca/DoctorDetails/Rasiah-Paramsothy/0047737-61715","Paramsothy, Rasiah")</f>
        <v>Paramsothy, Rasiah</v>
      </c>
      <c r="B1905" s="25" t="s">
        <v>18026</v>
      </c>
      <c r="C1905" s="24" t="s">
        <v>18027</v>
      </c>
      <c r="D1905" s="24" t="s">
        <v>18028</v>
      </c>
      <c r="E1905" s="24" t="s">
        <v>29</v>
      </c>
      <c r="F1905" s="24" t="s">
        <v>30</v>
      </c>
      <c r="G1905" s="24" t="s">
        <v>2255</v>
      </c>
      <c r="H1905" s="24" t="s">
        <v>614</v>
      </c>
      <c r="I1905" s="24" t="s">
        <v>18029</v>
      </c>
      <c r="J1905" s="24" t="s">
        <v>18030</v>
      </c>
      <c r="K1905" s="24" t="s">
        <v>18031</v>
      </c>
      <c r="L1905" s="24" t="s">
        <v>36</v>
      </c>
      <c r="M1905" s="15"/>
      <c r="N1905" s="15"/>
      <c r="O1905" s="15"/>
      <c r="P1905" s="15" t="s">
        <v>259</v>
      </c>
      <c r="Q1905" s="15"/>
      <c r="R1905" s="15" t="s">
        <v>18032</v>
      </c>
      <c r="S1905" s="24" t="s">
        <v>39</v>
      </c>
      <c r="T1905" s="24" t="s">
        <v>39</v>
      </c>
      <c r="U1905" s="24" t="s">
        <v>39</v>
      </c>
      <c r="V1905" s="24" t="s">
        <v>39</v>
      </c>
      <c r="W1905" s="24" t="s">
        <v>18033</v>
      </c>
      <c r="X1905" s="24" t="s">
        <v>1880</v>
      </c>
      <c r="Y1905" s="15" t="s">
        <v>18034</v>
      </c>
      <c r="Z1905" s="15" t="s">
        <v>18035</v>
      </c>
      <c r="AA1905" s="24"/>
      <c r="AB1905" s="24"/>
      <c r="AC1905" s="24"/>
      <c r="AD1905" s="24"/>
      <c r="AE1905" s="24"/>
      <c r="AF1905" s="24"/>
      <c r="AG1905" s="24"/>
      <c r="AH1905" s="24"/>
    </row>
    <row r="1906" spans="1:34" ht="45" x14ac:dyDescent="0.25">
      <c r="A1906" s="24" t="str">
        <f>HYPERLINK("https://www.cpso.on.ca/DoctorDetails/Raul-Berdichevsky/0025468-30291","Berdichevsky, Raul")</f>
        <v>Berdichevsky, Raul</v>
      </c>
      <c r="B1906" s="25" t="s">
        <v>18036</v>
      </c>
      <c r="C1906" s="24" t="s">
        <v>18037</v>
      </c>
      <c r="D1906" s="24" t="s">
        <v>18038</v>
      </c>
      <c r="E1906" s="24" t="s">
        <v>29</v>
      </c>
      <c r="F1906" s="24" t="s">
        <v>30</v>
      </c>
      <c r="G1906" s="24" t="s">
        <v>115</v>
      </c>
      <c r="H1906" s="24" t="s">
        <v>18039</v>
      </c>
      <c r="I1906" s="24" t="s">
        <v>18040</v>
      </c>
      <c r="J1906" s="24" t="s">
        <v>18041</v>
      </c>
      <c r="K1906" s="24"/>
      <c r="L1906" s="24" t="s">
        <v>52</v>
      </c>
      <c r="M1906" s="15"/>
      <c r="N1906" s="15"/>
      <c r="O1906" s="15" t="s">
        <v>2731</v>
      </c>
      <c r="P1906" s="15" t="s">
        <v>4862</v>
      </c>
      <c r="Q1906" s="15"/>
      <c r="R1906" s="15" t="s">
        <v>18042</v>
      </c>
      <c r="S1906" s="24" t="s">
        <v>39</v>
      </c>
      <c r="T1906" s="24" t="s">
        <v>39</v>
      </c>
      <c r="U1906" s="24" t="s">
        <v>39</v>
      </c>
      <c r="V1906" s="24" t="s">
        <v>39</v>
      </c>
      <c r="W1906" s="24"/>
      <c r="X1906" s="24"/>
      <c r="Y1906" s="15"/>
      <c r="Z1906" s="15"/>
      <c r="AA1906" s="24"/>
      <c r="AB1906" s="24"/>
      <c r="AC1906" s="24"/>
      <c r="AD1906" s="24"/>
      <c r="AE1906" s="24"/>
      <c r="AF1906" s="24"/>
      <c r="AG1906" s="24"/>
      <c r="AH1906" s="24"/>
    </row>
    <row r="1907" spans="1:34" ht="30" x14ac:dyDescent="0.25">
      <c r="A1907" s="24" t="str">
        <f>HYPERLINK("https://www.cpso.on.ca/DoctorDetails/Raveendra-Bhaskar-Pendharkar/0027943-32766","Pendharkar, Raveendra Bhaskar")</f>
        <v>Pendharkar, Raveendra Bhaskar</v>
      </c>
      <c r="B1907" s="25" t="s">
        <v>18043</v>
      </c>
      <c r="C1907" s="24" t="s">
        <v>7958</v>
      </c>
      <c r="D1907" s="24" t="s">
        <v>18044</v>
      </c>
      <c r="E1907" s="24" t="s">
        <v>29</v>
      </c>
      <c r="F1907" s="24" t="s">
        <v>30</v>
      </c>
      <c r="G1907" s="24" t="s">
        <v>31</v>
      </c>
      <c r="H1907" s="24" t="s">
        <v>18045</v>
      </c>
      <c r="I1907" s="24" t="s">
        <v>18046</v>
      </c>
      <c r="J1907" s="24" t="s">
        <v>13743</v>
      </c>
      <c r="K1907" s="24"/>
      <c r="L1907" s="24" t="s">
        <v>36</v>
      </c>
      <c r="M1907" s="15"/>
      <c r="N1907" s="15"/>
      <c r="O1907" s="15" t="s">
        <v>653</v>
      </c>
      <c r="P1907" s="15" t="s">
        <v>4853</v>
      </c>
      <c r="Q1907" s="15"/>
      <c r="R1907" s="15" t="s">
        <v>18047</v>
      </c>
      <c r="S1907" s="24" t="s">
        <v>39</v>
      </c>
      <c r="T1907" s="24" t="s">
        <v>39</v>
      </c>
      <c r="U1907" s="24" t="s">
        <v>39</v>
      </c>
      <c r="V1907" s="24" t="s">
        <v>39</v>
      </c>
      <c r="W1907" s="24" t="s">
        <v>18048</v>
      </c>
      <c r="X1907" s="24" t="s">
        <v>18049</v>
      </c>
      <c r="Y1907" s="15" t="s">
        <v>18050</v>
      </c>
      <c r="Z1907" s="15" t="s">
        <v>18051</v>
      </c>
      <c r="AA1907" s="24"/>
      <c r="AB1907" s="24"/>
      <c r="AC1907" s="24"/>
      <c r="AD1907" s="24"/>
      <c r="AE1907" s="24"/>
      <c r="AF1907" s="24"/>
      <c r="AG1907" s="24"/>
      <c r="AH1907" s="24"/>
    </row>
    <row r="1908" spans="1:34" ht="210" x14ac:dyDescent="0.25">
      <c r="A1908" s="24" t="str">
        <f>HYPERLINK("https://www.cpso.on.ca/DoctorDetails/Ravi-Kakar/0042411-56389","Kakar, Ravi")</f>
        <v>Kakar, Ravi</v>
      </c>
      <c r="B1908" s="25" t="s">
        <v>18052</v>
      </c>
      <c r="C1908" s="24" t="s">
        <v>18053</v>
      </c>
      <c r="D1908" s="24" t="s">
        <v>18054</v>
      </c>
      <c r="E1908" s="24" t="s">
        <v>29</v>
      </c>
      <c r="F1908" s="24" t="s">
        <v>30</v>
      </c>
      <c r="G1908" s="24" t="s">
        <v>61</v>
      </c>
      <c r="H1908" s="24" t="s">
        <v>18055</v>
      </c>
      <c r="I1908" s="24" t="s">
        <v>18056</v>
      </c>
      <c r="J1908" s="24" t="s">
        <v>18057</v>
      </c>
      <c r="K1908" s="24" t="s">
        <v>18058</v>
      </c>
      <c r="L1908" s="24" t="s">
        <v>36</v>
      </c>
      <c r="M1908" s="15"/>
      <c r="N1908" s="15"/>
      <c r="O1908" s="15"/>
      <c r="P1908" s="15" t="s">
        <v>2597</v>
      </c>
      <c r="Q1908" s="15"/>
      <c r="R1908" s="15" t="s">
        <v>18059</v>
      </c>
      <c r="S1908" s="24" t="s">
        <v>71</v>
      </c>
      <c r="T1908" s="24" t="s">
        <v>71</v>
      </c>
      <c r="U1908" s="24" t="s">
        <v>71</v>
      </c>
      <c r="V1908" s="24" t="s">
        <v>39</v>
      </c>
      <c r="W1908" s="24" t="s">
        <v>18060</v>
      </c>
      <c r="X1908" s="24" t="s">
        <v>18061</v>
      </c>
      <c r="Y1908" s="15" t="s">
        <v>18062</v>
      </c>
      <c r="Z1908" s="15" t="s">
        <v>18063</v>
      </c>
      <c r="AA1908" s="24"/>
      <c r="AB1908" s="24"/>
      <c r="AC1908" s="24"/>
      <c r="AD1908" s="24"/>
      <c r="AE1908" s="24"/>
      <c r="AF1908" s="24"/>
      <c r="AG1908" s="24"/>
      <c r="AH1908" s="24"/>
    </row>
    <row r="1909" spans="1:34" ht="45" x14ac:dyDescent="0.25">
      <c r="A1909" s="24" t="str">
        <f>HYPERLINK("https://www.cpso.on.ca/DoctorDetails/Ravinder-Pal-Singh-Bains/0279716-98221","Bains, Ravinder Pal Singh")</f>
        <v>Bains, Ravinder Pal Singh</v>
      </c>
      <c r="B1909" s="25" t="s">
        <v>18064</v>
      </c>
      <c r="C1909" s="24" t="s">
        <v>5107</v>
      </c>
      <c r="D1909" s="24" t="s">
        <v>5108</v>
      </c>
      <c r="E1909" s="24" t="s">
        <v>29</v>
      </c>
      <c r="F1909" s="24" t="s">
        <v>30</v>
      </c>
      <c r="G1909" s="24" t="s">
        <v>31</v>
      </c>
      <c r="H1909" s="24" t="s">
        <v>4455</v>
      </c>
      <c r="I1909" s="24" t="s">
        <v>18065</v>
      </c>
      <c r="J1909" s="24" t="s">
        <v>18066</v>
      </c>
      <c r="K1909" s="24" t="s">
        <v>18067</v>
      </c>
      <c r="L1909" s="24" t="s">
        <v>3849</v>
      </c>
      <c r="M1909" s="15"/>
      <c r="N1909" s="15"/>
      <c r="O1909" s="15" t="s">
        <v>18068</v>
      </c>
      <c r="P1909" s="15" t="s">
        <v>1149</v>
      </c>
      <c r="Q1909" s="15"/>
      <c r="R1909" s="15" t="s">
        <v>18069</v>
      </c>
      <c r="S1909" s="24" t="s">
        <v>39</v>
      </c>
      <c r="T1909" s="24" t="s">
        <v>39</v>
      </c>
      <c r="U1909" s="24" t="s">
        <v>39</v>
      </c>
      <c r="V1909" s="24" t="s">
        <v>39</v>
      </c>
      <c r="W1909" s="24" t="s">
        <v>18070</v>
      </c>
      <c r="X1909" s="24" t="s">
        <v>9333</v>
      </c>
      <c r="Y1909" s="15" t="s">
        <v>18071</v>
      </c>
      <c r="Z1909" s="15" t="s">
        <v>18072</v>
      </c>
      <c r="AA1909" s="24"/>
      <c r="AB1909" s="24"/>
      <c r="AC1909" s="24"/>
      <c r="AD1909" s="24"/>
      <c r="AE1909" s="24"/>
      <c r="AF1909" s="24"/>
      <c r="AG1909" s="24"/>
      <c r="AH1909" s="24"/>
    </row>
    <row r="1910" spans="1:34" ht="150" x14ac:dyDescent="0.25">
      <c r="A1910" s="24" t="str">
        <f>HYPERLINK("https://www.cpso.on.ca/DoctorDetails/Ravinder-Singh-Mankoo/0245409-87886","Mankoo, Ravinder Singh")</f>
        <v>Mankoo, Ravinder Singh</v>
      </c>
      <c r="B1910" s="25" t="s">
        <v>18073</v>
      </c>
      <c r="C1910" s="24" t="s">
        <v>3585</v>
      </c>
      <c r="D1910" s="24" t="s">
        <v>443</v>
      </c>
      <c r="E1910" s="24" t="s">
        <v>29</v>
      </c>
      <c r="F1910" s="24" t="s">
        <v>30</v>
      </c>
      <c r="G1910" s="24" t="s">
        <v>3093</v>
      </c>
      <c r="H1910" s="24" t="s">
        <v>18074</v>
      </c>
      <c r="I1910" s="24" t="s">
        <v>18075</v>
      </c>
      <c r="J1910" s="24" t="s">
        <v>18076</v>
      </c>
      <c r="K1910" s="24" t="s">
        <v>18077</v>
      </c>
      <c r="L1910" s="24" t="s">
        <v>328</v>
      </c>
      <c r="M1910" s="15" t="s">
        <v>18078</v>
      </c>
      <c r="N1910" s="15"/>
      <c r="O1910" s="15"/>
      <c r="P1910" s="15" t="s">
        <v>425</v>
      </c>
      <c r="Q1910" s="15" t="s">
        <v>18079</v>
      </c>
      <c r="R1910" s="15" t="s">
        <v>18080</v>
      </c>
      <c r="S1910" s="24" t="s">
        <v>39</v>
      </c>
      <c r="T1910" s="24" t="s">
        <v>39</v>
      </c>
      <c r="U1910" s="24" t="s">
        <v>39</v>
      </c>
      <c r="V1910" s="24" t="s">
        <v>39</v>
      </c>
      <c r="W1910" s="24" t="s">
        <v>18081</v>
      </c>
      <c r="X1910" s="24" t="s">
        <v>15686</v>
      </c>
      <c r="Y1910" s="15" t="s">
        <v>18082</v>
      </c>
      <c r="Z1910" s="15" t="s">
        <v>18083</v>
      </c>
      <c r="AA1910" s="24"/>
      <c r="AB1910" s="24"/>
      <c r="AC1910" s="24"/>
      <c r="AD1910" s="24"/>
      <c r="AE1910" s="24"/>
      <c r="AF1910" s="24"/>
      <c r="AG1910" s="24"/>
      <c r="AH1910" s="24"/>
    </row>
    <row r="1911" spans="1:34" ht="90" x14ac:dyDescent="0.25">
      <c r="A1911" s="24" t="str">
        <f>HYPERLINK("https://www.cpso.on.ca/DoctorDetails/Ravinder-Vicky-Sandhu/0220339-83019","Sandhu, Ravinder Vicky")</f>
        <v>Sandhu, Ravinder Vicky</v>
      </c>
      <c r="B1911" s="25" t="s">
        <v>18084</v>
      </c>
      <c r="C1911" s="24" t="s">
        <v>988</v>
      </c>
      <c r="D1911" s="24" t="s">
        <v>989</v>
      </c>
      <c r="E1911" s="24" t="s">
        <v>29</v>
      </c>
      <c r="F1911" s="24" t="s">
        <v>47</v>
      </c>
      <c r="G1911" s="24" t="s">
        <v>31</v>
      </c>
      <c r="H1911" s="24" t="s">
        <v>12363</v>
      </c>
      <c r="I1911" s="24" t="s">
        <v>13040</v>
      </c>
      <c r="J1911" s="24" t="s">
        <v>5104</v>
      </c>
      <c r="K1911" s="24" t="s">
        <v>5105</v>
      </c>
      <c r="L1911" s="24" t="s">
        <v>36</v>
      </c>
      <c r="M1911" s="15"/>
      <c r="N1911" s="15"/>
      <c r="O1911" s="15" t="s">
        <v>972</v>
      </c>
      <c r="P1911" s="15" t="s">
        <v>654</v>
      </c>
      <c r="Q1911" s="15" t="s">
        <v>18085</v>
      </c>
      <c r="R1911" s="15" t="s">
        <v>18086</v>
      </c>
      <c r="S1911" s="24" t="s">
        <v>39</v>
      </c>
      <c r="T1911" s="24" t="s">
        <v>39</v>
      </c>
      <c r="U1911" s="24" t="s">
        <v>39</v>
      </c>
      <c r="V1911" s="24" t="s">
        <v>39</v>
      </c>
      <c r="W1911" s="24" t="s">
        <v>18087</v>
      </c>
      <c r="X1911" s="24" t="s">
        <v>15249</v>
      </c>
      <c r="Y1911" s="15" t="s">
        <v>18088</v>
      </c>
      <c r="Z1911" s="15" t="s">
        <v>18089</v>
      </c>
      <c r="AA1911" s="24"/>
      <c r="AB1911" s="24"/>
      <c r="AC1911" s="24"/>
      <c r="AD1911" s="24"/>
      <c r="AE1911" s="24"/>
      <c r="AF1911" s="24"/>
      <c r="AG1911" s="24"/>
      <c r="AH1911" s="24"/>
    </row>
    <row r="1912" spans="1:34" x14ac:dyDescent="0.25">
      <c r="A1912" s="24" t="str">
        <f>HYPERLINK("https://www.cpso.on.ca/DoctorDetails/Ravneet-Singh-Juneja/0253339-90038","Juneja, Ravneet Singh")</f>
        <v>Juneja, Ravneet Singh</v>
      </c>
      <c r="B1912" s="25" t="s">
        <v>18090</v>
      </c>
      <c r="C1912" s="24" t="s">
        <v>18091</v>
      </c>
      <c r="D1912" s="24" t="s">
        <v>18092</v>
      </c>
      <c r="E1912" s="24" t="s">
        <v>29</v>
      </c>
      <c r="F1912" s="24" t="s">
        <v>30</v>
      </c>
      <c r="G1912" s="24" t="s">
        <v>31</v>
      </c>
      <c r="H1912" s="24" t="s">
        <v>18093</v>
      </c>
      <c r="I1912" s="24" t="s">
        <v>4625</v>
      </c>
      <c r="J1912" s="24" t="s">
        <v>14836</v>
      </c>
      <c r="K1912" s="24" t="s">
        <v>14447</v>
      </c>
      <c r="L1912" s="24" t="s">
        <v>152</v>
      </c>
      <c r="M1912" s="15"/>
      <c r="N1912" s="15"/>
      <c r="O1912" s="15" t="s">
        <v>95</v>
      </c>
      <c r="P1912" s="15" t="s">
        <v>1136</v>
      </c>
      <c r="Q1912" s="15"/>
      <c r="R1912" s="15" t="s">
        <v>18094</v>
      </c>
      <c r="S1912" s="24" t="s">
        <v>39</v>
      </c>
      <c r="T1912" s="24" t="s">
        <v>39</v>
      </c>
      <c r="U1912" s="24" t="s">
        <v>39</v>
      </c>
      <c r="V1912" s="24" t="s">
        <v>39</v>
      </c>
      <c r="W1912" s="24" t="s">
        <v>18095</v>
      </c>
      <c r="X1912" s="24" t="s">
        <v>16485</v>
      </c>
      <c r="Y1912" s="15" t="s">
        <v>18096</v>
      </c>
      <c r="Z1912" s="15" t="s">
        <v>18097</v>
      </c>
      <c r="AA1912" s="24"/>
      <c r="AB1912" s="24"/>
      <c r="AC1912" s="24"/>
      <c r="AD1912" s="24"/>
      <c r="AE1912" s="24"/>
      <c r="AF1912" s="24"/>
      <c r="AG1912" s="24"/>
      <c r="AH1912" s="24"/>
    </row>
    <row r="1913" spans="1:34" ht="30" x14ac:dyDescent="0.25">
      <c r="A1913" s="24" t="str">
        <f>HYPERLINK("https://www.cpso.on.ca/DoctorDetails/Raymond-Louis-Braida/0014848-19632","Braida, Raymond Louis")</f>
        <v>Braida, Raymond Louis</v>
      </c>
      <c r="B1913" s="25" t="s">
        <v>18098</v>
      </c>
      <c r="C1913" s="24" t="s">
        <v>18099</v>
      </c>
      <c r="D1913" s="24" t="s">
        <v>18100</v>
      </c>
      <c r="E1913" s="24" t="s">
        <v>29</v>
      </c>
      <c r="F1913" s="24" t="s">
        <v>30</v>
      </c>
      <c r="G1913" s="24" t="s">
        <v>31</v>
      </c>
      <c r="H1913" s="24" t="s">
        <v>3108</v>
      </c>
      <c r="I1913" s="24" t="s">
        <v>18101</v>
      </c>
      <c r="J1913" s="24" t="s">
        <v>18102</v>
      </c>
      <c r="K1913" s="24" t="s">
        <v>18103</v>
      </c>
      <c r="L1913" s="24" t="s">
        <v>152</v>
      </c>
      <c r="M1913" s="15"/>
      <c r="N1913" s="15"/>
      <c r="O1913" s="15"/>
      <c r="P1913" s="15" t="s">
        <v>9921</v>
      </c>
      <c r="Q1913" s="15"/>
      <c r="R1913" s="15" t="s">
        <v>18104</v>
      </c>
      <c r="S1913" s="24" t="s">
        <v>39</v>
      </c>
      <c r="T1913" s="24" t="s">
        <v>39</v>
      </c>
      <c r="U1913" s="24" t="s">
        <v>39</v>
      </c>
      <c r="V1913" s="24" t="s">
        <v>39</v>
      </c>
      <c r="W1913" s="24"/>
      <c r="X1913" s="24"/>
      <c r="Y1913" s="15"/>
      <c r="Z1913" s="15"/>
      <c r="AA1913" s="24"/>
      <c r="AB1913" s="24"/>
      <c r="AC1913" s="24"/>
      <c r="AD1913" s="24"/>
      <c r="AE1913" s="24"/>
      <c r="AF1913" s="24"/>
      <c r="AG1913" s="24"/>
      <c r="AH1913" s="24"/>
    </row>
    <row r="1914" spans="1:34" ht="75" x14ac:dyDescent="0.25">
      <c r="A1914" s="24" t="str">
        <f>HYPERLINK("https://www.cpso.on.ca/DoctorDetails/Raymond-Michael-Ferri/0028639-33462","Ferri, Raymond Michael")</f>
        <v>Ferri, Raymond Michael</v>
      </c>
      <c r="B1914" s="25" t="s">
        <v>18105</v>
      </c>
      <c r="C1914" s="24" t="s">
        <v>826</v>
      </c>
      <c r="D1914" s="24" t="s">
        <v>9317</v>
      </c>
      <c r="E1914" s="24" t="s">
        <v>29</v>
      </c>
      <c r="F1914" s="24" t="s">
        <v>30</v>
      </c>
      <c r="G1914" s="24" t="s">
        <v>31</v>
      </c>
      <c r="H1914" s="24" t="s">
        <v>9318</v>
      </c>
      <c r="I1914" s="24" t="s">
        <v>18106</v>
      </c>
      <c r="J1914" s="24" t="s">
        <v>18107</v>
      </c>
      <c r="K1914" s="24"/>
      <c r="L1914" s="24" t="s">
        <v>84</v>
      </c>
      <c r="M1914" s="15"/>
      <c r="N1914" s="15"/>
      <c r="O1914" s="15" t="s">
        <v>16274</v>
      </c>
      <c r="P1914" s="15" t="s">
        <v>3423</v>
      </c>
      <c r="Q1914" s="15" t="s">
        <v>18108</v>
      </c>
      <c r="R1914" s="15" t="s">
        <v>18109</v>
      </c>
      <c r="S1914" s="24" t="s">
        <v>39</v>
      </c>
      <c r="T1914" s="24" t="s">
        <v>39</v>
      </c>
      <c r="U1914" s="24" t="s">
        <v>39</v>
      </c>
      <c r="V1914" s="24" t="s">
        <v>39</v>
      </c>
      <c r="W1914" s="24"/>
      <c r="X1914" s="24"/>
      <c r="Y1914" s="15"/>
      <c r="Z1914" s="15"/>
      <c r="AA1914" s="24"/>
      <c r="AB1914" s="24"/>
      <c r="AC1914" s="24"/>
      <c r="AD1914" s="24"/>
      <c r="AE1914" s="24"/>
      <c r="AF1914" s="24"/>
      <c r="AG1914" s="24"/>
      <c r="AH1914" s="24"/>
    </row>
    <row r="1915" spans="1:34" x14ac:dyDescent="0.25">
      <c r="A1915" s="24" t="str">
        <f>HYPERLINK("https://www.cpso.on.ca/DoctorDetails/Raymond-Michael-TangWai/0299012-105153","Tang-Wai, Raymond Michael")</f>
        <v>Tang-Wai, Raymond Michael</v>
      </c>
      <c r="B1915" s="25" t="s">
        <v>18110</v>
      </c>
      <c r="C1915" s="24" t="s">
        <v>18111</v>
      </c>
      <c r="D1915" s="24" t="s">
        <v>10157</v>
      </c>
      <c r="E1915" s="24" t="s">
        <v>29</v>
      </c>
      <c r="F1915" s="24" t="s">
        <v>30</v>
      </c>
      <c r="G1915" s="24" t="s">
        <v>31</v>
      </c>
      <c r="H1915" s="24" t="s">
        <v>9832</v>
      </c>
      <c r="I1915" s="24" t="s">
        <v>18112</v>
      </c>
      <c r="J1915" s="24" t="s">
        <v>18113</v>
      </c>
      <c r="K1915" s="24"/>
      <c r="L1915" s="24"/>
      <c r="M1915" s="15"/>
      <c r="N1915" s="15" t="s">
        <v>258</v>
      </c>
      <c r="O1915" s="15"/>
      <c r="P1915" s="15" t="s">
        <v>288</v>
      </c>
      <c r="Q1915" s="15"/>
      <c r="R1915" s="15" t="s">
        <v>18114</v>
      </c>
      <c r="S1915" s="24" t="s">
        <v>39</v>
      </c>
      <c r="T1915" s="24" t="s">
        <v>39</v>
      </c>
      <c r="U1915" s="24" t="s">
        <v>39</v>
      </c>
      <c r="V1915" s="24" t="s">
        <v>39</v>
      </c>
      <c r="W1915" s="24"/>
      <c r="X1915" s="24"/>
      <c r="Y1915" s="15"/>
      <c r="Z1915" s="15"/>
      <c r="AA1915" s="24"/>
      <c r="AB1915" s="24"/>
      <c r="AC1915" s="24"/>
      <c r="AD1915" s="24"/>
      <c r="AE1915" s="24"/>
      <c r="AF1915" s="24"/>
      <c r="AG1915" s="24"/>
      <c r="AH1915" s="24"/>
    </row>
    <row r="1916" spans="1:34" ht="75" x14ac:dyDescent="0.25">
      <c r="A1916" s="24" t="str">
        <f>HYPERLINK("https://www.cpso.on.ca/DoctorDetails/Raymond-Paul-Louis-Tempier/0270158-94817","Tempier, Raymond Paul Louis")</f>
        <v>Tempier, Raymond Paul Louis</v>
      </c>
      <c r="B1916" s="25" t="s">
        <v>18115</v>
      </c>
      <c r="C1916" s="24" t="s">
        <v>18116</v>
      </c>
      <c r="D1916" s="24" t="s">
        <v>18117</v>
      </c>
      <c r="E1916" s="24" t="s">
        <v>29</v>
      </c>
      <c r="F1916" s="24" t="s">
        <v>30</v>
      </c>
      <c r="G1916" s="24" t="s">
        <v>813</v>
      </c>
      <c r="H1916" s="24" t="s">
        <v>18118</v>
      </c>
      <c r="I1916" s="24" t="s">
        <v>3071</v>
      </c>
      <c r="J1916" s="24" t="s">
        <v>18119</v>
      </c>
      <c r="K1916" s="24" t="s">
        <v>15683</v>
      </c>
      <c r="L1916" s="24" t="s">
        <v>84</v>
      </c>
      <c r="M1916" s="15" t="s">
        <v>18120</v>
      </c>
      <c r="N1916" s="15" t="s">
        <v>17384</v>
      </c>
      <c r="O1916" s="15" t="s">
        <v>817</v>
      </c>
      <c r="P1916" s="15" t="s">
        <v>2541</v>
      </c>
      <c r="Q1916" s="15"/>
      <c r="R1916" s="15" t="s">
        <v>18121</v>
      </c>
      <c r="S1916" s="24" t="s">
        <v>39</v>
      </c>
      <c r="T1916" s="24" t="s">
        <v>39</v>
      </c>
      <c r="U1916" s="24" t="s">
        <v>39</v>
      </c>
      <c r="V1916" s="24" t="s">
        <v>39</v>
      </c>
      <c r="W1916" s="24" t="s">
        <v>18122</v>
      </c>
      <c r="X1916" s="24" t="s">
        <v>4980</v>
      </c>
      <c r="Y1916" s="15" t="s">
        <v>18123</v>
      </c>
      <c r="Z1916" s="15" t="s">
        <v>18124</v>
      </c>
      <c r="AA1916" s="24"/>
      <c r="AB1916" s="24"/>
      <c r="AC1916" s="24"/>
      <c r="AD1916" s="24"/>
      <c r="AE1916" s="24"/>
      <c r="AF1916" s="24"/>
      <c r="AG1916" s="24"/>
      <c r="AH1916" s="24"/>
    </row>
    <row r="1917" spans="1:34" ht="45" x14ac:dyDescent="0.25">
      <c r="A1917" s="24" t="str">
        <f>HYPERLINK("https://www.cpso.on.ca/DoctorDetails/Raymond-Richard-Egan/0047261-61239","Egan, Raymond Richard")</f>
        <v>Egan, Raymond Richard</v>
      </c>
      <c r="B1917" s="25" t="s">
        <v>18125</v>
      </c>
      <c r="C1917" s="24" t="s">
        <v>18126</v>
      </c>
      <c r="D1917" s="24" t="s">
        <v>18127</v>
      </c>
      <c r="E1917" s="24" t="s">
        <v>29</v>
      </c>
      <c r="F1917" s="24" t="s">
        <v>30</v>
      </c>
      <c r="G1917" s="24" t="s">
        <v>31</v>
      </c>
      <c r="H1917" s="24" t="s">
        <v>16083</v>
      </c>
      <c r="I1917" s="24" t="s">
        <v>18128</v>
      </c>
      <c r="J1917" s="24" t="s">
        <v>18129</v>
      </c>
      <c r="K1917" s="24" t="s">
        <v>18130</v>
      </c>
      <c r="L1917" s="24" t="s">
        <v>135</v>
      </c>
      <c r="M1917" s="15" t="s">
        <v>18131</v>
      </c>
      <c r="N1917" s="15"/>
      <c r="O1917" s="15" t="s">
        <v>4950</v>
      </c>
      <c r="P1917" s="15" t="s">
        <v>4571</v>
      </c>
      <c r="Q1917" s="15" t="s">
        <v>18132</v>
      </c>
      <c r="R1917" s="15" t="s">
        <v>18133</v>
      </c>
      <c r="S1917" s="24" t="s">
        <v>39</v>
      </c>
      <c r="T1917" s="24" t="s">
        <v>39</v>
      </c>
      <c r="U1917" s="24" t="s">
        <v>39</v>
      </c>
      <c r="V1917" s="24" t="s">
        <v>39</v>
      </c>
      <c r="W1917" s="24"/>
      <c r="X1917" s="24"/>
      <c r="Y1917" s="15"/>
      <c r="Z1917" s="15"/>
      <c r="AA1917" s="24"/>
      <c r="AB1917" s="24"/>
      <c r="AC1917" s="24"/>
      <c r="AD1917" s="24"/>
      <c r="AE1917" s="24"/>
      <c r="AF1917" s="24"/>
      <c r="AG1917" s="24"/>
      <c r="AH1917" s="24"/>
    </row>
    <row r="1918" spans="1:34" ht="120" x14ac:dyDescent="0.25">
      <c r="A1918" s="24" t="str">
        <f>HYPERLINK("https://www.cpso.on.ca/DoctorDetails/Rebecca-Anne-Chauhan/0232617-84806","Chauhan, Rebecca Anne")</f>
        <v>Chauhan, Rebecca Anne</v>
      </c>
      <c r="B1918" s="25" t="s">
        <v>18134</v>
      </c>
      <c r="C1918" s="24" t="s">
        <v>18135</v>
      </c>
      <c r="D1918" s="24" t="s">
        <v>18136</v>
      </c>
      <c r="E1918" s="24" t="s">
        <v>29</v>
      </c>
      <c r="F1918" s="24" t="s">
        <v>47</v>
      </c>
      <c r="G1918" s="24" t="s">
        <v>31</v>
      </c>
      <c r="H1918" s="24" t="s">
        <v>2613</v>
      </c>
      <c r="I1918" s="24" t="s">
        <v>18137</v>
      </c>
      <c r="J1918" s="24" t="s">
        <v>18138</v>
      </c>
      <c r="K1918" s="24"/>
      <c r="L1918" s="24" t="s">
        <v>184</v>
      </c>
      <c r="M1918" s="15" t="s">
        <v>18139</v>
      </c>
      <c r="N1918" s="15"/>
      <c r="O1918" s="15" t="s">
        <v>18140</v>
      </c>
      <c r="P1918" s="15" t="s">
        <v>18141</v>
      </c>
      <c r="Q1918" s="15" t="s">
        <v>18142</v>
      </c>
      <c r="R1918" s="15" t="s">
        <v>18143</v>
      </c>
      <c r="S1918" s="24" t="s">
        <v>39</v>
      </c>
      <c r="T1918" s="24" t="s">
        <v>39</v>
      </c>
      <c r="U1918" s="24" t="s">
        <v>39</v>
      </c>
      <c r="V1918" s="24" t="s">
        <v>39</v>
      </c>
      <c r="W1918" s="24" t="s">
        <v>18144</v>
      </c>
      <c r="X1918" s="24" t="s">
        <v>18145</v>
      </c>
      <c r="Y1918" s="15" t="s">
        <v>18146</v>
      </c>
      <c r="Z1918" s="15" t="s">
        <v>18147</v>
      </c>
      <c r="AA1918" s="24"/>
      <c r="AB1918" s="24"/>
      <c r="AC1918" s="24"/>
      <c r="AD1918" s="24"/>
      <c r="AE1918" s="24"/>
      <c r="AF1918" s="24"/>
      <c r="AG1918" s="24"/>
      <c r="AH1918" s="24"/>
    </row>
    <row r="1919" spans="1:34" ht="75" x14ac:dyDescent="0.25">
      <c r="A1919" s="24" t="str">
        <f>HYPERLINK("https://www.cpso.on.ca/DoctorDetails/Rebecca-Carriere/0242500-86860","Carriere, Rebecca")</f>
        <v>Carriere, Rebecca</v>
      </c>
      <c r="B1919" s="25" t="s">
        <v>18148</v>
      </c>
      <c r="C1919" s="24" t="s">
        <v>1115</v>
      </c>
      <c r="D1919" s="24" t="s">
        <v>1594</v>
      </c>
      <c r="E1919" s="24" t="s">
        <v>18149</v>
      </c>
      <c r="F1919" s="24" t="s">
        <v>47</v>
      </c>
      <c r="G1919" s="24" t="s">
        <v>31</v>
      </c>
      <c r="H1919" s="24" t="s">
        <v>4320</v>
      </c>
      <c r="I1919" s="24" t="s">
        <v>18150</v>
      </c>
      <c r="J1919" s="24" t="s">
        <v>18151</v>
      </c>
      <c r="K1919" s="24" t="s">
        <v>18152</v>
      </c>
      <c r="L1919" s="24" t="s">
        <v>36</v>
      </c>
      <c r="M1919" s="15"/>
      <c r="N1919" s="15"/>
      <c r="O1919" s="15" t="s">
        <v>5922</v>
      </c>
      <c r="P1919" s="15" t="s">
        <v>1074</v>
      </c>
      <c r="Q1919" s="15" t="s">
        <v>1601</v>
      </c>
      <c r="R1919" s="15" t="s">
        <v>1602</v>
      </c>
      <c r="S1919" s="24" t="s">
        <v>39</v>
      </c>
      <c r="T1919" s="24" t="s">
        <v>39</v>
      </c>
      <c r="U1919" s="24" t="s">
        <v>39</v>
      </c>
      <c r="V1919" s="24" t="s">
        <v>39</v>
      </c>
      <c r="W1919" s="24" t="s">
        <v>18153</v>
      </c>
      <c r="X1919" s="24" t="s">
        <v>17348</v>
      </c>
      <c r="Y1919" s="15" t="s">
        <v>18154</v>
      </c>
      <c r="Z1919" s="15" t="s">
        <v>18155</v>
      </c>
      <c r="AA1919" s="24"/>
      <c r="AB1919" s="24"/>
      <c r="AC1919" s="24"/>
      <c r="AD1919" s="24"/>
      <c r="AE1919" s="24"/>
      <c r="AF1919" s="24"/>
      <c r="AG1919" s="24"/>
      <c r="AH1919" s="24"/>
    </row>
    <row r="1920" spans="1:34" ht="75" x14ac:dyDescent="0.25">
      <c r="A1920" s="24" t="str">
        <f>HYPERLINK("https://www.cpso.on.ca/DoctorDetails/Rebecca-Regan-King/0233876-84470","King, Rebecca Regan")</f>
        <v>King, Rebecca Regan</v>
      </c>
      <c r="B1920" s="25" t="s">
        <v>18156</v>
      </c>
      <c r="C1920" s="24" t="s">
        <v>18157</v>
      </c>
      <c r="D1920" s="24" t="s">
        <v>18158</v>
      </c>
      <c r="E1920" s="24" t="s">
        <v>29</v>
      </c>
      <c r="F1920" s="24" t="s">
        <v>47</v>
      </c>
      <c r="G1920" s="24" t="s">
        <v>31</v>
      </c>
      <c r="H1920" s="24" t="s">
        <v>18159</v>
      </c>
      <c r="I1920" s="24" t="s">
        <v>18160</v>
      </c>
      <c r="J1920" s="24" t="s">
        <v>18161</v>
      </c>
      <c r="K1920" s="24" t="s">
        <v>6261</v>
      </c>
      <c r="L1920" s="24" t="s">
        <v>135</v>
      </c>
      <c r="M1920" s="15"/>
      <c r="N1920" s="15"/>
      <c r="O1920" s="15" t="s">
        <v>913</v>
      </c>
      <c r="P1920" s="15" t="s">
        <v>654</v>
      </c>
      <c r="Q1920" s="15" t="s">
        <v>18162</v>
      </c>
      <c r="R1920" s="15" t="s">
        <v>18163</v>
      </c>
      <c r="S1920" s="24" t="s">
        <v>39</v>
      </c>
      <c r="T1920" s="24" t="s">
        <v>39</v>
      </c>
      <c r="U1920" s="24" t="s">
        <v>39</v>
      </c>
      <c r="V1920" s="24" t="s">
        <v>39</v>
      </c>
      <c r="W1920" s="24" t="s">
        <v>18164</v>
      </c>
      <c r="X1920" s="24" t="s">
        <v>18165</v>
      </c>
      <c r="Y1920" s="15" t="s">
        <v>18166</v>
      </c>
      <c r="Z1920" s="15" t="s">
        <v>18167</v>
      </c>
      <c r="AA1920" s="24"/>
      <c r="AB1920" s="24"/>
      <c r="AC1920" s="24"/>
      <c r="AD1920" s="24"/>
      <c r="AE1920" s="24"/>
      <c r="AF1920" s="24"/>
      <c r="AG1920" s="24"/>
      <c r="AH1920" s="24"/>
    </row>
    <row r="1921" spans="1:34" ht="75" x14ac:dyDescent="0.25">
      <c r="A1921" s="24" t="str">
        <f>HYPERLINK("https://www.cpso.on.ca/DoctorDetails/Rebecca-Tudhope/0265780-93561","Tudhope, Rebecca")</f>
        <v>Tudhope, Rebecca</v>
      </c>
      <c r="B1921" s="25" t="s">
        <v>18168</v>
      </c>
      <c r="C1921" s="24" t="s">
        <v>18169</v>
      </c>
      <c r="D1921" s="24" t="s">
        <v>18170</v>
      </c>
      <c r="E1921" s="24" t="s">
        <v>18171</v>
      </c>
      <c r="F1921" s="24" t="s">
        <v>47</v>
      </c>
      <c r="G1921" s="24" t="s">
        <v>31</v>
      </c>
      <c r="H1921" s="24" t="s">
        <v>10931</v>
      </c>
      <c r="I1921" s="24" t="s">
        <v>18172</v>
      </c>
      <c r="J1921" s="24" t="s">
        <v>18173</v>
      </c>
      <c r="K1921" s="24" t="s">
        <v>18174</v>
      </c>
      <c r="L1921" s="24" t="s">
        <v>135</v>
      </c>
      <c r="M1921" s="15"/>
      <c r="N1921" s="15"/>
      <c r="O1921" s="15" t="s">
        <v>8143</v>
      </c>
      <c r="P1921" s="15" t="s">
        <v>629</v>
      </c>
      <c r="Q1921" s="15" t="s">
        <v>18175</v>
      </c>
      <c r="R1921" s="15" t="s">
        <v>18176</v>
      </c>
      <c r="S1921" s="24" t="s">
        <v>39</v>
      </c>
      <c r="T1921" s="24" t="s">
        <v>39</v>
      </c>
      <c r="U1921" s="24" t="s">
        <v>39</v>
      </c>
      <c r="V1921" s="24" t="s">
        <v>39</v>
      </c>
      <c r="W1921" s="24" t="s">
        <v>18177</v>
      </c>
      <c r="X1921" s="24" t="s">
        <v>18178</v>
      </c>
      <c r="Y1921" s="15" t="s">
        <v>18179</v>
      </c>
      <c r="Z1921" s="15" t="s">
        <v>18180</v>
      </c>
      <c r="AA1921" s="24"/>
      <c r="AB1921" s="24"/>
      <c r="AC1921" s="24"/>
      <c r="AD1921" s="24"/>
      <c r="AE1921" s="24"/>
      <c r="AF1921" s="24"/>
      <c r="AG1921" s="24"/>
      <c r="AH1921" s="24"/>
    </row>
    <row r="1922" spans="1:34" ht="30" x14ac:dyDescent="0.25">
      <c r="A1922" s="24" t="str">
        <f>HYPERLINK("https://www.cpso.on.ca/DoctorDetails/Reghuvaran-Kunjukrishnan/0030369-42349","Kunjukrishnan, Reghuvaran")</f>
        <v>Kunjukrishnan, Reghuvaran</v>
      </c>
      <c r="B1922" s="25" t="s">
        <v>18181</v>
      </c>
      <c r="C1922" s="24" t="s">
        <v>18182</v>
      </c>
      <c r="D1922" s="24" t="s">
        <v>10079</v>
      </c>
      <c r="E1922" s="24" t="s">
        <v>29</v>
      </c>
      <c r="F1922" s="24" t="s">
        <v>30</v>
      </c>
      <c r="G1922" s="24" t="s">
        <v>1245</v>
      </c>
      <c r="H1922" s="24" t="s">
        <v>18183</v>
      </c>
      <c r="I1922" s="24" t="s">
        <v>742</v>
      </c>
      <c r="J1922" s="24" t="s">
        <v>6137</v>
      </c>
      <c r="K1922" s="24" t="s">
        <v>6138</v>
      </c>
      <c r="L1922" s="24" t="s">
        <v>84</v>
      </c>
      <c r="M1922" s="15"/>
      <c r="N1922" s="15"/>
      <c r="O1922" s="15" t="s">
        <v>498</v>
      </c>
      <c r="P1922" s="15" t="s">
        <v>18184</v>
      </c>
      <c r="Q1922" s="15"/>
      <c r="R1922" s="15" t="s">
        <v>18185</v>
      </c>
      <c r="S1922" s="24" t="s">
        <v>39</v>
      </c>
      <c r="T1922" s="24" t="s">
        <v>39</v>
      </c>
      <c r="U1922" s="24" t="s">
        <v>39</v>
      </c>
      <c r="V1922" s="24" t="s">
        <v>39</v>
      </c>
      <c r="W1922" s="24"/>
      <c r="X1922" s="24"/>
      <c r="Y1922" s="15"/>
      <c r="Z1922" s="15"/>
      <c r="AA1922" s="24"/>
      <c r="AB1922" s="24"/>
      <c r="AC1922" s="24"/>
      <c r="AD1922" s="24"/>
      <c r="AE1922" s="24"/>
      <c r="AF1922" s="24"/>
      <c r="AG1922" s="24"/>
      <c r="AH1922" s="24"/>
    </row>
    <row r="1923" spans="1:34" ht="90" x14ac:dyDescent="0.25">
      <c r="A1923" s="24" t="str">
        <f>HYPERLINK("https://www.cpso.on.ca/DoctorDetails/Regina-ChingYin-Liu/0183768-76029","Liu, Regina Ching-Yin")</f>
        <v>Liu, Regina Ching-Yin</v>
      </c>
      <c r="B1923" s="25" t="s">
        <v>18186</v>
      </c>
      <c r="C1923" s="24" t="s">
        <v>1130</v>
      </c>
      <c r="D1923" s="24" t="s">
        <v>18187</v>
      </c>
      <c r="E1923" s="24" t="s">
        <v>29</v>
      </c>
      <c r="F1923" s="24" t="s">
        <v>47</v>
      </c>
      <c r="G1923" s="24" t="s">
        <v>31</v>
      </c>
      <c r="H1923" s="24" t="s">
        <v>1146</v>
      </c>
      <c r="I1923" s="24" t="s">
        <v>18188</v>
      </c>
      <c r="J1923" s="24" t="s">
        <v>11238</v>
      </c>
      <c r="K1923" s="24" t="s">
        <v>15113</v>
      </c>
      <c r="L1923" s="24" t="s">
        <v>52</v>
      </c>
      <c r="M1923" s="15"/>
      <c r="N1923" s="15"/>
      <c r="O1923" s="15" t="s">
        <v>3112</v>
      </c>
      <c r="P1923" s="15" t="s">
        <v>1149</v>
      </c>
      <c r="Q1923" s="15" t="s">
        <v>18189</v>
      </c>
      <c r="R1923" s="15" t="s">
        <v>18190</v>
      </c>
      <c r="S1923" s="24" t="s">
        <v>39</v>
      </c>
      <c r="T1923" s="24" t="s">
        <v>39</v>
      </c>
      <c r="U1923" s="24" t="s">
        <v>39</v>
      </c>
      <c r="V1923" s="24" t="s">
        <v>39</v>
      </c>
      <c r="W1923" s="24" t="s">
        <v>18191</v>
      </c>
      <c r="X1923" s="24" t="s">
        <v>9837</v>
      </c>
      <c r="Y1923" s="15" t="s">
        <v>18192</v>
      </c>
      <c r="Z1923" s="15" t="s">
        <v>11242</v>
      </c>
      <c r="AA1923" s="24"/>
      <c r="AB1923" s="24"/>
      <c r="AC1923" s="24"/>
      <c r="AD1923" s="24"/>
      <c r="AE1923" s="24"/>
      <c r="AF1923" s="24"/>
      <c r="AG1923" s="24"/>
      <c r="AH1923" s="24"/>
    </row>
    <row r="1924" spans="1:34" ht="75" x14ac:dyDescent="0.25">
      <c r="A1924" s="24" t="str">
        <f>HYPERLINK("https://www.cpso.on.ca/DoctorDetails/Regina-Mary-duToit/0172378-75202","duToit, Regina Mary")</f>
        <v>duToit, Regina Mary</v>
      </c>
      <c r="B1924" s="25" t="s">
        <v>18193</v>
      </c>
      <c r="C1924" s="24" t="s">
        <v>3642</v>
      </c>
      <c r="D1924" s="24" t="s">
        <v>1234</v>
      </c>
      <c r="E1924" s="24" t="s">
        <v>29</v>
      </c>
      <c r="F1924" s="24" t="s">
        <v>47</v>
      </c>
      <c r="G1924" s="24" t="s">
        <v>31</v>
      </c>
      <c r="H1924" s="24" t="s">
        <v>3643</v>
      </c>
      <c r="I1924" s="24" t="s">
        <v>7464</v>
      </c>
      <c r="J1924" s="24" t="s">
        <v>18194</v>
      </c>
      <c r="K1924" s="24" t="s">
        <v>2970</v>
      </c>
      <c r="L1924" s="24" t="s">
        <v>340</v>
      </c>
      <c r="M1924" s="15"/>
      <c r="N1924" s="15"/>
      <c r="O1924" s="15" t="s">
        <v>2972</v>
      </c>
      <c r="P1924" s="15" t="s">
        <v>1239</v>
      </c>
      <c r="Q1924" s="15" t="s">
        <v>18195</v>
      </c>
      <c r="R1924" s="15" t="s">
        <v>3649</v>
      </c>
      <c r="S1924" s="24" t="s">
        <v>39</v>
      </c>
      <c r="T1924" s="24" t="s">
        <v>39</v>
      </c>
      <c r="U1924" s="24" t="s">
        <v>39</v>
      </c>
      <c r="V1924" s="24" t="s">
        <v>39</v>
      </c>
      <c r="W1924" s="24" t="s">
        <v>18196</v>
      </c>
      <c r="X1924" s="24" t="s">
        <v>18197</v>
      </c>
      <c r="Y1924" s="15" t="s">
        <v>18198</v>
      </c>
      <c r="Z1924" s="15" t="s">
        <v>18199</v>
      </c>
      <c r="AA1924" s="24"/>
      <c r="AB1924" s="24"/>
      <c r="AC1924" s="24"/>
      <c r="AD1924" s="24"/>
      <c r="AE1924" s="24"/>
      <c r="AF1924" s="24"/>
      <c r="AG1924" s="24"/>
      <c r="AH1924" s="24"/>
    </row>
    <row r="1925" spans="1:34" ht="75" x14ac:dyDescent="0.25">
      <c r="A1925" s="24" t="str">
        <f>HYPERLINK("https://www.cpso.on.ca/DoctorDetails/Renata-Marques-Villela/0258186-90563","Villela, Renata Marques")</f>
        <v>Villela, Renata Marques</v>
      </c>
      <c r="B1925" s="25" t="s">
        <v>18200</v>
      </c>
      <c r="C1925" s="24" t="s">
        <v>442</v>
      </c>
      <c r="D1925" s="24" t="s">
        <v>443</v>
      </c>
      <c r="E1925" s="24" t="s">
        <v>29</v>
      </c>
      <c r="F1925" s="24" t="s">
        <v>47</v>
      </c>
      <c r="G1925" s="24" t="s">
        <v>31</v>
      </c>
      <c r="H1925" s="24" t="s">
        <v>8705</v>
      </c>
      <c r="I1925" s="24" t="s">
        <v>18201</v>
      </c>
      <c r="J1925" s="24" t="s">
        <v>18202</v>
      </c>
      <c r="K1925" s="24" t="s">
        <v>18203</v>
      </c>
      <c r="L1925" s="24" t="s">
        <v>36</v>
      </c>
      <c r="M1925" s="15"/>
      <c r="N1925" s="15"/>
      <c r="O1925" s="15"/>
      <c r="P1925" s="15" t="s">
        <v>449</v>
      </c>
      <c r="Q1925" s="15" t="s">
        <v>450</v>
      </c>
      <c r="R1925" s="15" t="s">
        <v>451</v>
      </c>
      <c r="S1925" s="24" t="s">
        <v>39</v>
      </c>
      <c r="T1925" s="24" t="s">
        <v>39</v>
      </c>
      <c r="U1925" s="24" t="s">
        <v>39</v>
      </c>
      <c r="V1925" s="24" t="s">
        <v>39</v>
      </c>
      <c r="W1925" s="24" t="s">
        <v>18204</v>
      </c>
      <c r="X1925" s="24" t="s">
        <v>18205</v>
      </c>
      <c r="Y1925" s="15" t="s">
        <v>18206</v>
      </c>
      <c r="Z1925" s="15" t="s">
        <v>18207</v>
      </c>
      <c r="AA1925" s="24"/>
      <c r="AB1925" s="24"/>
      <c r="AC1925" s="24"/>
      <c r="AD1925" s="24"/>
      <c r="AE1925" s="24"/>
      <c r="AF1925" s="24"/>
      <c r="AG1925" s="24"/>
      <c r="AH1925" s="24"/>
    </row>
    <row r="1926" spans="1:34" ht="45" x14ac:dyDescent="0.25">
      <c r="A1926" s="24" t="str">
        <f>HYPERLINK("https://www.cpso.on.ca/DoctorDetails/Renato-Teodoro-Ramos/0315069-111576","Ramos, Renato Teodoro")</f>
        <v>Ramos, Renato Teodoro</v>
      </c>
      <c r="B1926" s="25" t="s">
        <v>18208</v>
      </c>
      <c r="C1926" s="24" t="s">
        <v>18209</v>
      </c>
      <c r="D1926" s="24" t="s">
        <v>18210</v>
      </c>
      <c r="E1926" s="24" t="s">
        <v>29</v>
      </c>
      <c r="F1926" s="24" t="s">
        <v>30</v>
      </c>
      <c r="G1926" s="24" t="s">
        <v>468</v>
      </c>
      <c r="H1926" s="24" t="s">
        <v>18211</v>
      </c>
      <c r="I1926" s="24" t="s">
        <v>18212</v>
      </c>
      <c r="J1926" s="24" t="s">
        <v>1551</v>
      </c>
      <c r="K1926" s="24"/>
      <c r="L1926" s="24" t="s">
        <v>52</v>
      </c>
      <c r="M1926" s="15"/>
      <c r="N1926" s="15"/>
      <c r="O1926" s="15"/>
      <c r="P1926" s="15" t="s">
        <v>18213</v>
      </c>
      <c r="Q1926" s="15"/>
      <c r="R1926" s="15" t="s">
        <v>18214</v>
      </c>
      <c r="S1926" s="24" t="s">
        <v>71</v>
      </c>
      <c r="T1926" s="24" t="s">
        <v>39</v>
      </c>
      <c r="U1926" s="24" t="s">
        <v>39</v>
      </c>
      <c r="V1926" s="24" t="s">
        <v>39</v>
      </c>
      <c r="W1926" s="24"/>
      <c r="X1926" s="24"/>
      <c r="Y1926" s="15"/>
      <c r="Z1926" s="15"/>
      <c r="AA1926" s="24"/>
      <c r="AB1926" s="24"/>
      <c r="AC1926" s="24"/>
      <c r="AD1926" s="24"/>
      <c r="AE1926" s="24"/>
      <c r="AF1926" s="24"/>
      <c r="AG1926" s="24"/>
      <c r="AH1926" s="24"/>
    </row>
    <row r="1927" spans="1:34" ht="30" x14ac:dyDescent="0.25">
      <c r="A1927" s="24" t="str">
        <f>HYPERLINK("https://www.cpso.on.ca/DoctorDetails/Rene-Doucet/0290235-101952","Doucet, Rene")</f>
        <v>Doucet, Rene</v>
      </c>
      <c r="B1927" s="25" t="s">
        <v>18215</v>
      </c>
      <c r="C1927" s="24" t="s">
        <v>18216</v>
      </c>
      <c r="D1927" s="24" t="s">
        <v>18217</v>
      </c>
      <c r="E1927" s="24" t="s">
        <v>29</v>
      </c>
      <c r="F1927" s="24" t="s">
        <v>30</v>
      </c>
      <c r="G1927" s="24" t="s">
        <v>813</v>
      </c>
      <c r="H1927" s="24" t="s">
        <v>18218</v>
      </c>
      <c r="I1927" s="24" t="s">
        <v>18219</v>
      </c>
      <c r="J1927" s="24" t="s">
        <v>18220</v>
      </c>
      <c r="K1927" s="24"/>
      <c r="L1927" s="24"/>
      <c r="M1927" s="15"/>
      <c r="N1927" s="15" t="s">
        <v>710</v>
      </c>
      <c r="O1927" s="15"/>
      <c r="P1927" s="15" t="s">
        <v>654</v>
      </c>
      <c r="Q1927" s="15" t="s">
        <v>18221</v>
      </c>
      <c r="R1927" s="15" t="s">
        <v>18222</v>
      </c>
      <c r="S1927" s="24" t="s">
        <v>39</v>
      </c>
      <c r="T1927" s="24" t="s">
        <v>39</v>
      </c>
      <c r="U1927" s="24" t="s">
        <v>39</v>
      </c>
      <c r="V1927" s="24" t="s">
        <v>39</v>
      </c>
      <c r="W1927" s="24"/>
      <c r="X1927" s="24"/>
      <c r="Y1927" s="15"/>
      <c r="Z1927" s="15"/>
      <c r="AA1927" s="24"/>
      <c r="AB1927" s="24"/>
      <c r="AC1927" s="24"/>
      <c r="AD1927" s="24"/>
      <c r="AE1927" s="24"/>
      <c r="AF1927" s="24"/>
      <c r="AG1927" s="24"/>
      <c r="AH1927" s="24"/>
    </row>
    <row r="1928" spans="1:34" x14ac:dyDescent="0.25">
      <c r="A1928" s="24" t="str">
        <f>HYPERLINK("https://www.cpso.on.ca/DoctorDetails/Rene-Ducharme/0154426-72961","Ducharme, Rene")</f>
        <v>Ducharme, Rene</v>
      </c>
      <c r="B1928" s="25" t="s">
        <v>18223</v>
      </c>
      <c r="C1928" s="24" t="s">
        <v>18224</v>
      </c>
      <c r="D1928" s="24" t="s">
        <v>18225</v>
      </c>
      <c r="E1928" s="24" t="s">
        <v>29</v>
      </c>
      <c r="F1928" s="24" t="s">
        <v>30</v>
      </c>
      <c r="G1928" s="24" t="s">
        <v>813</v>
      </c>
      <c r="H1928" s="24" t="s">
        <v>18226</v>
      </c>
      <c r="I1928" s="24" t="s">
        <v>18227</v>
      </c>
      <c r="J1928" s="24" t="s">
        <v>18228</v>
      </c>
      <c r="K1928" s="24" t="s">
        <v>18229</v>
      </c>
      <c r="L1928" s="24" t="s">
        <v>84</v>
      </c>
      <c r="M1928" s="15" t="s">
        <v>18230</v>
      </c>
      <c r="N1928" s="15" t="s">
        <v>710</v>
      </c>
      <c r="O1928" s="15" t="s">
        <v>817</v>
      </c>
      <c r="P1928" s="15" t="s">
        <v>745</v>
      </c>
      <c r="Q1928" s="15"/>
      <c r="R1928" s="15" t="s">
        <v>18231</v>
      </c>
      <c r="S1928" s="24" t="s">
        <v>39</v>
      </c>
      <c r="T1928" s="24" t="s">
        <v>39</v>
      </c>
      <c r="U1928" s="24" t="s">
        <v>39</v>
      </c>
      <c r="V1928" s="24" t="s">
        <v>39</v>
      </c>
      <c r="W1928" s="24" t="s">
        <v>18232</v>
      </c>
      <c r="X1928" s="24" t="s">
        <v>18233</v>
      </c>
      <c r="Y1928" s="15" t="s">
        <v>18234</v>
      </c>
      <c r="Z1928" s="15" t="s">
        <v>18235</v>
      </c>
      <c r="AA1928" s="24"/>
      <c r="AB1928" s="24"/>
      <c r="AC1928" s="24"/>
      <c r="AD1928" s="24"/>
      <c r="AE1928" s="24"/>
      <c r="AF1928" s="24"/>
      <c r="AG1928" s="24"/>
      <c r="AH1928" s="24"/>
    </row>
    <row r="1929" spans="1:34" ht="75" x14ac:dyDescent="0.25">
      <c r="A1929" s="24" t="str">
        <f>HYPERLINK("https://www.cpso.on.ca/DoctorDetails/Renu-Gupta/0274199-96765","Gupta, Renu")</f>
        <v>Gupta, Renu</v>
      </c>
      <c r="B1929" s="25" t="s">
        <v>18236</v>
      </c>
      <c r="C1929" s="24" t="s">
        <v>3115</v>
      </c>
      <c r="D1929" s="24" t="s">
        <v>18237</v>
      </c>
      <c r="E1929" s="24" t="s">
        <v>29</v>
      </c>
      <c r="F1929" s="24" t="s">
        <v>47</v>
      </c>
      <c r="G1929" s="24" t="s">
        <v>31</v>
      </c>
      <c r="H1929" s="24" t="s">
        <v>18238</v>
      </c>
      <c r="I1929" s="24" t="s">
        <v>18239</v>
      </c>
      <c r="J1929" s="24" t="s">
        <v>18240</v>
      </c>
      <c r="K1929" s="24"/>
      <c r="L1929" s="24" t="s">
        <v>52</v>
      </c>
      <c r="M1929" s="15" t="s">
        <v>18241</v>
      </c>
      <c r="N1929" s="15"/>
      <c r="O1929" s="15" t="s">
        <v>1110</v>
      </c>
      <c r="P1929" s="15" t="s">
        <v>18242</v>
      </c>
      <c r="Q1929" s="15"/>
      <c r="R1929" s="15" t="s">
        <v>18243</v>
      </c>
      <c r="S1929" s="24" t="s">
        <v>71</v>
      </c>
      <c r="T1929" s="24" t="s">
        <v>39</v>
      </c>
      <c r="U1929" s="24" t="s">
        <v>39</v>
      </c>
      <c r="V1929" s="24" t="s">
        <v>39</v>
      </c>
      <c r="W1929" s="24" t="s">
        <v>18244</v>
      </c>
      <c r="X1929" s="24" t="s">
        <v>5304</v>
      </c>
      <c r="Y1929" s="15" t="s">
        <v>18245</v>
      </c>
      <c r="Z1929" s="15" t="s">
        <v>18246</v>
      </c>
      <c r="AA1929" s="24"/>
      <c r="AB1929" s="24"/>
      <c r="AC1929" s="24"/>
      <c r="AD1929" s="24"/>
      <c r="AE1929" s="24"/>
      <c r="AF1929" s="24"/>
      <c r="AG1929" s="24"/>
      <c r="AH1929" s="24"/>
    </row>
    <row r="1930" spans="1:34" ht="45" x14ac:dyDescent="0.25">
      <c r="A1930" s="24" t="str">
        <f>HYPERLINK("https://www.cpso.on.ca/DoctorDetails/Reuben-Arbitman/0017116-21901","Arbitman, Reuben")</f>
        <v>Arbitman, Reuben</v>
      </c>
      <c r="B1930" s="25" t="s">
        <v>18247</v>
      </c>
      <c r="C1930" s="24" t="s">
        <v>18248</v>
      </c>
      <c r="D1930" s="24" t="s">
        <v>18249</v>
      </c>
      <c r="E1930" s="24" t="s">
        <v>29</v>
      </c>
      <c r="F1930" s="24" t="s">
        <v>30</v>
      </c>
      <c r="G1930" s="24" t="s">
        <v>18250</v>
      </c>
      <c r="H1930" s="24" t="s">
        <v>18251</v>
      </c>
      <c r="I1930" s="24" t="s">
        <v>18252</v>
      </c>
      <c r="J1930" s="24" t="s">
        <v>18253</v>
      </c>
      <c r="K1930" s="24" t="s">
        <v>18254</v>
      </c>
      <c r="L1930" s="24" t="s">
        <v>52</v>
      </c>
      <c r="M1930" s="15"/>
      <c r="N1930" s="15"/>
      <c r="O1930" s="15"/>
      <c r="P1930" s="15" t="s">
        <v>4653</v>
      </c>
      <c r="Q1930" s="15"/>
      <c r="R1930" s="15" t="s">
        <v>18255</v>
      </c>
      <c r="S1930" s="24" t="s">
        <v>39</v>
      </c>
      <c r="T1930" s="24" t="s">
        <v>39</v>
      </c>
      <c r="U1930" s="24" t="s">
        <v>39</v>
      </c>
      <c r="V1930" s="24" t="s">
        <v>39</v>
      </c>
      <c r="W1930" s="24"/>
      <c r="X1930" s="24"/>
      <c r="Y1930" s="15"/>
      <c r="Z1930" s="15"/>
      <c r="AA1930" s="24"/>
      <c r="AB1930" s="24"/>
      <c r="AC1930" s="24"/>
      <c r="AD1930" s="24"/>
      <c r="AE1930" s="24"/>
      <c r="AF1930" s="24"/>
      <c r="AG1930" s="24"/>
      <c r="AH1930" s="24"/>
    </row>
    <row r="1931" spans="1:34" x14ac:dyDescent="0.25">
      <c r="A1931" s="24" t="str">
        <f>HYPERLINK("https://www.cpso.on.ca/DoctorDetails/Rhodri-Evans/0197340-78506","Evans, Rhodri")</f>
        <v>Evans, Rhodri</v>
      </c>
      <c r="B1931" s="25" t="s">
        <v>18256</v>
      </c>
      <c r="C1931" s="24" t="s">
        <v>18257</v>
      </c>
      <c r="D1931" s="24" t="s">
        <v>18258</v>
      </c>
      <c r="E1931" s="24" t="s">
        <v>29</v>
      </c>
      <c r="F1931" s="24" t="s">
        <v>30</v>
      </c>
      <c r="G1931" s="24" t="s">
        <v>31</v>
      </c>
      <c r="H1931" s="24" t="s">
        <v>18259</v>
      </c>
      <c r="I1931" s="24" t="s">
        <v>18260</v>
      </c>
      <c r="J1931" s="24" t="s">
        <v>18261</v>
      </c>
      <c r="K1931" s="24" t="s">
        <v>18262</v>
      </c>
      <c r="L1931" s="24" t="s">
        <v>184</v>
      </c>
      <c r="M1931" s="15" t="s">
        <v>18263</v>
      </c>
      <c r="N1931" s="15"/>
      <c r="O1931" s="15"/>
      <c r="P1931" s="15" t="s">
        <v>1877</v>
      </c>
      <c r="Q1931" s="15" t="s">
        <v>18264</v>
      </c>
      <c r="R1931" s="15" t="s">
        <v>18265</v>
      </c>
      <c r="S1931" s="24" t="s">
        <v>39</v>
      </c>
      <c r="T1931" s="24" t="s">
        <v>39</v>
      </c>
      <c r="U1931" s="24" t="s">
        <v>39</v>
      </c>
      <c r="V1931" s="24" t="s">
        <v>39</v>
      </c>
      <c r="W1931" s="24" t="s">
        <v>18266</v>
      </c>
      <c r="X1931" s="24" t="s">
        <v>18267</v>
      </c>
      <c r="Y1931" s="15" t="s">
        <v>18268</v>
      </c>
      <c r="Z1931" s="15" t="s">
        <v>18269</v>
      </c>
      <c r="AA1931" s="24"/>
      <c r="AB1931" s="24"/>
      <c r="AC1931" s="24"/>
      <c r="AD1931" s="24"/>
      <c r="AE1931" s="24"/>
      <c r="AF1931" s="24"/>
      <c r="AG1931" s="24"/>
      <c r="AH1931" s="24"/>
    </row>
    <row r="1932" spans="1:34" ht="45" x14ac:dyDescent="0.25">
      <c r="A1932" s="24" t="str">
        <f>HYPERLINK("https://www.cpso.on.ca/DoctorDetails/Rhonda-Marie-Vardy/0047057-61035","Vardy, Rhonda Marie")</f>
        <v>Vardy, Rhonda Marie</v>
      </c>
      <c r="B1932" s="25" t="s">
        <v>18270</v>
      </c>
      <c r="C1932" s="24" t="s">
        <v>18271</v>
      </c>
      <c r="D1932" s="24" t="s">
        <v>18272</v>
      </c>
      <c r="E1932" s="24" t="s">
        <v>29</v>
      </c>
      <c r="F1932" s="24" t="s">
        <v>47</v>
      </c>
      <c r="G1932" s="24" t="s">
        <v>31</v>
      </c>
      <c r="H1932" s="24" t="s">
        <v>18273</v>
      </c>
      <c r="I1932" s="24" t="s">
        <v>18274</v>
      </c>
      <c r="J1932" s="24" t="s">
        <v>18275</v>
      </c>
      <c r="K1932" s="24" t="s">
        <v>18276</v>
      </c>
      <c r="L1932" s="24" t="s">
        <v>36</v>
      </c>
      <c r="M1932" s="15"/>
      <c r="N1932" s="15"/>
      <c r="O1932" s="15" t="s">
        <v>867</v>
      </c>
      <c r="P1932" s="15" t="s">
        <v>15058</v>
      </c>
      <c r="Q1932" s="15"/>
      <c r="R1932" s="15" t="s">
        <v>18277</v>
      </c>
      <c r="S1932" s="24" t="s">
        <v>39</v>
      </c>
      <c r="T1932" s="24" t="s">
        <v>39</v>
      </c>
      <c r="U1932" s="24" t="s">
        <v>39</v>
      </c>
      <c r="V1932" s="24" t="s">
        <v>39</v>
      </c>
      <c r="W1932" s="24" t="s">
        <v>18278</v>
      </c>
      <c r="X1932" s="24" t="s">
        <v>7634</v>
      </c>
      <c r="Y1932" s="15" t="s">
        <v>18279</v>
      </c>
      <c r="Z1932" s="15" t="s">
        <v>18280</v>
      </c>
      <c r="AA1932" s="24"/>
      <c r="AB1932" s="24"/>
      <c r="AC1932" s="24"/>
      <c r="AD1932" s="24"/>
      <c r="AE1932" s="24"/>
      <c r="AF1932" s="24"/>
      <c r="AG1932" s="24"/>
      <c r="AH1932" s="24"/>
    </row>
    <row r="1933" spans="1:34" ht="45" x14ac:dyDescent="0.25">
      <c r="A1933" s="24" t="str">
        <f>HYPERLINK("https://www.cpso.on.ca/DoctorDetails/Richard-Bergeron/0046040-60018","Bergeron, Richard")</f>
        <v>Bergeron, Richard</v>
      </c>
      <c r="B1933" s="25" t="s">
        <v>18281</v>
      </c>
      <c r="C1933" s="24" t="s">
        <v>18282</v>
      </c>
      <c r="D1933" s="24" t="s">
        <v>18283</v>
      </c>
      <c r="E1933" s="24" t="s">
        <v>29</v>
      </c>
      <c r="F1933" s="24" t="s">
        <v>30</v>
      </c>
      <c r="G1933" s="24" t="s">
        <v>813</v>
      </c>
      <c r="H1933" s="24" t="s">
        <v>18284</v>
      </c>
      <c r="I1933" s="24" t="s">
        <v>18285</v>
      </c>
      <c r="J1933" s="24" t="s">
        <v>18286</v>
      </c>
      <c r="K1933" s="24" t="s">
        <v>18287</v>
      </c>
      <c r="L1933" s="24" t="s">
        <v>84</v>
      </c>
      <c r="M1933" s="15"/>
      <c r="N1933" s="15" t="s">
        <v>710</v>
      </c>
      <c r="O1933" s="15"/>
      <c r="P1933" s="15" t="s">
        <v>6038</v>
      </c>
      <c r="Q1933" s="15"/>
      <c r="R1933" s="15" t="s">
        <v>18288</v>
      </c>
      <c r="S1933" s="24" t="s">
        <v>39</v>
      </c>
      <c r="T1933" s="24" t="s">
        <v>39</v>
      </c>
      <c r="U1933" s="24" t="s">
        <v>39</v>
      </c>
      <c r="V1933" s="24" t="s">
        <v>39</v>
      </c>
      <c r="W1933" s="24"/>
      <c r="X1933" s="24"/>
      <c r="Y1933" s="15"/>
      <c r="Z1933" s="15"/>
      <c r="AA1933" s="24"/>
      <c r="AB1933" s="24"/>
      <c r="AC1933" s="24"/>
      <c r="AD1933" s="24"/>
      <c r="AE1933" s="24"/>
      <c r="AF1933" s="24"/>
      <c r="AG1933" s="24"/>
      <c r="AH1933" s="24"/>
    </row>
    <row r="1934" spans="1:34" ht="105" x14ac:dyDescent="0.25">
      <c r="A1934" s="24" t="str">
        <f>HYPERLINK("https://www.cpso.on.ca/DoctorDetails/Richard-Case-Millson/0025989-30812","Millson, Richard Case")</f>
        <v>Millson, Richard Case</v>
      </c>
      <c r="B1934" s="25" t="s">
        <v>18289</v>
      </c>
      <c r="C1934" s="24" t="s">
        <v>3962</v>
      </c>
      <c r="D1934" s="24" t="s">
        <v>3963</v>
      </c>
      <c r="E1934" s="24" t="s">
        <v>29</v>
      </c>
      <c r="F1934" s="24" t="s">
        <v>30</v>
      </c>
      <c r="G1934" s="24" t="s">
        <v>31</v>
      </c>
      <c r="H1934" s="24" t="s">
        <v>18290</v>
      </c>
      <c r="I1934" s="24" t="s">
        <v>18291</v>
      </c>
      <c r="J1934" s="24" t="s">
        <v>18292</v>
      </c>
      <c r="K1934" s="24" t="s">
        <v>18293</v>
      </c>
      <c r="L1934" s="24" t="s">
        <v>340</v>
      </c>
      <c r="M1934" s="15" t="s">
        <v>18294</v>
      </c>
      <c r="N1934" s="15"/>
      <c r="O1934" s="15" t="s">
        <v>1122</v>
      </c>
      <c r="P1934" s="15" t="s">
        <v>7499</v>
      </c>
      <c r="Q1934" s="15"/>
      <c r="R1934" s="15" t="s">
        <v>18295</v>
      </c>
      <c r="S1934" s="24" t="s">
        <v>39</v>
      </c>
      <c r="T1934" s="24" t="s">
        <v>39</v>
      </c>
      <c r="U1934" s="24" t="s">
        <v>39</v>
      </c>
      <c r="V1934" s="24" t="s">
        <v>39</v>
      </c>
      <c r="W1934" s="24"/>
      <c r="X1934" s="24"/>
      <c r="Y1934" s="15"/>
      <c r="Z1934" s="15"/>
      <c r="AA1934" s="24"/>
      <c r="AB1934" s="24"/>
      <c r="AC1934" s="24"/>
      <c r="AD1934" s="24"/>
      <c r="AE1934" s="24"/>
      <c r="AF1934" s="24"/>
      <c r="AG1934" s="24"/>
      <c r="AH1934" s="24"/>
    </row>
    <row r="1935" spans="1:34" x14ac:dyDescent="0.25">
      <c r="A1935" s="24" t="str">
        <f>HYPERLINK("https://www.cpso.on.ca/DoctorDetails/Richard-Charles-Spees/0028543-33366","Spees, Richard Charles")</f>
        <v>Spees, Richard Charles</v>
      </c>
      <c r="B1935" s="25" t="s">
        <v>18296</v>
      </c>
      <c r="C1935" s="24" t="s">
        <v>18297</v>
      </c>
      <c r="D1935" s="24" t="s">
        <v>18298</v>
      </c>
      <c r="E1935" s="24" t="s">
        <v>29</v>
      </c>
      <c r="F1935" s="24" t="s">
        <v>30</v>
      </c>
      <c r="G1935" s="24" t="s">
        <v>2047</v>
      </c>
      <c r="H1935" s="24" t="s">
        <v>9168</v>
      </c>
      <c r="I1935" s="24" t="s">
        <v>18299</v>
      </c>
      <c r="J1935" s="24" t="s">
        <v>18300</v>
      </c>
      <c r="K1935" s="24" t="s">
        <v>18301</v>
      </c>
      <c r="L1935" s="24" t="s">
        <v>84</v>
      </c>
      <c r="M1935" s="15"/>
      <c r="N1935" s="15"/>
      <c r="O1935" s="15"/>
      <c r="P1935" s="15" t="s">
        <v>2985</v>
      </c>
      <c r="Q1935" s="15"/>
      <c r="R1935" s="15" t="s">
        <v>18302</v>
      </c>
      <c r="S1935" s="24" t="s">
        <v>39</v>
      </c>
      <c r="T1935" s="24" t="s">
        <v>39</v>
      </c>
      <c r="U1935" s="24" t="s">
        <v>39</v>
      </c>
      <c r="V1935" s="24" t="s">
        <v>39</v>
      </c>
      <c r="W1935" s="24" t="s">
        <v>18303</v>
      </c>
      <c r="X1935" s="24" t="s">
        <v>18304</v>
      </c>
      <c r="Y1935" s="15" t="s">
        <v>18305</v>
      </c>
      <c r="Z1935" s="15" t="s">
        <v>18306</v>
      </c>
      <c r="AA1935" s="24"/>
      <c r="AB1935" s="24"/>
      <c r="AC1935" s="24"/>
      <c r="AD1935" s="24"/>
      <c r="AE1935" s="24"/>
      <c r="AF1935" s="24"/>
      <c r="AG1935" s="24"/>
      <c r="AH1935" s="24"/>
    </row>
    <row r="1936" spans="1:34" ht="30" x14ac:dyDescent="0.25">
      <c r="A1936" s="24" t="str">
        <f>HYPERLINK("https://www.cpso.on.ca/DoctorDetails/Richard-Douglas-Lamon/0017203-21989","Lamon, Richard Douglas")</f>
        <v>Lamon, Richard Douglas</v>
      </c>
      <c r="B1936" s="25" t="s">
        <v>18307</v>
      </c>
      <c r="C1936" s="24" t="s">
        <v>18308</v>
      </c>
      <c r="D1936" s="24" t="s">
        <v>18309</v>
      </c>
      <c r="E1936" s="24" t="s">
        <v>29</v>
      </c>
      <c r="F1936" s="24" t="s">
        <v>30</v>
      </c>
      <c r="G1936" s="24" t="s">
        <v>31</v>
      </c>
      <c r="H1936" s="24" t="s">
        <v>18310</v>
      </c>
      <c r="I1936" s="24" t="s">
        <v>18311</v>
      </c>
      <c r="J1936" s="24" t="s">
        <v>18312</v>
      </c>
      <c r="K1936" s="24" t="s">
        <v>18313</v>
      </c>
      <c r="L1936" s="24" t="s">
        <v>52</v>
      </c>
      <c r="M1936" s="15"/>
      <c r="N1936" s="15"/>
      <c r="O1936" s="15"/>
      <c r="P1936" s="15" t="s">
        <v>5785</v>
      </c>
      <c r="Q1936" s="15"/>
      <c r="R1936" s="15" t="s">
        <v>18314</v>
      </c>
      <c r="S1936" s="24" t="s">
        <v>39</v>
      </c>
      <c r="T1936" s="24" t="s">
        <v>39</v>
      </c>
      <c r="U1936" s="24" t="s">
        <v>39</v>
      </c>
      <c r="V1936" s="24" t="s">
        <v>39</v>
      </c>
      <c r="W1936" s="24"/>
      <c r="X1936" s="24"/>
      <c r="Y1936" s="15"/>
      <c r="Z1936" s="15"/>
      <c r="AA1936" s="24"/>
      <c r="AB1936" s="24"/>
      <c r="AC1936" s="24"/>
      <c r="AD1936" s="24"/>
      <c r="AE1936" s="24"/>
      <c r="AF1936" s="24"/>
      <c r="AG1936" s="24"/>
      <c r="AH1936" s="24"/>
    </row>
    <row r="1937" spans="1:34" ht="135" x14ac:dyDescent="0.25">
      <c r="A1937" s="24" t="str">
        <f>HYPERLINK("https://www.cpso.on.ca/DoctorDetails/Richard-Frank-WhittenStovall/0259607-92734","Whitten-Stovall, Richard Frank")</f>
        <v>Whitten-Stovall, Richard Frank</v>
      </c>
      <c r="B1937" s="25" t="s">
        <v>18315</v>
      </c>
      <c r="C1937" s="24" t="s">
        <v>18316</v>
      </c>
      <c r="D1937" s="24" t="s">
        <v>18317</v>
      </c>
      <c r="E1937" s="24" t="s">
        <v>29</v>
      </c>
      <c r="F1937" s="24" t="s">
        <v>30</v>
      </c>
      <c r="G1937" s="24" t="s">
        <v>31</v>
      </c>
      <c r="H1937" s="24" t="s">
        <v>18318</v>
      </c>
      <c r="I1937" s="24" t="s">
        <v>18319</v>
      </c>
      <c r="J1937" s="24" t="s">
        <v>18320</v>
      </c>
      <c r="K1937" s="24"/>
      <c r="L1937" s="24" t="s">
        <v>52</v>
      </c>
      <c r="M1937" s="15"/>
      <c r="N1937" s="15" t="s">
        <v>18321</v>
      </c>
      <c r="O1937" s="15"/>
      <c r="P1937" s="15" t="s">
        <v>18322</v>
      </c>
      <c r="Q1937" s="15"/>
      <c r="R1937" s="15" t="s">
        <v>18323</v>
      </c>
      <c r="S1937" s="24" t="s">
        <v>71</v>
      </c>
      <c r="T1937" s="24" t="s">
        <v>39</v>
      </c>
      <c r="U1937" s="24" t="s">
        <v>39</v>
      </c>
      <c r="V1937" s="24" t="s">
        <v>39</v>
      </c>
      <c r="W1937" s="24"/>
      <c r="X1937" s="24"/>
      <c r="Y1937" s="15"/>
      <c r="Z1937" s="15"/>
      <c r="AA1937" s="24"/>
      <c r="AB1937" s="24"/>
      <c r="AC1937" s="24"/>
      <c r="AD1937" s="24"/>
      <c r="AE1937" s="24"/>
      <c r="AF1937" s="24"/>
      <c r="AG1937" s="24"/>
      <c r="AH1937" s="24"/>
    </row>
    <row r="1938" spans="1:34" ht="165" x14ac:dyDescent="0.25">
      <c r="A1938" s="24" t="str">
        <f>HYPERLINK("https://www.cpso.on.ca/DoctorDetails/Richard-Fredrick-Gorman/0021660-26449","Gorman, Richard Fredrick")</f>
        <v>Gorman, Richard Fredrick</v>
      </c>
      <c r="B1938" s="25" t="s">
        <v>18324</v>
      </c>
      <c r="C1938" s="24" t="s">
        <v>18325</v>
      </c>
      <c r="D1938" s="24" t="s">
        <v>18326</v>
      </c>
      <c r="E1938" s="24" t="s">
        <v>29</v>
      </c>
      <c r="F1938" s="24" t="s">
        <v>30</v>
      </c>
      <c r="G1938" s="24" t="s">
        <v>31</v>
      </c>
      <c r="H1938" s="24" t="s">
        <v>6561</v>
      </c>
      <c r="I1938" s="24" t="s">
        <v>2632</v>
      </c>
      <c r="J1938" s="24" t="s">
        <v>18327</v>
      </c>
      <c r="K1938" s="24" t="s">
        <v>18328</v>
      </c>
      <c r="L1938" s="24" t="s">
        <v>52</v>
      </c>
      <c r="M1938" s="15"/>
      <c r="N1938" s="15"/>
      <c r="O1938" s="15"/>
      <c r="P1938" s="15" t="s">
        <v>18184</v>
      </c>
      <c r="Q1938" s="15"/>
      <c r="R1938" s="15" t="s">
        <v>18329</v>
      </c>
      <c r="S1938" s="24" t="s">
        <v>71</v>
      </c>
      <c r="T1938" s="24" t="s">
        <v>71</v>
      </c>
      <c r="U1938" s="24" t="s">
        <v>39</v>
      </c>
      <c r="V1938" s="24" t="s">
        <v>39</v>
      </c>
      <c r="W1938" s="24" t="s">
        <v>18330</v>
      </c>
      <c r="X1938" s="24" t="s">
        <v>18331</v>
      </c>
      <c r="Y1938" s="15" t="s">
        <v>18332</v>
      </c>
      <c r="Z1938" s="15" t="s">
        <v>18333</v>
      </c>
      <c r="AA1938" s="24"/>
      <c r="AB1938" s="24"/>
      <c r="AC1938" s="24"/>
      <c r="AD1938" s="24"/>
      <c r="AE1938" s="24"/>
      <c r="AF1938" s="24"/>
      <c r="AG1938" s="24"/>
      <c r="AH1938" s="24"/>
    </row>
    <row r="1939" spans="1:34" ht="60" x14ac:dyDescent="0.25">
      <c r="A1939" s="24" t="str">
        <f>HYPERLINK("https://www.cpso.on.ca/DoctorDetails/Richard-Harold-Levine/0027639-32462","Levine, Richard Harold")</f>
        <v>Levine, Richard Harold</v>
      </c>
      <c r="B1939" s="25" t="s">
        <v>18334</v>
      </c>
      <c r="C1939" s="24" t="s">
        <v>18335</v>
      </c>
      <c r="D1939" s="24" t="s">
        <v>18336</v>
      </c>
      <c r="E1939" s="24" t="s">
        <v>29</v>
      </c>
      <c r="F1939" s="24" t="s">
        <v>30</v>
      </c>
      <c r="G1939" s="24" t="s">
        <v>31</v>
      </c>
      <c r="H1939" s="24" t="s">
        <v>7150</v>
      </c>
      <c r="I1939" s="24" t="s">
        <v>18337</v>
      </c>
      <c r="J1939" s="24" t="s">
        <v>18338</v>
      </c>
      <c r="K1939" s="24" t="s">
        <v>18338</v>
      </c>
      <c r="L1939" s="24" t="s">
        <v>84</v>
      </c>
      <c r="M1939" s="15"/>
      <c r="N1939" s="15"/>
      <c r="O1939" s="15"/>
      <c r="P1939" s="15" t="s">
        <v>5827</v>
      </c>
      <c r="Q1939" s="15"/>
      <c r="R1939" s="15" t="s">
        <v>18339</v>
      </c>
      <c r="S1939" s="24" t="s">
        <v>39</v>
      </c>
      <c r="T1939" s="24" t="s">
        <v>39</v>
      </c>
      <c r="U1939" s="24" t="s">
        <v>39</v>
      </c>
      <c r="V1939" s="24" t="s">
        <v>39</v>
      </c>
      <c r="W1939" s="24" t="s">
        <v>18340</v>
      </c>
      <c r="X1939" s="24" t="s">
        <v>18341</v>
      </c>
      <c r="Y1939" s="15" t="s">
        <v>18342</v>
      </c>
      <c r="Z1939" s="15" t="s">
        <v>18343</v>
      </c>
      <c r="AA1939" s="24"/>
      <c r="AB1939" s="24"/>
      <c r="AC1939" s="24"/>
      <c r="AD1939" s="24"/>
      <c r="AE1939" s="24"/>
      <c r="AF1939" s="24"/>
      <c r="AG1939" s="24"/>
      <c r="AH1939" s="24"/>
    </row>
    <row r="1940" spans="1:34" x14ac:dyDescent="0.25">
      <c r="A1940" s="24" t="str">
        <f>HYPERLINK("https://www.cpso.on.ca/DoctorDetails/Richard-Ian-Hershberg/0027142-31965","Hershberg, Richard Ian")</f>
        <v>Hershberg, Richard Ian</v>
      </c>
      <c r="B1940" s="25" t="s">
        <v>18344</v>
      </c>
      <c r="C1940" s="24" t="s">
        <v>18345</v>
      </c>
      <c r="D1940" s="24" t="s">
        <v>18346</v>
      </c>
      <c r="E1940" s="24" t="s">
        <v>29</v>
      </c>
      <c r="F1940" s="24" t="s">
        <v>30</v>
      </c>
      <c r="G1940" s="24" t="s">
        <v>31</v>
      </c>
      <c r="H1940" s="24" t="s">
        <v>11232</v>
      </c>
      <c r="I1940" s="24" t="s">
        <v>18347</v>
      </c>
      <c r="J1940" s="24" t="s">
        <v>18348</v>
      </c>
      <c r="K1940" s="24" t="s">
        <v>18349</v>
      </c>
      <c r="L1940" s="24" t="s">
        <v>52</v>
      </c>
      <c r="M1940" s="15" t="s">
        <v>18350</v>
      </c>
      <c r="N1940" s="15"/>
      <c r="O1940" s="15" t="s">
        <v>18351</v>
      </c>
      <c r="P1940" s="15" t="s">
        <v>7499</v>
      </c>
      <c r="Q1940" s="15"/>
      <c r="R1940" s="15" t="s">
        <v>18352</v>
      </c>
      <c r="S1940" s="24" t="s">
        <v>39</v>
      </c>
      <c r="T1940" s="24" t="s">
        <v>39</v>
      </c>
      <c r="U1940" s="24" t="s">
        <v>39</v>
      </c>
      <c r="V1940" s="24" t="s">
        <v>39</v>
      </c>
      <c r="W1940" s="24"/>
      <c r="X1940" s="24"/>
      <c r="Y1940" s="15"/>
      <c r="Z1940" s="15"/>
      <c r="AA1940" s="24"/>
      <c r="AB1940" s="24"/>
      <c r="AC1940" s="24"/>
      <c r="AD1940" s="24"/>
      <c r="AE1940" s="24"/>
      <c r="AF1940" s="24"/>
      <c r="AG1940" s="24"/>
      <c r="AH1940" s="24"/>
    </row>
    <row r="1941" spans="1:34" ht="30" x14ac:dyDescent="0.25">
      <c r="A1941" s="24" t="str">
        <f>HYPERLINK("https://www.cpso.on.ca/DoctorDetails/Richard-Joel-Stall/0045163-59141","Stall, Richard Joel")</f>
        <v>Stall, Richard Joel</v>
      </c>
      <c r="B1941" s="25" t="s">
        <v>18353</v>
      </c>
      <c r="C1941" s="24" t="s">
        <v>18354</v>
      </c>
      <c r="D1941" s="24" t="s">
        <v>18355</v>
      </c>
      <c r="E1941" s="24" t="s">
        <v>29</v>
      </c>
      <c r="F1941" s="24" t="s">
        <v>30</v>
      </c>
      <c r="G1941" s="24" t="s">
        <v>31</v>
      </c>
      <c r="H1941" s="24" t="s">
        <v>11960</v>
      </c>
      <c r="I1941" s="24" t="s">
        <v>13788</v>
      </c>
      <c r="J1941" s="24" t="s">
        <v>18356</v>
      </c>
      <c r="K1941" s="24" t="s">
        <v>4720</v>
      </c>
      <c r="L1941" s="24" t="s">
        <v>52</v>
      </c>
      <c r="M1941" s="15" t="s">
        <v>18357</v>
      </c>
      <c r="N1941" s="15" t="s">
        <v>735</v>
      </c>
      <c r="O1941" s="15" t="s">
        <v>271</v>
      </c>
      <c r="P1941" s="15" t="s">
        <v>18358</v>
      </c>
      <c r="Q1941" s="15" t="s">
        <v>18359</v>
      </c>
      <c r="R1941" s="15" t="s">
        <v>18360</v>
      </c>
      <c r="S1941" s="24" t="s">
        <v>39</v>
      </c>
      <c r="T1941" s="24" t="s">
        <v>39</v>
      </c>
      <c r="U1941" s="24" t="s">
        <v>39</v>
      </c>
      <c r="V1941" s="24" t="s">
        <v>39</v>
      </c>
      <c r="W1941" s="24" t="s">
        <v>18361</v>
      </c>
      <c r="X1941" s="24" t="s">
        <v>18362</v>
      </c>
      <c r="Y1941" s="15" t="s">
        <v>18363</v>
      </c>
      <c r="Z1941" s="15" t="s">
        <v>18364</v>
      </c>
      <c r="AA1941" s="24"/>
      <c r="AB1941" s="24"/>
      <c r="AC1941" s="24"/>
      <c r="AD1941" s="24"/>
      <c r="AE1941" s="24"/>
      <c r="AF1941" s="24"/>
      <c r="AG1941" s="24"/>
      <c r="AH1941" s="24"/>
    </row>
    <row r="1942" spans="1:34" ht="75" x14ac:dyDescent="0.25">
      <c r="A1942" s="24" t="str">
        <f>HYPERLINK("https://www.cpso.on.ca/DoctorDetails/Richard-John-Owen/0241092-87593","Owen, Richard John")</f>
        <v>Owen, Richard John</v>
      </c>
      <c r="B1942" s="25" t="s">
        <v>18365</v>
      </c>
      <c r="C1942" s="24" t="s">
        <v>16753</v>
      </c>
      <c r="D1942" s="24" t="s">
        <v>18366</v>
      </c>
      <c r="E1942" s="24" t="s">
        <v>29</v>
      </c>
      <c r="F1942" s="24" t="s">
        <v>30</v>
      </c>
      <c r="G1942" s="24" t="s">
        <v>31</v>
      </c>
      <c r="H1942" s="24" t="s">
        <v>18367</v>
      </c>
      <c r="I1942" s="24" t="s">
        <v>18368</v>
      </c>
      <c r="J1942" s="24" t="s">
        <v>18369</v>
      </c>
      <c r="K1942" s="24" t="s">
        <v>4969</v>
      </c>
      <c r="L1942" s="24" t="s">
        <v>135</v>
      </c>
      <c r="M1942" s="15"/>
      <c r="N1942" s="15"/>
      <c r="O1942" s="15" t="s">
        <v>913</v>
      </c>
      <c r="P1942" s="15" t="s">
        <v>18370</v>
      </c>
      <c r="Q1942" s="15"/>
      <c r="R1942" s="15" t="s">
        <v>18371</v>
      </c>
      <c r="S1942" s="24" t="s">
        <v>71</v>
      </c>
      <c r="T1942" s="24" t="s">
        <v>39</v>
      </c>
      <c r="U1942" s="24" t="s">
        <v>39</v>
      </c>
      <c r="V1942" s="24" t="s">
        <v>39</v>
      </c>
      <c r="W1942" s="24" t="s">
        <v>18372</v>
      </c>
      <c r="X1942" s="24" t="s">
        <v>18373</v>
      </c>
      <c r="Y1942" s="15" t="s">
        <v>18374</v>
      </c>
      <c r="Z1942" s="15" t="s">
        <v>18375</v>
      </c>
      <c r="AA1942" s="24"/>
      <c r="AB1942" s="24"/>
      <c r="AC1942" s="24"/>
      <c r="AD1942" s="24"/>
      <c r="AE1942" s="24"/>
      <c r="AF1942" s="24"/>
      <c r="AG1942" s="24"/>
      <c r="AH1942" s="24"/>
    </row>
    <row r="1943" spans="1:34" x14ac:dyDescent="0.25">
      <c r="A1943" s="24" t="str">
        <f>HYPERLINK("https://www.cpso.on.ca/DoctorDetails/Richard-Joseph-Doan/0050342-64321","Doan, Richard Joseph")</f>
        <v>Doan, Richard Joseph</v>
      </c>
      <c r="B1943" s="25" t="s">
        <v>18376</v>
      </c>
      <c r="C1943" s="24" t="s">
        <v>10560</v>
      </c>
      <c r="D1943" s="24" t="s">
        <v>18377</v>
      </c>
      <c r="E1943" s="24" t="s">
        <v>29</v>
      </c>
      <c r="F1943" s="24" t="s">
        <v>30</v>
      </c>
      <c r="G1943" s="24" t="s">
        <v>31</v>
      </c>
      <c r="H1943" s="24" t="s">
        <v>18378</v>
      </c>
      <c r="I1943" s="24" t="s">
        <v>18379</v>
      </c>
      <c r="J1943" s="24" t="s">
        <v>18380</v>
      </c>
      <c r="K1943" s="24" t="s">
        <v>18381</v>
      </c>
      <c r="L1943" s="24" t="s">
        <v>52</v>
      </c>
      <c r="M1943" s="15"/>
      <c r="N1943" s="15"/>
      <c r="O1943" s="15" t="s">
        <v>219</v>
      </c>
      <c r="P1943" s="15" t="s">
        <v>2470</v>
      </c>
      <c r="Q1943" s="15"/>
      <c r="R1943" s="15" t="s">
        <v>18382</v>
      </c>
      <c r="S1943" s="24" t="s">
        <v>39</v>
      </c>
      <c r="T1943" s="24" t="s">
        <v>39</v>
      </c>
      <c r="U1943" s="24" t="s">
        <v>39</v>
      </c>
      <c r="V1943" s="24" t="s">
        <v>39</v>
      </c>
      <c r="W1943" s="24" t="s">
        <v>18383</v>
      </c>
      <c r="X1943" s="24" t="s">
        <v>18384</v>
      </c>
      <c r="Y1943" s="15" t="s">
        <v>18385</v>
      </c>
      <c r="Z1943" s="15" t="s">
        <v>18386</v>
      </c>
      <c r="AA1943" s="24"/>
      <c r="AB1943" s="24"/>
      <c r="AC1943" s="24"/>
      <c r="AD1943" s="24"/>
      <c r="AE1943" s="24"/>
      <c r="AF1943" s="24"/>
      <c r="AG1943" s="24"/>
      <c r="AH1943" s="24"/>
    </row>
    <row r="1944" spans="1:34" ht="105" x14ac:dyDescent="0.25">
      <c r="A1944" s="24" t="str">
        <f>HYPERLINK("https://www.cpso.on.ca/DoctorDetails/Richard-Joseph-Yanofsky/0258433-91061","Yanofsky, Richard Joseph")</f>
        <v>Yanofsky, Richard Joseph</v>
      </c>
      <c r="B1944" s="25" t="s">
        <v>18387</v>
      </c>
      <c r="C1944" s="24" t="s">
        <v>442</v>
      </c>
      <c r="D1944" s="24" t="s">
        <v>443</v>
      </c>
      <c r="E1944" s="24" t="s">
        <v>29</v>
      </c>
      <c r="F1944" s="24" t="s">
        <v>30</v>
      </c>
      <c r="G1944" s="24" t="s">
        <v>813</v>
      </c>
      <c r="H1944" s="24" t="s">
        <v>6625</v>
      </c>
      <c r="I1944" s="24" t="s">
        <v>18388</v>
      </c>
      <c r="J1944" s="24" t="s">
        <v>18389</v>
      </c>
      <c r="K1944" s="24"/>
      <c r="L1944" s="24" t="s">
        <v>52</v>
      </c>
      <c r="M1944" s="15"/>
      <c r="N1944" s="15"/>
      <c r="O1944" s="15" t="s">
        <v>1867</v>
      </c>
      <c r="P1944" s="15" t="s">
        <v>449</v>
      </c>
      <c r="Q1944" s="15" t="s">
        <v>18390</v>
      </c>
      <c r="R1944" s="15" t="s">
        <v>451</v>
      </c>
      <c r="S1944" s="24" t="s">
        <v>39</v>
      </c>
      <c r="T1944" s="24" t="s">
        <v>39</v>
      </c>
      <c r="U1944" s="24" t="s">
        <v>39</v>
      </c>
      <c r="V1944" s="24" t="s">
        <v>39</v>
      </c>
      <c r="W1944" s="24"/>
      <c r="X1944" s="24"/>
      <c r="Y1944" s="15"/>
      <c r="Z1944" s="15"/>
      <c r="AA1944" s="24"/>
      <c r="AB1944" s="24"/>
      <c r="AC1944" s="24"/>
      <c r="AD1944" s="24"/>
      <c r="AE1944" s="24"/>
      <c r="AF1944" s="24"/>
      <c r="AG1944" s="24"/>
      <c r="AH1944" s="24"/>
    </row>
    <row r="1945" spans="1:34" ht="45" x14ac:dyDescent="0.25">
      <c r="A1945" s="24" t="str">
        <f>HYPERLINK("https://www.cpso.on.ca/DoctorDetails/Richard-Lawrence-OReilly/0040890-54866","O'Reilly, Richard Lawrence")</f>
        <v>O'Reilly, Richard Lawrence</v>
      </c>
      <c r="B1945" s="25" t="s">
        <v>18391</v>
      </c>
      <c r="C1945" s="24" t="s">
        <v>18392</v>
      </c>
      <c r="D1945" s="24" t="s">
        <v>7054</v>
      </c>
      <c r="E1945" s="24" t="s">
        <v>29</v>
      </c>
      <c r="F1945" s="24" t="s">
        <v>30</v>
      </c>
      <c r="G1945" s="24" t="s">
        <v>31</v>
      </c>
      <c r="H1945" s="24" t="s">
        <v>1920</v>
      </c>
      <c r="I1945" s="24" t="s">
        <v>18393</v>
      </c>
      <c r="J1945" s="24" t="s">
        <v>18394</v>
      </c>
      <c r="K1945" s="24" t="s">
        <v>5504</v>
      </c>
      <c r="L1945" s="24" t="s">
        <v>135</v>
      </c>
      <c r="M1945" s="15"/>
      <c r="N1945" s="15"/>
      <c r="O1945" s="15" t="s">
        <v>18395</v>
      </c>
      <c r="P1945" s="15" t="s">
        <v>3443</v>
      </c>
      <c r="Q1945" s="15"/>
      <c r="R1945" s="15" t="s">
        <v>18396</v>
      </c>
      <c r="S1945" s="24" t="s">
        <v>39</v>
      </c>
      <c r="T1945" s="24" t="s">
        <v>39</v>
      </c>
      <c r="U1945" s="24" t="s">
        <v>39</v>
      </c>
      <c r="V1945" s="24" t="s">
        <v>39</v>
      </c>
      <c r="W1945" s="24" t="s">
        <v>18397</v>
      </c>
      <c r="X1945" s="24" t="s">
        <v>10513</v>
      </c>
      <c r="Y1945" s="15" t="s">
        <v>18398</v>
      </c>
      <c r="Z1945" s="15" t="s">
        <v>18399</v>
      </c>
      <c r="AA1945" s="24"/>
      <c r="AB1945" s="24"/>
      <c r="AC1945" s="24"/>
      <c r="AD1945" s="24"/>
      <c r="AE1945" s="24"/>
      <c r="AF1945" s="24"/>
      <c r="AG1945" s="24"/>
      <c r="AH1945" s="24"/>
    </row>
    <row r="1946" spans="1:34" x14ac:dyDescent="0.25">
      <c r="A1946" s="24" t="str">
        <f>HYPERLINK("https://www.cpso.on.ca/DoctorDetails/Richard-Meen/0014485-19268","Meen, Richard")</f>
        <v>Meen, Richard</v>
      </c>
      <c r="B1946" s="25" t="s">
        <v>18400</v>
      </c>
      <c r="C1946" s="24" t="s">
        <v>16891</v>
      </c>
      <c r="D1946" s="24" t="s">
        <v>16892</v>
      </c>
      <c r="E1946" s="24" t="s">
        <v>29</v>
      </c>
      <c r="F1946" s="24" t="s">
        <v>30</v>
      </c>
      <c r="G1946" s="24" t="s">
        <v>31</v>
      </c>
      <c r="H1946" s="24" t="s">
        <v>18401</v>
      </c>
      <c r="I1946" s="24" t="s">
        <v>18402</v>
      </c>
      <c r="J1946" s="24" t="s">
        <v>18403</v>
      </c>
      <c r="K1946" s="24"/>
      <c r="L1946" s="24" t="s">
        <v>52</v>
      </c>
      <c r="M1946" s="15" t="s">
        <v>18404</v>
      </c>
      <c r="N1946" s="15"/>
      <c r="O1946" s="15"/>
      <c r="P1946" s="15" t="s">
        <v>18405</v>
      </c>
      <c r="Q1946" s="15"/>
      <c r="R1946" s="15" t="s">
        <v>16897</v>
      </c>
      <c r="S1946" s="24" t="s">
        <v>39</v>
      </c>
      <c r="T1946" s="24" t="s">
        <v>39</v>
      </c>
      <c r="U1946" s="24" t="s">
        <v>39</v>
      </c>
      <c r="V1946" s="24" t="s">
        <v>39</v>
      </c>
      <c r="W1946" s="24"/>
      <c r="X1946" s="24"/>
      <c r="Y1946" s="15"/>
      <c r="Z1946" s="15"/>
      <c r="AA1946" s="24"/>
      <c r="AB1946" s="24"/>
      <c r="AC1946" s="24"/>
      <c r="AD1946" s="24"/>
      <c r="AE1946" s="24"/>
      <c r="AF1946" s="24"/>
      <c r="AG1946" s="24"/>
      <c r="AH1946" s="24"/>
    </row>
    <row r="1947" spans="1:34" ht="75" x14ac:dyDescent="0.25">
      <c r="A1947" s="24" t="str">
        <f>HYPERLINK("https://www.cpso.on.ca/DoctorDetails/Richard-Morel/0045984-59962","Morel, Richard")</f>
        <v>Morel, Richard</v>
      </c>
      <c r="B1947" s="25" t="s">
        <v>18406</v>
      </c>
      <c r="C1947" s="24" t="s">
        <v>3145</v>
      </c>
      <c r="D1947" s="24" t="s">
        <v>3146</v>
      </c>
      <c r="E1947" s="24" t="s">
        <v>29</v>
      </c>
      <c r="F1947" s="24" t="s">
        <v>30</v>
      </c>
      <c r="G1947" s="24" t="s">
        <v>813</v>
      </c>
      <c r="H1947" s="24" t="s">
        <v>13068</v>
      </c>
      <c r="I1947" s="24" t="s">
        <v>3779</v>
      </c>
      <c r="J1947" s="24" t="s">
        <v>9421</v>
      </c>
      <c r="K1947" s="24" t="s">
        <v>3781</v>
      </c>
      <c r="L1947" s="24" t="s">
        <v>84</v>
      </c>
      <c r="M1947" s="15" t="s">
        <v>18407</v>
      </c>
      <c r="N1947" s="15"/>
      <c r="O1947" s="15"/>
      <c r="P1947" s="15" t="s">
        <v>1007</v>
      </c>
      <c r="Q1947" s="15"/>
      <c r="R1947" s="15" t="s">
        <v>18408</v>
      </c>
      <c r="S1947" s="24" t="s">
        <v>39</v>
      </c>
      <c r="T1947" s="24" t="s">
        <v>39</v>
      </c>
      <c r="U1947" s="24" t="s">
        <v>39</v>
      </c>
      <c r="V1947" s="24" t="s">
        <v>39</v>
      </c>
      <c r="W1947" s="24" t="s">
        <v>18409</v>
      </c>
      <c r="X1947" s="24" t="s">
        <v>18410</v>
      </c>
      <c r="Y1947" s="15"/>
      <c r="Z1947" s="15"/>
      <c r="AA1947" s="24" t="s">
        <v>18409</v>
      </c>
      <c r="AB1947" s="24" t="s">
        <v>658</v>
      </c>
      <c r="AC1947" s="24" t="s">
        <v>18411</v>
      </c>
      <c r="AD1947" s="24" t="s">
        <v>18412</v>
      </c>
      <c r="AE1947" s="24"/>
      <c r="AF1947" s="24"/>
      <c r="AG1947" s="24"/>
      <c r="AH1947" s="24"/>
    </row>
    <row r="1948" spans="1:34" ht="60" x14ac:dyDescent="0.25">
      <c r="A1948" s="24" t="str">
        <f>HYPERLINK("https://www.cpso.on.ca/DoctorDetails/Richard-Murray-Finkel/0025307-30130","Finkel, Richard Murray")</f>
        <v>Finkel, Richard Murray</v>
      </c>
      <c r="B1948" s="25" t="s">
        <v>18413</v>
      </c>
      <c r="C1948" s="24" t="s">
        <v>18414</v>
      </c>
      <c r="D1948" s="24" t="s">
        <v>18415</v>
      </c>
      <c r="E1948" s="24" t="s">
        <v>29</v>
      </c>
      <c r="F1948" s="24" t="s">
        <v>30</v>
      </c>
      <c r="G1948" s="24" t="s">
        <v>31</v>
      </c>
      <c r="H1948" s="24" t="s">
        <v>1187</v>
      </c>
      <c r="I1948" s="24" t="s">
        <v>18416</v>
      </c>
      <c r="J1948" s="24" t="s">
        <v>18417</v>
      </c>
      <c r="K1948" s="24"/>
      <c r="L1948" s="24" t="s">
        <v>36</v>
      </c>
      <c r="M1948" s="15" t="s">
        <v>18418</v>
      </c>
      <c r="N1948" s="15"/>
      <c r="O1948" s="15"/>
      <c r="P1948" s="15" t="s">
        <v>1794</v>
      </c>
      <c r="Q1948" s="15"/>
      <c r="R1948" s="15" t="s">
        <v>18419</v>
      </c>
      <c r="S1948" s="24" t="s">
        <v>39</v>
      </c>
      <c r="T1948" s="24" t="s">
        <v>39</v>
      </c>
      <c r="U1948" s="24" t="s">
        <v>39</v>
      </c>
      <c r="V1948" s="24" t="s">
        <v>39</v>
      </c>
      <c r="W1948" s="24" t="s">
        <v>18420</v>
      </c>
      <c r="X1948" s="24" t="s">
        <v>18421</v>
      </c>
      <c r="Y1948" s="15" t="s">
        <v>18422</v>
      </c>
      <c r="Z1948" s="15" t="s">
        <v>18423</v>
      </c>
      <c r="AA1948" s="24"/>
      <c r="AB1948" s="24"/>
      <c r="AC1948" s="24"/>
      <c r="AD1948" s="24"/>
      <c r="AE1948" s="24"/>
      <c r="AF1948" s="24"/>
      <c r="AG1948" s="24"/>
      <c r="AH1948" s="24"/>
    </row>
    <row r="1949" spans="1:34" ht="30" x14ac:dyDescent="0.25">
      <c r="A1949" s="24" t="str">
        <f>HYPERLINK("https://www.cpso.on.ca/DoctorDetails/Richard-William-Painter/0320363-113204","Painter, Richard William")</f>
        <v>Painter, Richard William</v>
      </c>
      <c r="B1949" s="25" t="s">
        <v>18424</v>
      </c>
      <c r="C1949" s="24" t="s">
        <v>18053</v>
      </c>
      <c r="D1949" s="24" t="s">
        <v>10351</v>
      </c>
      <c r="E1949" s="24" t="s">
        <v>29</v>
      </c>
      <c r="F1949" s="24" t="s">
        <v>30</v>
      </c>
      <c r="G1949" s="24" t="s">
        <v>31</v>
      </c>
      <c r="H1949" s="24" t="s">
        <v>18425</v>
      </c>
      <c r="I1949" s="24" t="s">
        <v>18426</v>
      </c>
      <c r="J1949" s="24" t="s">
        <v>4115</v>
      </c>
      <c r="K1949" s="24"/>
      <c r="L1949" s="24" t="s">
        <v>135</v>
      </c>
      <c r="M1949" s="15"/>
      <c r="N1949" s="15"/>
      <c r="O1949" s="15"/>
      <c r="P1949" s="15" t="s">
        <v>205</v>
      </c>
      <c r="Q1949" s="15" t="s">
        <v>18427</v>
      </c>
      <c r="R1949" s="15" t="s">
        <v>18428</v>
      </c>
      <c r="S1949" s="24" t="s">
        <v>39</v>
      </c>
      <c r="T1949" s="24" t="s">
        <v>39</v>
      </c>
      <c r="U1949" s="24" t="s">
        <v>39</v>
      </c>
      <c r="V1949" s="24" t="s">
        <v>39</v>
      </c>
      <c r="W1949" s="24"/>
      <c r="X1949" s="24"/>
      <c r="Y1949" s="15"/>
      <c r="Z1949" s="15"/>
      <c r="AA1949" s="24"/>
      <c r="AB1949" s="24"/>
      <c r="AC1949" s="24"/>
      <c r="AD1949" s="24"/>
      <c r="AE1949" s="24"/>
      <c r="AF1949" s="24"/>
      <c r="AG1949" s="24"/>
      <c r="AH1949" s="24"/>
    </row>
    <row r="1950" spans="1:34" ht="90" x14ac:dyDescent="0.25">
      <c r="A1950" s="24" t="str">
        <f>HYPERLINK("https://www.cpso.on.ca/DoctorDetails/Richard-Winston-Shulman/0047206-61184","Shulman, Richard Winston")</f>
        <v>Shulman, Richard Winston</v>
      </c>
      <c r="B1950" s="25" t="s">
        <v>18429</v>
      </c>
      <c r="C1950" s="24" t="s">
        <v>3323</v>
      </c>
      <c r="D1950" s="24" t="s">
        <v>18430</v>
      </c>
      <c r="E1950" s="24" t="s">
        <v>29</v>
      </c>
      <c r="F1950" s="24" t="s">
        <v>30</v>
      </c>
      <c r="G1950" s="24" t="s">
        <v>31</v>
      </c>
      <c r="H1950" s="24" t="s">
        <v>6528</v>
      </c>
      <c r="I1950" s="24" t="s">
        <v>18431</v>
      </c>
      <c r="J1950" s="24" t="s">
        <v>14808</v>
      </c>
      <c r="K1950" s="24" t="s">
        <v>14809</v>
      </c>
      <c r="L1950" s="24" t="s">
        <v>52</v>
      </c>
      <c r="M1950" s="15" t="s">
        <v>18432</v>
      </c>
      <c r="N1950" s="15"/>
      <c r="O1950" s="15" t="s">
        <v>5922</v>
      </c>
      <c r="P1950" s="15" t="s">
        <v>18433</v>
      </c>
      <c r="Q1950" s="15" t="s">
        <v>18434</v>
      </c>
      <c r="R1950" s="15" t="s">
        <v>18435</v>
      </c>
      <c r="S1950" s="24" t="s">
        <v>39</v>
      </c>
      <c r="T1950" s="24" t="s">
        <v>39</v>
      </c>
      <c r="U1950" s="24" t="s">
        <v>39</v>
      </c>
      <c r="V1950" s="24" t="s">
        <v>39</v>
      </c>
      <c r="W1950" s="24" t="s">
        <v>18436</v>
      </c>
      <c r="X1950" s="24" t="s">
        <v>18437</v>
      </c>
      <c r="Y1950" s="15" t="s">
        <v>18438</v>
      </c>
      <c r="Z1950" s="15" t="s">
        <v>18439</v>
      </c>
      <c r="AA1950" s="24"/>
      <c r="AB1950" s="24"/>
      <c r="AC1950" s="24"/>
      <c r="AD1950" s="24"/>
      <c r="AE1950" s="24"/>
      <c r="AF1950" s="24"/>
      <c r="AG1950" s="24"/>
      <c r="AH1950" s="24"/>
    </row>
    <row r="1951" spans="1:34" ht="120" x14ac:dyDescent="0.25">
      <c r="A1951" s="24" t="str">
        <f>HYPERLINK("https://www.cpso.on.ca/DoctorDetails/Richelle-Marguerite-Twose/0266289-93899","Twose, Richelle Marguerite")</f>
        <v>Twose, Richelle Marguerite</v>
      </c>
      <c r="B1951" s="25" t="s">
        <v>18440</v>
      </c>
      <c r="C1951" s="24" t="s">
        <v>18441</v>
      </c>
      <c r="D1951" s="24" t="s">
        <v>18442</v>
      </c>
      <c r="E1951" s="24" t="s">
        <v>29</v>
      </c>
      <c r="F1951" s="24" t="s">
        <v>47</v>
      </c>
      <c r="G1951" s="24" t="s">
        <v>31</v>
      </c>
      <c r="H1951" s="24" t="s">
        <v>968</v>
      </c>
      <c r="I1951" s="24" t="s">
        <v>18443</v>
      </c>
      <c r="J1951" s="24" t="s">
        <v>18444</v>
      </c>
      <c r="K1951" s="24" t="s">
        <v>486</v>
      </c>
      <c r="L1951" s="24" t="s">
        <v>52</v>
      </c>
      <c r="M1951" s="15"/>
      <c r="N1951" s="15"/>
      <c r="O1951" s="15" t="s">
        <v>487</v>
      </c>
      <c r="P1951" s="15" t="s">
        <v>18445</v>
      </c>
      <c r="Q1951" s="15" t="s">
        <v>18446</v>
      </c>
      <c r="R1951" s="15" t="s">
        <v>18447</v>
      </c>
      <c r="S1951" s="24" t="s">
        <v>39</v>
      </c>
      <c r="T1951" s="24" t="s">
        <v>39</v>
      </c>
      <c r="U1951" s="24" t="s">
        <v>39</v>
      </c>
      <c r="V1951" s="24" t="s">
        <v>39</v>
      </c>
      <c r="W1951" s="24"/>
      <c r="X1951" s="24"/>
      <c r="Y1951" s="15"/>
      <c r="Z1951" s="15"/>
      <c r="AA1951" s="24"/>
      <c r="AB1951" s="24"/>
      <c r="AC1951" s="24"/>
      <c r="AD1951" s="24"/>
      <c r="AE1951" s="24"/>
      <c r="AF1951" s="24"/>
      <c r="AG1951" s="24"/>
      <c r="AH1951" s="24"/>
    </row>
    <row r="1952" spans="1:34" ht="105" x14ac:dyDescent="0.25">
      <c r="A1952" s="24" t="str">
        <f>HYPERLINK("https://www.cpso.on.ca/DoctorDetails/Rickinder-Sethi/0289666-100729","Sethi, Rickinder")</f>
        <v>Sethi, Rickinder</v>
      </c>
      <c r="B1952" s="25" t="s">
        <v>18448</v>
      </c>
      <c r="C1952" s="24" t="s">
        <v>199</v>
      </c>
      <c r="D1952" s="24" t="s">
        <v>200</v>
      </c>
      <c r="E1952" s="24" t="s">
        <v>29</v>
      </c>
      <c r="F1952" s="24" t="s">
        <v>30</v>
      </c>
      <c r="G1952" s="24" t="s">
        <v>31</v>
      </c>
      <c r="H1952" s="24" t="s">
        <v>10191</v>
      </c>
      <c r="I1952" s="24" t="s">
        <v>18449</v>
      </c>
      <c r="J1952" s="24" t="s">
        <v>4115</v>
      </c>
      <c r="K1952" s="24"/>
      <c r="L1952" s="24" t="s">
        <v>135</v>
      </c>
      <c r="M1952" s="15"/>
      <c r="N1952" s="15"/>
      <c r="O1952" s="15"/>
      <c r="P1952" s="15" t="s">
        <v>205</v>
      </c>
      <c r="Q1952" s="15" t="s">
        <v>18450</v>
      </c>
      <c r="R1952" s="15" t="s">
        <v>2607</v>
      </c>
      <c r="S1952" s="24" t="s">
        <v>39</v>
      </c>
      <c r="T1952" s="24" t="s">
        <v>39</v>
      </c>
      <c r="U1952" s="24" t="s">
        <v>39</v>
      </c>
      <c r="V1952" s="24" t="s">
        <v>39</v>
      </c>
      <c r="W1952" s="24" t="s">
        <v>18451</v>
      </c>
      <c r="X1952" s="24" t="s">
        <v>18452</v>
      </c>
      <c r="Y1952" s="15" t="s">
        <v>18453</v>
      </c>
      <c r="Z1952" s="15" t="s">
        <v>18454</v>
      </c>
      <c r="AA1952" s="24"/>
      <c r="AB1952" s="24"/>
      <c r="AC1952" s="24"/>
      <c r="AD1952" s="24"/>
      <c r="AE1952" s="24"/>
      <c r="AF1952" s="24"/>
      <c r="AG1952" s="24"/>
      <c r="AH1952" s="24"/>
    </row>
    <row r="1953" spans="1:34" ht="30" x14ac:dyDescent="0.25">
      <c r="A1953" s="24" t="str">
        <f>HYPERLINK("https://www.cpso.on.ca/DoctorDetails/Rida-Kamal-Mirza/0216361-81784","Mirza, Rida Kamal")</f>
        <v>Mirza, Rida Kamal</v>
      </c>
      <c r="B1953" s="25" t="s">
        <v>18455</v>
      </c>
      <c r="C1953" s="24" t="s">
        <v>18456</v>
      </c>
      <c r="D1953" s="24" t="s">
        <v>18457</v>
      </c>
      <c r="E1953" s="24" t="s">
        <v>29</v>
      </c>
      <c r="F1953" s="24" t="s">
        <v>30</v>
      </c>
      <c r="G1953" s="24" t="s">
        <v>31</v>
      </c>
      <c r="H1953" s="24" t="s">
        <v>18458</v>
      </c>
      <c r="I1953" s="24" t="s">
        <v>12858</v>
      </c>
      <c r="J1953" s="24" t="s">
        <v>18459</v>
      </c>
      <c r="K1953" s="24" t="s">
        <v>16106</v>
      </c>
      <c r="L1953" s="24" t="s">
        <v>135</v>
      </c>
      <c r="M1953" s="15"/>
      <c r="N1953" s="15"/>
      <c r="O1953" s="15"/>
      <c r="P1953" s="15" t="s">
        <v>18460</v>
      </c>
      <c r="Q1953" s="15"/>
      <c r="R1953" s="15" t="s">
        <v>18461</v>
      </c>
      <c r="S1953" s="24" t="s">
        <v>39</v>
      </c>
      <c r="T1953" s="24" t="s">
        <v>39</v>
      </c>
      <c r="U1953" s="24" t="s">
        <v>39</v>
      </c>
      <c r="V1953" s="24" t="s">
        <v>39</v>
      </c>
      <c r="W1953" s="24" t="s">
        <v>18462</v>
      </c>
      <c r="X1953" s="24" t="s">
        <v>18463</v>
      </c>
      <c r="Y1953" s="15" t="s">
        <v>18464</v>
      </c>
      <c r="Z1953" s="15" t="s">
        <v>18465</v>
      </c>
      <c r="AA1953" s="24"/>
      <c r="AB1953" s="24"/>
      <c r="AC1953" s="24"/>
      <c r="AD1953" s="24"/>
      <c r="AE1953" s="24"/>
      <c r="AF1953" s="24"/>
      <c r="AG1953" s="24"/>
      <c r="AH1953" s="24"/>
    </row>
    <row r="1954" spans="1:34" ht="45" x14ac:dyDescent="0.25">
      <c r="A1954" s="24" t="str">
        <f>HYPERLINK("https://www.cpso.on.ca/DoctorDetails/Rima-Genovaite-Styra/0037853-51829","Styra, Rima Genovaite")</f>
        <v>Styra, Rima Genovaite</v>
      </c>
      <c r="B1954" s="25" t="s">
        <v>18466</v>
      </c>
      <c r="C1954" s="24" t="s">
        <v>520</v>
      </c>
      <c r="D1954" s="24" t="s">
        <v>6311</v>
      </c>
      <c r="E1954" s="24" t="s">
        <v>29</v>
      </c>
      <c r="F1954" s="24" t="s">
        <v>47</v>
      </c>
      <c r="G1954" s="24" t="s">
        <v>2002</v>
      </c>
      <c r="H1954" s="24" t="s">
        <v>2861</v>
      </c>
      <c r="I1954" s="24" t="s">
        <v>18467</v>
      </c>
      <c r="J1954" s="24" t="s">
        <v>10218</v>
      </c>
      <c r="K1954" s="24" t="s">
        <v>486</v>
      </c>
      <c r="L1954" s="24" t="s">
        <v>52</v>
      </c>
      <c r="M1954" s="15"/>
      <c r="N1954" s="15"/>
      <c r="O1954" s="15" t="s">
        <v>5784</v>
      </c>
      <c r="P1954" s="15" t="s">
        <v>785</v>
      </c>
      <c r="Q1954" s="15"/>
      <c r="R1954" s="15" t="s">
        <v>18468</v>
      </c>
      <c r="S1954" s="24" t="s">
        <v>39</v>
      </c>
      <c r="T1954" s="24" t="s">
        <v>39</v>
      </c>
      <c r="U1954" s="24" t="s">
        <v>39</v>
      </c>
      <c r="V1954" s="24" t="s">
        <v>39</v>
      </c>
      <c r="W1954" s="24"/>
      <c r="X1954" s="24"/>
      <c r="Y1954" s="15"/>
      <c r="Z1954" s="15"/>
      <c r="AA1954" s="24"/>
      <c r="AB1954" s="24"/>
      <c r="AC1954" s="24"/>
      <c r="AD1954" s="24"/>
      <c r="AE1954" s="24"/>
      <c r="AF1954" s="24"/>
      <c r="AG1954" s="24"/>
      <c r="AH1954" s="24"/>
    </row>
    <row r="1955" spans="1:34" ht="75" x14ac:dyDescent="0.25">
      <c r="A1955" s="24" t="str">
        <f>HYPERLINK("https://www.cpso.on.ca/DoctorDetails/Rina-Rudky/0150411-72564","Rudky, Rina")</f>
        <v>Rudky, Rina</v>
      </c>
      <c r="B1955" s="25" t="s">
        <v>18469</v>
      </c>
      <c r="C1955" s="24" t="s">
        <v>954</v>
      </c>
      <c r="D1955" s="24" t="s">
        <v>1323</v>
      </c>
      <c r="E1955" s="24" t="s">
        <v>29</v>
      </c>
      <c r="F1955" s="24" t="s">
        <v>47</v>
      </c>
      <c r="G1955" s="24" t="s">
        <v>873</v>
      </c>
      <c r="H1955" s="24" t="s">
        <v>4927</v>
      </c>
      <c r="I1955" s="24" t="s">
        <v>18470</v>
      </c>
      <c r="J1955" s="24" t="s">
        <v>11173</v>
      </c>
      <c r="K1955" s="24" t="s">
        <v>18471</v>
      </c>
      <c r="L1955" s="24" t="s">
        <v>52</v>
      </c>
      <c r="M1955" s="15"/>
      <c r="N1955" s="15"/>
      <c r="O1955" s="15" t="s">
        <v>1784</v>
      </c>
      <c r="P1955" s="15" t="s">
        <v>1330</v>
      </c>
      <c r="Q1955" s="15" t="s">
        <v>2170</v>
      </c>
      <c r="R1955" s="15" t="s">
        <v>2171</v>
      </c>
      <c r="S1955" s="24" t="s">
        <v>39</v>
      </c>
      <c r="T1955" s="24" t="s">
        <v>39</v>
      </c>
      <c r="U1955" s="24" t="s">
        <v>39</v>
      </c>
      <c r="V1955" s="24" t="s">
        <v>39</v>
      </c>
      <c r="W1955" s="24" t="s">
        <v>18472</v>
      </c>
      <c r="X1955" s="24" t="s">
        <v>18473</v>
      </c>
      <c r="Y1955" s="15"/>
      <c r="Z1955" s="15"/>
      <c r="AA1955" s="24"/>
      <c r="AB1955" s="24"/>
      <c r="AC1955" s="24"/>
      <c r="AD1955" s="24"/>
      <c r="AE1955" s="24"/>
      <c r="AF1955" s="24"/>
      <c r="AG1955" s="24"/>
      <c r="AH1955" s="24"/>
    </row>
    <row r="1956" spans="1:34" ht="30" x14ac:dyDescent="0.25">
      <c r="A1956" s="24" t="str">
        <f>HYPERLINK("https://www.cpso.on.ca/DoctorDetails/Rishi-Kapur/0319633-111929","Kapur, Rishi")</f>
        <v>Kapur, Rishi</v>
      </c>
      <c r="B1956" s="25" t="s">
        <v>18474</v>
      </c>
      <c r="C1956" s="24" t="s">
        <v>18475</v>
      </c>
      <c r="D1956" s="24" t="s">
        <v>18476</v>
      </c>
      <c r="E1956" s="24" t="s">
        <v>29</v>
      </c>
      <c r="F1956" s="24" t="s">
        <v>30</v>
      </c>
      <c r="G1956" s="24" t="s">
        <v>31</v>
      </c>
      <c r="H1956" s="24" t="s">
        <v>3864</v>
      </c>
      <c r="I1956" s="24" t="s">
        <v>18477</v>
      </c>
      <c r="J1956" s="24" t="s">
        <v>18478</v>
      </c>
      <c r="K1956" s="24"/>
      <c r="L1956" s="24" t="s">
        <v>84</v>
      </c>
      <c r="M1956" s="15" t="s">
        <v>18479</v>
      </c>
      <c r="N1956" s="15"/>
      <c r="O1956" s="15" t="s">
        <v>2156</v>
      </c>
      <c r="P1956" s="15" t="s">
        <v>3623</v>
      </c>
      <c r="Q1956" s="15"/>
      <c r="R1956" s="15" t="s">
        <v>18480</v>
      </c>
      <c r="S1956" s="24" t="s">
        <v>39</v>
      </c>
      <c r="T1956" s="24" t="s">
        <v>39</v>
      </c>
      <c r="U1956" s="24" t="s">
        <v>39</v>
      </c>
      <c r="V1956" s="24" t="s">
        <v>39</v>
      </c>
      <c r="W1956" s="24" t="s">
        <v>18481</v>
      </c>
      <c r="X1956" s="24" t="s">
        <v>18482</v>
      </c>
      <c r="Y1956" s="15" t="s">
        <v>18483</v>
      </c>
      <c r="Z1956" s="15" t="s">
        <v>18484</v>
      </c>
      <c r="AA1956" s="24"/>
      <c r="AB1956" s="24"/>
      <c r="AC1956" s="24"/>
      <c r="AD1956" s="24"/>
      <c r="AE1956" s="24"/>
      <c r="AF1956" s="24"/>
      <c r="AG1956" s="24"/>
      <c r="AH1956" s="24"/>
    </row>
    <row r="1957" spans="1:34" ht="105" x14ac:dyDescent="0.25">
      <c r="A1957" s="24" t="str">
        <f>HYPERLINK("https://www.cpso.on.ca/DoctorDetails/Rishi-Kumar/0290833-102325","Kumar, Rishi")</f>
        <v>Kumar, Rishi</v>
      </c>
      <c r="B1957" s="25" t="s">
        <v>18485</v>
      </c>
      <c r="C1957" s="24" t="s">
        <v>18486</v>
      </c>
      <c r="D1957" s="24" t="s">
        <v>18487</v>
      </c>
      <c r="E1957" s="24" t="s">
        <v>29</v>
      </c>
      <c r="F1957" s="24" t="s">
        <v>30</v>
      </c>
      <c r="G1957" s="24" t="s">
        <v>31</v>
      </c>
      <c r="H1957" s="24" t="s">
        <v>18488</v>
      </c>
      <c r="I1957" s="24" t="s">
        <v>18489</v>
      </c>
      <c r="J1957" s="24" t="s">
        <v>18490</v>
      </c>
      <c r="K1957" s="24"/>
      <c r="L1957" s="24" t="s">
        <v>52</v>
      </c>
      <c r="M1957" s="15" t="s">
        <v>18491</v>
      </c>
      <c r="N1957" s="15" t="s">
        <v>735</v>
      </c>
      <c r="O1957" s="15" t="s">
        <v>6490</v>
      </c>
      <c r="P1957" s="15" t="s">
        <v>18492</v>
      </c>
      <c r="Q1957" s="15"/>
      <c r="R1957" s="15" t="s">
        <v>18493</v>
      </c>
      <c r="S1957" s="24" t="s">
        <v>71</v>
      </c>
      <c r="T1957" s="24" t="s">
        <v>39</v>
      </c>
      <c r="U1957" s="24" t="s">
        <v>39</v>
      </c>
      <c r="V1957" s="24" t="s">
        <v>39</v>
      </c>
      <c r="W1957" s="24" t="s">
        <v>18494</v>
      </c>
      <c r="X1957" s="24" t="s">
        <v>18495</v>
      </c>
      <c r="Y1957" s="15" t="s">
        <v>18496</v>
      </c>
      <c r="Z1957" s="15" t="s">
        <v>18497</v>
      </c>
      <c r="AA1957" s="24"/>
      <c r="AB1957" s="24"/>
      <c r="AC1957" s="24"/>
      <c r="AD1957" s="24"/>
      <c r="AE1957" s="24"/>
      <c r="AF1957" s="24"/>
      <c r="AG1957" s="24"/>
      <c r="AH1957" s="24"/>
    </row>
    <row r="1958" spans="1:34" ht="105" x14ac:dyDescent="0.25">
      <c r="A1958" s="24" t="str">
        <f>HYPERLINK("https://www.cpso.on.ca/DoctorDetails/Rizwan-Rafiq/0287416-101926","Rafiq, Rizwan")</f>
        <v>Rafiq, Rizwan</v>
      </c>
      <c r="B1958" s="25" t="s">
        <v>18498</v>
      </c>
      <c r="C1958" s="24" t="s">
        <v>18499</v>
      </c>
      <c r="D1958" s="24" t="s">
        <v>18500</v>
      </c>
      <c r="E1958" s="24" t="s">
        <v>29</v>
      </c>
      <c r="F1958" s="24" t="s">
        <v>30</v>
      </c>
      <c r="G1958" s="24" t="s">
        <v>8859</v>
      </c>
      <c r="H1958" s="24" t="s">
        <v>18501</v>
      </c>
      <c r="I1958" s="24" t="s">
        <v>18502</v>
      </c>
      <c r="J1958" s="24" t="s">
        <v>18503</v>
      </c>
      <c r="K1958" s="24" t="s">
        <v>18504</v>
      </c>
      <c r="L1958" s="24" t="s">
        <v>65</v>
      </c>
      <c r="M1958" s="15"/>
      <c r="N1958" s="15" t="s">
        <v>398</v>
      </c>
      <c r="O1958" s="15"/>
      <c r="P1958" s="15" t="s">
        <v>7386</v>
      </c>
      <c r="Q1958" s="15"/>
      <c r="R1958" s="15" t="s">
        <v>18505</v>
      </c>
      <c r="S1958" s="24" t="s">
        <v>39</v>
      </c>
      <c r="T1958" s="24" t="s">
        <v>39</v>
      </c>
      <c r="U1958" s="24" t="s">
        <v>39</v>
      </c>
      <c r="V1958" s="24" t="s">
        <v>39</v>
      </c>
      <c r="W1958" s="24" t="s">
        <v>18506</v>
      </c>
      <c r="X1958" s="24" t="s">
        <v>18507</v>
      </c>
      <c r="Y1958" s="15" t="s">
        <v>18508</v>
      </c>
      <c r="Z1958" s="15" t="s">
        <v>18509</v>
      </c>
      <c r="AA1958" s="24"/>
      <c r="AB1958" s="24"/>
      <c r="AC1958" s="24"/>
      <c r="AD1958" s="24"/>
      <c r="AE1958" s="24"/>
      <c r="AF1958" s="24"/>
      <c r="AG1958" s="24"/>
      <c r="AH1958" s="24"/>
    </row>
    <row r="1959" spans="1:34" x14ac:dyDescent="0.25">
      <c r="A1959" s="24" t="str">
        <f>HYPERLINK("https://www.cpso.on.ca/DoctorDetails/Robert-Alexander-Buckingham/0017230-22016","Buckingham, Robert Alexander")</f>
        <v>Buckingham, Robert Alexander</v>
      </c>
      <c r="B1959" s="25" t="s">
        <v>18510</v>
      </c>
      <c r="C1959" s="24" t="s">
        <v>18511</v>
      </c>
      <c r="D1959" s="24" t="s">
        <v>18512</v>
      </c>
      <c r="E1959" s="24" t="s">
        <v>29</v>
      </c>
      <c r="F1959" s="24" t="s">
        <v>30</v>
      </c>
      <c r="G1959" s="24" t="s">
        <v>31</v>
      </c>
      <c r="H1959" s="24" t="s">
        <v>18310</v>
      </c>
      <c r="I1959" s="24" t="s">
        <v>107</v>
      </c>
      <c r="J1959" s="24"/>
      <c r="K1959" s="24"/>
      <c r="L1959" s="24"/>
      <c r="M1959" s="15"/>
      <c r="N1959" s="15"/>
      <c r="O1959" s="15"/>
      <c r="P1959" s="15" t="s">
        <v>8878</v>
      </c>
      <c r="Q1959" s="15"/>
      <c r="R1959" s="15" t="s">
        <v>18513</v>
      </c>
      <c r="S1959" s="24" t="s">
        <v>39</v>
      </c>
      <c r="T1959" s="24" t="s">
        <v>39</v>
      </c>
      <c r="U1959" s="24" t="s">
        <v>39</v>
      </c>
      <c r="V1959" s="24" t="s">
        <v>39</v>
      </c>
      <c r="W1959" s="24"/>
      <c r="X1959" s="24"/>
      <c r="Y1959" s="15"/>
      <c r="Z1959" s="15"/>
      <c r="AA1959" s="24"/>
      <c r="AB1959" s="24"/>
      <c r="AC1959" s="24"/>
      <c r="AD1959" s="24"/>
      <c r="AE1959" s="24"/>
      <c r="AF1959" s="24"/>
      <c r="AG1959" s="24"/>
      <c r="AH1959" s="24"/>
    </row>
    <row r="1960" spans="1:34" ht="75" x14ac:dyDescent="0.25">
      <c r="A1960" s="24" t="str">
        <f>HYPERLINK("https://www.cpso.on.ca/DoctorDetails/Robert-Alexander-William-Northey/0052996-66960","Northey, Robert Alexander William")</f>
        <v>Northey, Robert Alexander William</v>
      </c>
      <c r="B1960" s="25" t="s">
        <v>18514</v>
      </c>
      <c r="C1960" s="24" t="s">
        <v>18515</v>
      </c>
      <c r="D1960" s="24" t="s">
        <v>18516</v>
      </c>
      <c r="E1960" s="24" t="s">
        <v>29</v>
      </c>
      <c r="F1960" s="24" t="s">
        <v>30</v>
      </c>
      <c r="G1960" s="24" t="s">
        <v>31</v>
      </c>
      <c r="H1960" s="24" t="s">
        <v>18517</v>
      </c>
      <c r="I1960" s="24" t="s">
        <v>3671</v>
      </c>
      <c r="J1960" s="24" t="s">
        <v>18518</v>
      </c>
      <c r="K1960" s="24"/>
      <c r="L1960" s="24" t="s">
        <v>84</v>
      </c>
      <c r="M1960" s="15"/>
      <c r="N1960" s="15"/>
      <c r="O1960" s="15"/>
      <c r="P1960" s="15" t="s">
        <v>18519</v>
      </c>
      <c r="Q1960" s="15" t="s">
        <v>4221</v>
      </c>
      <c r="R1960" s="15" t="s">
        <v>18520</v>
      </c>
      <c r="S1960" s="24" t="s">
        <v>39</v>
      </c>
      <c r="T1960" s="24" t="s">
        <v>39</v>
      </c>
      <c r="U1960" s="24" t="s">
        <v>39</v>
      </c>
      <c r="V1960" s="24" t="s">
        <v>39</v>
      </c>
      <c r="W1960" s="24"/>
      <c r="X1960" s="24"/>
      <c r="Y1960" s="15"/>
      <c r="Z1960" s="15"/>
      <c r="AA1960" s="24"/>
      <c r="AB1960" s="24"/>
      <c r="AC1960" s="24"/>
      <c r="AD1960" s="24"/>
      <c r="AE1960" s="24"/>
      <c r="AF1960" s="24"/>
      <c r="AG1960" s="24"/>
      <c r="AH1960" s="24"/>
    </row>
    <row r="1961" spans="1:34" ht="75" x14ac:dyDescent="0.25">
      <c r="A1961" s="24" t="str">
        <f>HYPERLINK("https://www.cpso.on.ca/DoctorDetails/Robert-Andrew-Hackett/0021801-26590","Hackett, Robert Andrew")</f>
        <v>Hackett, Robert Andrew</v>
      </c>
      <c r="B1961" s="25" t="s">
        <v>18521</v>
      </c>
      <c r="C1961" s="24" t="s">
        <v>18522</v>
      </c>
      <c r="D1961" s="24" t="s">
        <v>18523</v>
      </c>
      <c r="E1961" s="24" t="s">
        <v>29</v>
      </c>
      <c r="F1961" s="24" t="s">
        <v>30</v>
      </c>
      <c r="G1961" s="24" t="s">
        <v>31</v>
      </c>
      <c r="H1961" s="24" t="s">
        <v>455</v>
      </c>
      <c r="I1961" s="24" t="s">
        <v>107</v>
      </c>
      <c r="J1961" s="24"/>
      <c r="K1961" s="24"/>
      <c r="L1961" s="24"/>
      <c r="M1961" s="15"/>
      <c r="N1961" s="15"/>
      <c r="O1961" s="15"/>
      <c r="P1961" s="15" t="s">
        <v>18524</v>
      </c>
      <c r="Q1961" s="15" t="s">
        <v>18525</v>
      </c>
      <c r="R1961" s="15" t="s">
        <v>18526</v>
      </c>
      <c r="S1961" s="24" t="s">
        <v>39</v>
      </c>
      <c r="T1961" s="24" t="s">
        <v>39</v>
      </c>
      <c r="U1961" s="24" t="s">
        <v>39</v>
      </c>
      <c r="V1961" s="24" t="s">
        <v>39</v>
      </c>
      <c r="W1961" s="24"/>
      <c r="X1961" s="24"/>
      <c r="Y1961" s="15"/>
      <c r="Z1961" s="15"/>
      <c r="AA1961" s="24"/>
      <c r="AB1961" s="24"/>
      <c r="AC1961" s="24"/>
      <c r="AD1961" s="24"/>
      <c r="AE1961" s="24"/>
      <c r="AF1961" s="24"/>
      <c r="AG1961" s="24"/>
      <c r="AH1961" s="24"/>
    </row>
    <row r="1962" spans="1:34" ht="45" x14ac:dyDescent="0.25">
      <c r="A1962" s="24" t="str">
        <f>HYPERLINK("https://www.cpso.on.ca/DoctorDetails/Robert-Baruch-Zipursky/0037910-51886","Zipursky, Robert Baruch")</f>
        <v>Zipursky, Robert Baruch</v>
      </c>
      <c r="B1962" s="25" t="s">
        <v>18527</v>
      </c>
      <c r="C1962" s="24" t="s">
        <v>18528</v>
      </c>
      <c r="D1962" s="24" t="s">
        <v>18529</v>
      </c>
      <c r="E1962" s="24" t="s">
        <v>29</v>
      </c>
      <c r="F1962" s="24" t="s">
        <v>30</v>
      </c>
      <c r="G1962" s="24" t="s">
        <v>31</v>
      </c>
      <c r="H1962" s="24" t="s">
        <v>1874</v>
      </c>
      <c r="I1962" s="24" t="s">
        <v>18530</v>
      </c>
      <c r="J1962" s="24" t="s">
        <v>18531</v>
      </c>
      <c r="K1962" s="24" t="s">
        <v>18532</v>
      </c>
      <c r="L1962" s="24" t="s">
        <v>52</v>
      </c>
      <c r="M1962" s="15"/>
      <c r="N1962" s="15" t="s">
        <v>18533</v>
      </c>
      <c r="O1962" s="15" t="s">
        <v>981</v>
      </c>
      <c r="P1962" s="15" t="s">
        <v>808</v>
      </c>
      <c r="Q1962" s="15"/>
      <c r="R1962" s="15" t="s">
        <v>18534</v>
      </c>
      <c r="S1962" s="24" t="s">
        <v>39</v>
      </c>
      <c r="T1962" s="24" t="s">
        <v>39</v>
      </c>
      <c r="U1962" s="24" t="s">
        <v>39</v>
      </c>
      <c r="V1962" s="24" t="s">
        <v>39</v>
      </c>
      <c r="W1962" s="24" t="s">
        <v>18535</v>
      </c>
      <c r="X1962" s="24" t="s">
        <v>18536</v>
      </c>
      <c r="Y1962" s="15"/>
      <c r="Z1962" s="15"/>
      <c r="AA1962" s="24"/>
      <c r="AB1962" s="24"/>
      <c r="AC1962" s="24"/>
      <c r="AD1962" s="24"/>
      <c r="AE1962" s="24"/>
      <c r="AF1962" s="24"/>
      <c r="AG1962" s="24"/>
      <c r="AH1962" s="24"/>
    </row>
    <row r="1963" spans="1:34" ht="45" x14ac:dyDescent="0.25">
      <c r="A1963" s="24" t="str">
        <f>HYPERLINK("https://www.cpso.on.ca/DoctorDetails/Robert-Benson-Renwick/0267509-93727","Renwick, Robert Benson")</f>
        <v>Renwick, Robert Benson</v>
      </c>
      <c r="B1963" s="25" t="s">
        <v>18537</v>
      </c>
      <c r="C1963" s="24" t="s">
        <v>16198</v>
      </c>
      <c r="D1963" s="24" t="s">
        <v>16199</v>
      </c>
      <c r="E1963" s="24" t="s">
        <v>29</v>
      </c>
      <c r="F1963" s="24" t="s">
        <v>30</v>
      </c>
      <c r="G1963" s="24" t="s">
        <v>31</v>
      </c>
      <c r="H1963" s="24" t="s">
        <v>649</v>
      </c>
      <c r="I1963" s="24" t="s">
        <v>18538</v>
      </c>
      <c r="J1963" s="24" t="s">
        <v>18539</v>
      </c>
      <c r="K1963" s="24" t="s">
        <v>15266</v>
      </c>
      <c r="L1963" s="24" t="s">
        <v>135</v>
      </c>
      <c r="M1963" s="15"/>
      <c r="N1963" s="15"/>
      <c r="O1963" s="15" t="s">
        <v>913</v>
      </c>
      <c r="P1963" s="15" t="s">
        <v>654</v>
      </c>
      <c r="Q1963" s="15" t="s">
        <v>18540</v>
      </c>
      <c r="R1963" s="15" t="s">
        <v>18541</v>
      </c>
      <c r="S1963" s="24" t="s">
        <v>39</v>
      </c>
      <c r="T1963" s="24" t="s">
        <v>39</v>
      </c>
      <c r="U1963" s="24" t="s">
        <v>39</v>
      </c>
      <c r="V1963" s="24" t="s">
        <v>39</v>
      </c>
      <c r="W1963" s="24" t="s">
        <v>18542</v>
      </c>
      <c r="X1963" s="24" t="s">
        <v>18543</v>
      </c>
      <c r="Y1963" s="15" t="s">
        <v>18544</v>
      </c>
      <c r="Z1963" s="15" t="s">
        <v>18545</v>
      </c>
      <c r="AA1963" s="24"/>
      <c r="AB1963" s="24"/>
      <c r="AC1963" s="24"/>
      <c r="AD1963" s="24"/>
      <c r="AE1963" s="24"/>
      <c r="AF1963" s="24"/>
      <c r="AG1963" s="24"/>
      <c r="AH1963" s="24"/>
    </row>
    <row r="1964" spans="1:34" ht="30" x14ac:dyDescent="0.25">
      <c r="A1964" s="24" t="str">
        <f>HYPERLINK("https://www.cpso.on.ca/DoctorDetails/Robert-Brian-Hines/0038381-52357","Hines, Robert Brian")</f>
        <v>Hines, Robert Brian</v>
      </c>
      <c r="B1964" s="25" t="s">
        <v>18546</v>
      </c>
      <c r="C1964" s="24" t="s">
        <v>18547</v>
      </c>
      <c r="D1964" s="24" t="s">
        <v>521</v>
      </c>
      <c r="E1964" s="24" t="s">
        <v>29</v>
      </c>
      <c r="F1964" s="24" t="s">
        <v>30</v>
      </c>
      <c r="G1964" s="24" t="s">
        <v>31</v>
      </c>
      <c r="H1964" s="24" t="s">
        <v>1176</v>
      </c>
      <c r="I1964" s="24" t="s">
        <v>18548</v>
      </c>
      <c r="J1964" s="24" t="s">
        <v>18549</v>
      </c>
      <c r="K1964" s="24" t="s">
        <v>18550</v>
      </c>
      <c r="L1964" s="24" t="s">
        <v>52</v>
      </c>
      <c r="M1964" s="15"/>
      <c r="N1964" s="15"/>
      <c r="O1964" s="15"/>
      <c r="P1964" s="15" t="s">
        <v>785</v>
      </c>
      <c r="Q1964" s="15"/>
      <c r="R1964" s="15" t="s">
        <v>18551</v>
      </c>
      <c r="S1964" s="24" t="s">
        <v>39</v>
      </c>
      <c r="T1964" s="24" t="s">
        <v>39</v>
      </c>
      <c r="U1964" s="24" t="s">
        <v>39</v>
      </c>
      <c r="V1964" s="24" t="s">
        <v>39</v>
      </c>
      <c r="W1964" s="24" t="s">
        <v>18552</v>
      </c>
      <c r="X1964" s="24" t="s">
        <v>18553</v>
      </c>
      <c r="Y1964" s="15" t="s">
        <v>18554</v>
      </c>
      <c r="Z1964" s="15" t="s">
        <v>18555</v>
      </c>
      <c r="AA1964" s="24"/>
      <c r="AB1964" s="24"/>
      <c r="AC1964" s="24"/>
      <c r="AD1964" s="24"/>
      <c r="AE1964" s="24"/>
      <c r="AF1964" s="24"/>
      <c r="AG1964" s="24"/>
      <c r="AH1964" s="24"/>
    </row>
    <row r="1965" spans="1:34" ht="75" x14ac:dyDescent="0.25">
      <c r="A1965" s="24" t="str">
        <f>HYPERLINK("https://www.cpso.on.ca/DoctorDetails/Robert-Dale-Malone/0052709-66673","Malone, Robert Dale")</f>
        <v>Malone, Robert Dale</v>
      </c>
      <c r="B1965" s="25" t="s">
        <v>18556</v>
      </c>
      <c r="C1965" s="24" t="s">
        <v>836</v>
      </c>
      <c r="D1965" s="24" t="s">
        <v>837</v>
      </c>
      <c r="E1965" s="24" t="s">
        <v>29</v>
      </c>
      <c r="F1965" s="24" t="s">
        <v>30</v>
      </c>
      <c r="G1965" s="24" t="s">
        <v>31</v>
      </c>
      <c r="H1965" s="24" t="s">
        <v>7474</v>
      </c>
      <c r="I1965" s="24" t="s">
        <v>7464</v>
      </c>
      <c r="J1965" s="24" t="s">
        <v>18557</v>
      </c>
      <c r="K1965" s="24"/>
      <c r="L1965" s="24" t="s">
        <v>340</v>
      </c>
      <c r="M1965" s="15"/>
      <c r="N1965" s="15"/>
      <c r="O1965" s="15" t="s">
        <v>2972</v>
      </c>
      <c r="P1965" s="15" t="s">
        <v>303</v>
      </c>
      <c r="Q1965" s="15" t="s">
        <v>12727</v>
      </c>
      <c r="R1965" s="15" t="s">
        <v>844</v>
      </c>
      <c r="S1965" s="24" t="s">
        <v>39</v>
      </c>
      <c r="T1965" s="24" t="s">
        <v>39</v>
      </c>
      <c r="U1965" s="24" t="s">
        <v>39</v>
      </c>
      <c r="V1965" s="24" t="s">
        <v>39</v>
      </c>
      <c r="W1965" s="24" t="s">
        <v>18558</v>
      </c>
      <c r="X1965" s="24" t="s">
        <v>18559</v>
      </c>
      <c r="Y1965" s="15" t="s">
        <v>18560</v>
      </c>
      <c r="Z1965" s="15" t="s">
        <v>18561</v>
      </c>
      <c r="AA1965" s="24"/>
      <c r="AB1965" s="24"/>
      <c r="AC1965" s="24"/>
      <c r="AD1965" s="24"/>
      <c r="AE1965" s="24"/>
      <c r="AF1965" s="24"/>
      <c r="AG1965" s="24"/>
      <c r="AH1965" s="24"/>
    </row>
    <row r="1966" spans="1:34" ht="30" x14ac:dyDescent="0.25">
      <c r="A1966" s="24" t="str">
        <f>HYPERLINK("https://www.cpso.on.ca/DoctorDetails/Robert-Daniel-Levitan/0043374-57352","Levitan, Robert Daniel")</f>
        <v>Levitan, Robert Daniel</v>
      </c>
      <c r="B1966" s="25" t="s">
        <v>18562</v>
      </c>
      <c r="C1966" s="24" t="s">
        <v>18563</v>
      </c>
      <c r="D1966" s="24" t="s">
        <v>13808</v>
      </c>
      <c r="E1966" s="24" t="s">
        <v>29</v>
      </c>
      <c r="F1966" s="24" t="s">
        <v>30</v>
      </c>
      <c r="G1966" s="24" t="s">
        <v>31</v>
      </c>
      <c r="H1966" s="24" t="s">
        <v>7765</v>
      </c>
      <c r="I1966" s="24" t="s">
        <v>18564</v>
      </c>
      <c r="J1966" s="24" t="s">
        <v>18565</v>
      </c>
      <c r="K1966" s="24"/>
      <c r="L1966" s="24" t="s">
        <v>52</v>
      </c>
      <c r="M1966" s="15"/>
      <c r="N1966" s="15"/>
      <c r="O1966" s="15" t="s">
        <v>981</v>
      </c>
      <c r="P1966" s="15" t="s">
        <v>1033</v>
      </c>
      <c r="Q1966" s="15" t="s">
        <v>14138</v>
      </c>
      <c r="R1966" s="15" t="s">
        <v>13813</v>
      </c>
      <c r="S1966" s="24" t="s">
        <v>39</v>
      </c>
      <c r="T1966" s="24" t="s">
        <v>39</v>
      </c>
      <c r="U1966" s="24" t="s">
        <v>39</v>
      </c>
      <c r="V1966" s="24" t="s">
        <v>39</v>
      </c>
      <c r="W1966" s="24" t="s">
        <v>18566</v>
      </c>
      <c r="X1966" s="24" t="s">
        <v>15994</v>
      </c>
      <c r="Y1966" s="15" t="s">
        <v>18567</v>
      </c>
      <c r="Z1966" s="15" t="s">
        <v>18568</v>
      </c>
      <c r="AA1966" s="24" t="s">
        <v>18569</v>
      </c>
      <c r="AB1966" s="24" t="s">
        <v>18570</v>
      </c>
      <c r="AC1966" s="24" t="s">
        <v>18571</v>
      </c>
      <c r="AD1966" s="24" t="s">
        <v>18572</v>
      </c>
      <c r="AE1966" s="24"/>
      <c r="AF1966" s="24"/>
      <c r="AG1966" s="24"/>
      <c r="AH1966" s="24"/>
    </row>
    <row r="1967" spans="1:34" x14ac:dyDescent="0.25">
      <c r="A1967" s="24" t="str">
        <f>HYPERLINK("https://www.cpso.on.ca/DoctorDetails/Robert-Ernest-Franck/0028889-33712","Franck, Robert Ernest")</f>
        <v>Franck, Robert Ernest</v>
      </c>
      <c r="B1967" s="25" t="s">
        <v>18573</v>
      </c>
      <c r="C1967" s="24" t="s">
        <v>18574</v>
      </c>
      <c r="D1967" s="24" t="s">
        <v>18575</v>
      </c>
      <c r="E1967" s="24" t="s">
        <v>29</v>
      </c>
      <c r="F1967" s="24" t="s">
        <v>30</v>
      </c>
      <c r="G1967" s="24" t="s">
        <v>813</v>
      </c>
      <c r="H1967" s="24" t="s">
        <v>18576</v>
      </c>
      <c r="I1967" s="24" t="s">
        <v>18577</v>
      </c>
      <c r="J1967" s="24" t="s">
        <v>18578</v>
      </c>
      <c r="K1967" s="24" t="s">
        <v>18579</v>
      </c>
      <c r="L1967" s="24"/>
      <c r="M1967" s="15"/>
      <c r="N1967" s="15" t="s">
        <v>710</v>
      </c>
      <c r="O1967" s="15"/>
      <c r="P1967" s="15" t="s">
        <v>2459</v>
      </c>
      <c r="Q1967" s="15"/>
      <c r="R1967" s="15" t="s">
        <v>18580</v>
      </c>
      <c r="S1967" s="24" t="s">
        <v>39</v>
      </c>
      <c r="T1967" s="24" t="s">
        <v>39</v>
      </c>
      <c r="U1967" s="24" t="s">
        <v>39</v>
      </c>
      <c r="V1967" s="24" t="s">
        <v>39</v>
      </c>
      <c r="W1967" s="24"/>
      <c r="X1967" s="24"/>
      <c r="Y1967" s="15"/>
      <c r="Z1967" s="15"/>
      <c r="AA1967" s="24"/>
      <c r="AB1967" s="24"/>
      <c r="AC1967" s="24"/>
      <c r="AD1967" s="24"/>
      <c r="AE1967" s="24"/>
      <c r="AF1967" s="24"/>
      <c r="AG1967" s="24"/>
      <c r="AH1967" s="24"/>
    </row>
    <row r="1968" spans="1:34" ht="75" x14ac:dyDescent="0.25">
      <c r="A1968" s="24" t="str">
        <f>HYPERLINK("https://www.cpso.on.ca/DoctorDetails/Robert-Frederick-Fairbairn/0198692-79635","Fairbairn, Robert Frederick")</f>
        <v>Fairbairn, Robert Frederick</v>
      </c>
      <c r="B1968" s="25" t="s">
        <v>18581</v>
      </c>
      <c r="C1968" s="24" t="s">
        <v>15763</v>
      </c>
      <c r="D1968" s="24" t="s">
        <v>18582</v>
      </c>
      <c r="E1968" s="24" t="s">
        <v>29</v>
      </c>
      <c r="F1968" s="24" t="s">
        <v>30</v>
      </c>
      <c r="G1968" s="24" t="s">
        <v>31</v>
      </c>
      <c r="H1968" s="24" t="s">
        <v>18583</v>
      </c>
      <c r="I1968" s="24" t="s">
        <v>18584</v>
      </c>
      <c r="J1968" s="24" t="s">
        <v>18585</v>
      </c>
      <c r="K1968" s="24" t="s">
        <v>17994</v>
      </c>
      <c r="L1968" s="24" t="s">
        <v>65</v>
      </c>
      <c r="M1968" s="15"/>
      <c r="N1968" s="15" t="s">
        <v>258</v>
      </c>
      <c r="O1968" s="15" t="s">
        <v>18586</v>
      </c>
      <c r="P1968" s="15" t="s">
        <v>85</v>
      </c>
      <c r="Q1968" s="15"/>
      <c r="R1968" s="15" t="s">
        <v>18587</v>
      </c>
      <c r="S1968" s="24" t="s">
        <v>39</v>
      </c>
      <c r="T1968" s="24" t="s">
        <v>39</v>
      </c>
      <c r="U1968" s="24" t="s">
        <v>39</v>
      </c>
      <c r="V1968" s="24" t="s">
        <v>39</v>
      </c>
      <c r="W1968" s="24" t="s">
        <v>18588</v>
      </c>
      <c r="X1968" s="24" t="s">
        <v>18589</v>
      </c>
      <c r="Y1968" s="15" t="s">
        <v>18590</v>
      </c>
      <c r="Z1968" s="15" t="s">
        <v>18591</v>
      </c>
      <c r="AA1968" s="24"/>
      <c r="AB1968" s="24"/>
      <c r="AC1968" s="24"/>
      <c r="AD1968" s="24"/>
      <c r="AE1968" s="24"/>
      <c r="AF1968" s="24"/>
      <c r="AG1968" s="24"/>
      <c r="AH1968" s="24"/>
    </row>
    <row r="1969" spans="1:34" ht="105" x14ac:dyDescent="0.25">
      <c r="A1969" s="24" t="str">
        <f>HYPERLINK("https://www.cpso.on.ca/DoctorDetails/Robert-George-McMaster/0242588-86869","McMaster, Robert George")</f>
        <v>McMaster, Robert George</v>
      </c>
      <c r="B1969" s="25" t="s">
        <v>18592</v>
      </c>
      <c r="C1969" s="24" t="s">
        <v>18593</v>
      </c>
      <c r="D1969" s="24" t="s">
        <v>12435</v>
      </c>
      <c r="E1969" s="24" t="s">
        <v>29</v>
      </c>
      <c r="F1969" s="24" t="s">
        <v>30</v>
      </c>
      <c r="G1969" s="24" t="s">
        <v>31</v>
      </c>
      <c r="H1969" s="24" t="s">
        <v>2714</v>
      </c>
      <c r="I1969" s="24" t="s">
        <v>18594</v>
      </c>
      <c r="J1969" s="24" t="s">
        <v>18595</v>
      </c>
      <c r="K1969" s="24"/>
      <c r="L1969" s="24" t="s">
        <v>52</v>
      </c>
      <c r="M1969" s="15" t="s">
        <v>18596</v>
      </c>
      <c r="N1969" s="15"/>
      <c r="O1969" s="15" t="s">
        <v>842</v>
      </c>
      <c r="P1969" s="15" t="s">
        <v>12438</v>
      </c>
      <c r="Q1969" s="15" t="s">
        <v>18597</v>
      </c>
      <c r="R1969" s="15" t="s">
        <v>18598</v>
      </c>
      <c r="S1969" s="24" t="s">
        <v>39</v>
      </c>
      <c r="T1969" s="24" t="s">
        <v>39</v>
      </c>
      <c r="U1969" s="24" t="s">
        <v>39</v>
      </c>
      <c r="V1969" s="24" t="s">
        <v>39</v>
      </c>
      <c r="W1969" s="24" t="s">
        <v>18599</v>
      </c>
      <c r="X1969" s="24" t="s">
        <v>14297</v>
      </c>
      <c r="Y1969" s="15" t="s">
        <v>18600</v>
      </c>
      <c r="Z1969" s="15" t="s">
        <v>18601</v>
      </c>
      <c r="AA1969" s="24"/>
      <c r="AB1969" s="24"/>
      <c r="AC1969" s="24"/>
      <c r="AD1969" s="24"/>
      <c r="AE1969" s="24"/>
      <c r="AF1969" s="24"/>
      <c r="AG1969" s="24"/>
      <c r="AH1969" s="24"/>
    </row>
    <row r="1970" spans="1:34" ht="75" x14ac:dyDescent="0.25">
      <c r="A1970" s="24" t="str">
        <f>HYPERLINK("https://www.cpso.on.ca/DoctorDetails/Robert-George-Smith/0057916-69504","Smith, Robert George")</f>
        <v>Smith, Robert George</v>
      </c>
      <c r="B1970" s="25" t="s">
        <v>18602</v>
      </c>
      <c r="C1970" s="24" t="s">
        <v>18603</v>
      </c>
      <c r="D1970" s="24" t="s">
        <v>214</v>
      </c>
      <c r="E1970" s="24" t="s">
        <v>18604</v>
      </c>
      <c r="F1970" s="24" t="s">
        <v>30</v>
      </c>
      <c r="G1970" s="24" t="s">
        <v>31</v>
      </c>
      <c r="H1970" s="24" t="s">
        <v>838</v>
      </c>
      <c r="I1970" s="24" t="s">
        <v>18605</v>
      </c>
      <c r="J1970" s="24" t="s">
        <v>18606</v>
      </c>
      <c r="K1970" s="24" t="s">
        <v>18607</v>
      </c>
      <c r="L1970" s="24" t="s">
        <v>340</v>
      </c>
      <c r="M1970" s="15" t="s">
        <v>18608</v>
      </c>
      <c r="N1970" s="15"/>
      <c r="O1970" s="15"/>
      <c r="P1970" s="15" t="s">
        <v>1343</v>
      </c>
      <c r="Q1970" s="15" t="s">
        <v>18609</v>
      </c>
      <c r="R1970" s="15" t="s">
        <v>18610</v>
      </c>
      <c r="S1970" s="24" t="s">
        <v>39</v>
      </c>
      <c r="T1970" s="24" t="s">
        <v>39</v>
      </c>
      <c r="U1970" s="24" t="s">
        <v>39</v>
      </c>
      <c r="V1970" s="24" t="s">
        <v>39</v>
      </c>
      <c r="W1970" s="24"/>
      <c r="X1970" s="24"/>
      <c r="Y1970" s="15"/>
      <c r="Z1970" s="15"/>
      <c r="AA1970" s="24"/>
      <c r="AB1970" s="24"/>
      <c r="AC1970" s="24"/>
      <c r="AD1970" s="24"/>
      <c r="AE1970" s="24"/>
      <c r="AF1970" s="24"/>
      <c r="AG1970" s="24"/>
      <c r="AH1970" s="24"/>
    </row>
    <row r="1971" spans="1:34" ht="60" x14ac:dyDescent="0.25">
      <c r="A1971" s="24" t="str">
        <f>HYPERLINK("https://www.cpso.on.ca/DoctorDetails/Robert-Gordon-Maunder/0039951-53927","Maunder, Robert Gordon")</f>
        <v>Maunder, Robert Gordon</v>
      </c>
      <c r="B1971" s="25" t="s">
        <v>18611</v>
      </c>
      <c r="C1971" s="24" t="s">
        <v>3450</v>
      </c>
      <c r="D1971" s="24" t="s">
        <v>18612</v>
      </c>
      <c r="E1971" s="24" t="s">
        <v>29</v>
      </c>
      <c r="F1971" s="24" t="s">
        <v>30</v>
      </c>
      <c r="G1971" s="24" t="s">
        <v>31</v>
      </c>
      <c r="H1971" s="24" t="s">
        <v>3452</v>
      </c>
      <c r="I1971" s="24" t="s">
        <v>18613</v>
      </c>
      <c r="J1971" s="24" t="s">
        <v>18614</v>
      </c>
      <c r="K1971" s="24" t="s">
        <v>1528</v>
      </c>
      <c r="L1971" s="24" t="s">
        <v>52</v>
      </c>
      <c r="M1971" s="15"/>
      <c r="N1971" s="15"/>
      <c r="O1971" s="15" t="s">
        <v>3545</v>
      </c>
      <c r="P1971" s="15" t="s">
        <v>2416</v>
      </c>
      <c r="Q1971" s="15" t="s">
        <v>18615</v>
      </c>
      <c r="R1971" s="15" t="s">
        <v>18616</v>
      </c>
      <c r="S1971" s="24" t="s">
        <v>39</v>
      </c>
      <c r="T1971" s="24" t="s">
        <v>39</v>
      </c>
      <c r="U1971" s="24" t="s">
        <v>39</v>
      </c>
      <c r="V1971" s="24" t="s">
        <v>39</v>
      </c>
      <c r="W1971" s="24" t="s">
        <v>18617</v>
      </c>
      <c r="X1971" s="24" t="s">
        <v>18618</v>
      </c>
      <c r="Y1971" s="15" t="s">
        <v>18619</v>
      </c>
      <c r="Z1971" s="15" t="s">
        <v>18620</v>
      </c>
      <c r="AA1971" s="24"/>
      <c r="AB1971" s="24"/>
      <c r="AC1971" s="24"/>
      <c r="AD1971" s="24"/>
      <c r="AE1971" s="24"/>
      <c r="AF1971" s="24"/>
      <c r="AG1971" s="24"/>
      <c r="AH1971" s="24"/>
    </row>
    <row r="1972" spans="1:34" ht="75" x14ac:dyDescent="0.25">
      <c r="A1972" s="24" t="str">
        <f>HYPERLINK("https://www.cpso.on.ca/DoctorDetails/Robert-Grahame-Cooke/0027560-32383","Cooke, Robert Grahame")</f>
        <v>Cooke, Robert Grahame</v>
      </c>
      <c r="B1972" s="25" t="s">
        <v>18621</v>
      </c>
      <c r="C1972" s="24" t="s">
        <v>18622</v>
      </c>
      <c r="D1972" s="24" t="s">
        <v>18623</v>
      </c>
      <c r="E1972" s="24" t="s">
        <v>29</v>
      </c>
      <c r="F1972" s="24" t="s">
        <v>30</v>
      </c>
      <c r="G1972" s="24" t="s">
        <v>31</v>
      </c>
      <c r="H1972" s="24" t="s">
        <v>11232</v>
      </c>
      <c r="I1972" s="24" t="s">
        <v>18624</v>
      </c>
      <c r="J1972" s="24" t="s">
        <v>18625</v>
      </c>
      <c r="K1972" s="24" t="s">
        <v>7708</v>
      </c>
      <c r="L1972" s="24" t="s">
        <v>52</v>
      </c>
      <c r="M1972" s="15" t="s">
        <v>18626</v>
      </c>
      <c r="N1972" s="15"/>
      <c r="O1972" s="15" t="s">
        <v>18627</v>
      </c>
      <c r="P1972" s="15" t="s">
        <v>233</v>
      </c>
      <c r="Q1972" s="15"/>
      <c r="R1972" s="15" t="s">
        <v>18628</v>
      </c>
      <c r="S1972" s="24" t="s">
        <v>39</v>
      </c>
      <c r="T1972" s="24" t="s">
        <v>39</v>
      </c>
      <c r="U1972" s="24" t="s">
        <v>39</v>
      </c>
      <c r="V1972" s="24" t="s">
        <v>39</v>
      </c>
      <c r="W1972" s="24" t="s">
        <v>18629</v>
      </c>
      <c r="X1972" s="24" t="s">
        <v>18630</v>
      </c>
      <c r="Y1972" s="15" t="s">
        <v>18631</v>
      </c>
      <c r="Z1972" s="15" t="s">
        <v>18632</v>
      </c>
      <c r="AA1972" s="24"/>
      <c r="AB1972" s="24"/>
      <c r="AC1972" s="24"/>
      <c r="AD1972" s="24"/>
      <c r="AE1972" s="24"/>
      <c r="AF1972" s="24"/>
      <c r="AG1972" s="24"/>
      <c r="AH1972" s="24"/>
    </row>
    <row r="1973" spans="1:34" ht="75" x14ac:dyDescent="0.25">
      <c r="A1973" s="24" t="str">
        <f>HYPERLINK("https://www.cpso.on.ca/DoctorDetails/Robert-Ian-Madan/0149098-72221","Madan, Robert Ian")</f>
        <v>Madan, Robert Ian</v>
      </c>
      <c r="B1973" s="25" t="s">
        <v>18633</v>
      </c>
      <c r="C1973" s="24" t="s">
        <v>954</v>
      </c>
      <c r="D1973" s="24" t="s">
        <v>1323</v>
      </c>
      <c r="E1973" s="24" t="s">
        <v>29</v>
      </c>
      <c r="F1973" s="24" t="s">
        <v>30</v>
      </c>
      <c r="G1973" s="24" t="s">
        <v>31</v>
      </c>
      <c r="H1973" s="24" t="s">
        <v>8209</v>
      </c>
      <c r="I1973" s="24" t="s">
        <v>18634</v>
      </c>
      <c r="J1973" s="24" t="s">
        <v>18635</v>
      </c>
      <c r="K1973" s="24" t="s">
        <v>3920</v>
      </c>
      <c r="L1973" s="24" t="s">
        <v>52</v>
      </c>
      <c r="M1973" s="15"/>
      <c r="N1973" s="15"/>
      <c r="O1973" s="15" t="s">
        <v>3921</v>
      </c>
      <c r="P1973" s="15" t="s">
        <v>1330</v>
      </c>
      <c r="Q1973" s="15" t="s">
        <v>2170</v>
      </c>
      <c r="R1973" s="15" t="s">
        <v>2171</v>
      </c>
      <c r="S1973" s="24" t="s">
        <v>39</v>
      </c>
      <c r="T1973" s="24" t="s">
        <v>39</v>
      </c>
      <c r="U1973" s="24" t="s">
        <v>39</v>
      </c>
      <c r="V1973" s="24" t="s">
        <v>39</v>
      </c>
      <c r="W1973" s="24" t="s">
        <v>18636</v>
      </c>
      <c r="X1973" s="24" t="s">
        <v>18637</v>
      </c>
      <c r="Y1973" s="15" t="s">
        <v>18638</v>
      </c>
      <c r="Z1973" s="15" t="s">
        <v>18639</v>
      </c>
      <c r="AA1973" s="24"/>
      <c r="AB1973" s="24"/>
      <c r="AC1973" s="24"/>
      <c r="AD1973" s="24"/>
      <c r="AE1973" s="24"/>
      <c r="AF1973" s="24"/>
      <c r="AG1973" s="24"/>
      <c r="AH1973" s="24"/>
    </row>
    <row r="1974" spans="1:34" ht="30" x14ac:dyDescent="0.25">
      <c r="A1974" s="24" t="str">
        <f>HYPERLINK("https://www.cpso.on.ca/DoctorDetails/Robert-Jaunkalns/0028947-33770","Jaunkalns, Robert")</f>
        <v>Jaunkalns, Robert</v>
      </c>
      <c r="B1974" s="25" t="s">
        <v>18640</v>
      </c>
      <c r="C1974" s="24" t="s">
        <v>1185</v>
      </c>
      <c r="D1974" s="24" t="s">
        <v>18641</v>
      </c>
      <c r="E1974" s="24" t="s">
        <v>29</v>
      </c>
      <c r="F1974" s="24" t="s">
        <v>30</v>
      </c>
      <c r="G1974" s="24" t="s">
        <v>31</v>
      </c>
      <c r="H1974" s="24" t="s">
        <v>2861</v>
      </c>
      <c r="I1974" s="24" t="s">
        <v>18642</v>
      </c>
      <c r="J1974" s="24" t="s">
        <v>18643</v>
      </c>
      <c r="K1974" s="24" t="s">
        <v>6537</v>
      </c>
      <c r="L1974" s="24" t="s">
        <v>52</v>
      </c>
      <c r="M1974" s="15"/>
      <c r="N1974" s="15"/>
      <c r="O1974" s="15" t="s">
        <v>1397</v>
      </c>
      <c r="P1974" s="15" t="s">
        <v>3194</v>
      </c>
      <c r="Q1974" s="15"/>
      <c r="R1974" s="15" t="s">
        <v>18644</v>
      </c>
      <c r="S1974" s="24" t="s">
        <v>39</v>
      </c>
      <c r="T1974" s="24" t="s">
        <v>39</v>
      </c>
      <c r="U1974" s="24" t="s">
        <v>39</v>
      </c>
      <c r="V1974" s="24" t="s">
        <v>39</v>
      </c>
      <c r="W1974" s="24"/>
      <c r="X1974" s="24"/>
      <c r="Y1974" s="15"/>
      <c r="Z1974" s="15"/>
      <c r="AA1974" s="24"/>
      <c r="AB1974" s="24"/>
      <c r="AC1974" s="24"/>
      <c r="AD1974" s="24"/>
      <c r="AE1974" s="24"/>
      <c r="AF1974" s="24"/>
      <c r="AG1974" s="24"/>
      <c r="AH1974" s="24"/>
    </row>
    <row r="1975" spans="1:34" ht="45" x14ac:dyDescent="0.25">
      <c r="A1975" s="24" t="str">
        <f>HYPERLINK("https://www.cpso.on.ca/DoctorDetails/Robert-Jay-Cardish/0022455-27245","Cardish, Robert Jay")</f>
        <v>Cardish, Robert Jay</v>
      </c>
      <c r="B1975" s="25" t="s">
        <v>18645</v>
      </c>
      <c r="C1975" s="24" t="s">
        <v>18646</v>
      </c>
      <c r="D1975" s="24" t="s">
        <v>18647</v>
      </c>
      <c r="E1975" s="24" t="s">
        <v>29</v>
      </c>
      <c r="F1975" s="24" t="s">
        <v>30</v>
      </c>
      <c r="G1975" s="24" t="s">
        <v>31</v>
      </c>
      <c r="H1975" s="24" t="s">
        <v>455</v>
      </c>
      <c r="I1975" s="24" t="s">
        <v>18648</v>
      </c>
      <c r="J1975" s="24" t="s">
        <v>18649</v>
      </c>
      <c r="K1975" s="24" t="s">
        <v>3692</v>
      </c>
      <c r="L1975" s="24" t="s">
        <v>52</v>
      </c>
      <c r="M1975" s="15"/>
      <c r="N1975" s="15"/>
      <c r="O1975" s="15" t="s">
        <v>2483</v>
      </c>
      <c r="P1975" s="15" t="s">
        <v>7653</v>
      </c>
      <c r="Q1975" s="15"/>
      <c r="R1975" s="15" t="s">
        <v>18650</v>
      </c>
      <c r="S1975" s="24" t="s">
        <v>39</v>
      </c>
      <c r="T1975" s="24" t="s">
        <v>39</v>
      </c>
      <c r="U1975" s="24" t="s">
        <v>39</v>
      </c>
      <c r="V1975" s="24" t="s">
        <v>39</v>
      </c>
      <c r="W1975" s="24" t="s">
        <v>18651</v>
      </c>
      <c r="X1975" s="24" t="s">
        <v>18652</v>
      </c>
      <c r="Y1975" s="15" t="s">
        <v>18653</v>
      </c>
      <c r="Z1975" s="15" t="s">
        <v>18654</v>
      </c>
      <c r="AA1975" s="24"/>
      <c r="AB1975" s="24"/>
      <c r="AC1975" s="24"/>
      <c r="AD1975" s="24"/>
      <c r="AE1975" s="24"/>
      <c r="AF1975" s="24"/>
      <c r="AG1975" s="24"/>
      <c r="AH1975" s="24"/>
    </row>
    <row r="1976" spans="1:34" x14ac:dyDescent="0.25">
      <c r="A1976" s="24" t="str">
        <f>HYPERLINK("https://www.cpso.on.ca/DoctorDetails/Robert-John-Mclean-Lockhart/0046246-60224","Lockhart, Robert John Mclean")</f>
        <v>Lockhart, Robert John Mclean</v>
      </c>
      <c r="B1976" s="25" t="s">
        <v>18655</v>
      </c>
      <c r="C1976" s="24" t="s">
        <v>18656</v>
      </c>
      <c r="D1976" s="24" t="s">
        <v>18657</v>
      </c>
      <c r="E1976" s="24" t="s">
        <v>29</v>
      </c>
      <c r="F1976" s="24" t="s">
        <v>30</v>
      </c>
      <c r="G1976" s="24" t="s">
        <v>31</v>
      </c>
      <c r="H1976" s="24" t="s">
        <v>3452</v>
      </c>
      <c r="I1976" s="24" t="s">
        <v>18658</v>
      </c>
      <c r="J1976" s="24" t="s">
        <v>18659</v>
      </c>
      <c r="K1976" s="24" t="s">
        <v>18660</v>
      </c>
      <c r="L1976" s="24" t="s">
        <v>135</v>
      </c>
      <c r="M1976" s="15"/>
      <c r="N1976" s="15"/>
      <c r="O1976" s="15"/>
      <c r="P1976" s="15" t="s">
        <v>2640</v>
      </c>
      <c r="Q1976" s="15"/>
      <c r="R1976" s="15" t="s">
        <v>18661</v>
      </c>
      <c r="S1976" s="24" t="s">
        <v>39</v>
      </c>
      <c r="T1976" s="24" t="s">
        <v>39</v>
      </c>
      <c r="U1976" s="24" t="s">
        <v>39</v>
      </c>
      <c r="V1976" s="24" t="s">
        <v>39</v>
      </c>
      <c r="W1976" s="24" t="s">
        <v>18662</v>
      </c>
      <c r="X1976" s="24" t="s">
        <v>18663</v>
      </c>
      <c r="Y1976" s="15" t="s">
        <v>18664</v>
      </c>
      <c r="Z1976" s="15" t="s">
        <v>18665</v>
      </c>
      <c r="AA1976" s="24"/>
      <c r="AB1976" s="24"/>
      <c r="AC1976" s="24"/>
      <c r="AD1976" s="24"/>
      <c r="AE1976" s="24"/>
      <c r="AF1976" s="24"/>
      <c r="AG1976" s="24"/>
      <c r="AH1976" s="24"/>
    </row>
    <row r="1977" spans="1:34" ht="75" x14ac:dyDescent="0.25">
      <c r="A1977" s="24" t="str">
        <f>HYPERLINK("https://www.cpso.on.ca/DoctorDetails/Robert-John-Nicolson/0052442-66406","Nicolson, Robert John")</f>
        <v>Nicolson, Robert John</v>
      </c>
      <c r="B1977" s="25" t="s">
        <v>18666</v>
      </c>
      <c r="C1977" s="24" t="s">
        <v>18667</v>
      </c>
      <c r="D1977" s="24" t="s">
        <v>18668</v>
      </c>
      <c r="E1977" s="24" t="s">
        <v>29</v>
      </c>
      <c r="F1977" s="24" t="s">
        <v>30</v>
      </c>
      <c r="G1977" s="24" t="s">
        <v>31</v>
      </c>
      <c r="H1977" s="24" t="s">
        <v>9623</v>
      </c>
      <c r="I1977" s="24" t="s">
        <v>18669</v>
      </c>
      <c r="J1977" s="24" t="s">
        <v>18670</v>
      </c>
      <c r="K1977" s="24" t="s">
        <v>911</v>
      </c>
      <c r="L1977" s="24" t="s">
        <v>135</v>
      </c>
      <c r="M1977" s="15" t="s">
        <v>18671</v>
      </c>
      <c r="N1977" s="15"/>
      <c r="O1977" s="15" t="s">
        <v>8520</v>
      </c>
      <c r="P1977" s="15" t="s">
        <v>18519</v>
      </c>
      <c r="Q1977" s="15" t="s">
        <v>1937</v>
      </c>
      <c r="R1977" s="15" t="s">
        <v>18672</v>
      </c>
      <c r="S1977" s="24" t="s">
        <v>39</v>
      </c>
      <c r="T1977" s="24" t="s">
        <v>39</v>
      </c>
      <c r="U1977" s="24" t="s">
        <v>39</v>
      </c>
      <c r="V1977" s="24" t="s">
        <v>39</v>
      </c>
      <c r="W1977" s="24"/>
      <c r="X1977" s="24"/>
      <c r="Y1977" s="15"/>
      <c r="Z1977" s="15"/>
      <c r="AA1977" s="24"/>
      <c r="AB1977" s="24"/>
      <c r="AC1977" s="24"/>
      <c r="AD1977" s="24"/>
      <c r="AE1977" s="24"/>
      <c r="AF1977" s="24"/>
      <c r="AG1977" s="24"/>
      <c r="AH1977" s="24"/>
    </row>
    <row r="1978" spans="1:34" ht="105" x14ac:dyDescent="0.25">
      <c r="A1978" s="24" t="str">
        <f>HYPERLINK("https://www.cpso.on.ca/DoctorDetails/Robert-Joseph-King/0039856-53832","King, Robert Joseph")</f>
        <v>King, Robert Joseph</v>
      </c>
      <c r="B1978" s="25" t="s">
        <v>18673</v>
      </c>
      <c r="C1978" s="24" t="s">
        <v>704</v>
      </c>
      <c r="D1978" s="24" t="s">
        <v>18674</v>
      </c>
      <c r="E1978" s="24" t="s">
        <v>29</v>
      </c>
      <c r="F1978" s="24" t="s">
        <v>30</v>
      </c>
      <c r="G1978" s="24" t="s">
        <v>31</v>
      </c>
      <c r="H1978" s="24" t="s">
        <v>3452</v>
      </c>
      <c r="I1978" s="24" t="s">
        <v>18675</v>
      </c>
      <c r="J1978" s="24" t="s">
        <v>18676</v>
      </c>
      <c r="K1978" s="24" t="s">
        <v>18677</v>
      </c>
      <c r="L1978" s="24" t="s">
        <v>328</v>
      </c>
      <c r="M1978" s="15" t="s">
        <v>18678</v>
      </c>
      <c r="N1978" s="15"/>
      <c r="O1978" s="15"/>
      <c r="P1978" s="15" t="s">
        <v>2293</v>
      </c>
      <c r="Q1978" s="15" t="s">
        <v>18679</v>
      </c>
      <c r="R1978" s="15" t="s">
        <v>18680</v>
      </c>
      <c r="S1978" s="24" t="s">
        <v>39</v>
      </c>
      <c r="T1978" s="24" t="s">
        <v>39</v>
      </c>
      <c r="U1978" s="24" t="s">
        <v>39</v>
      </c>
      <c r="V1978" s="24" t="s">
        <v>39</v>
      </c>
      <c r="W1978" s="24" t="s">
        <v>18681</v>
      </c>
      <c r="X1978" s="24" t="s">
        <v>18682</v>
      </c>
      <c r="Y1978" s="15"/>
      <c r="Z1978" s="15"/>
      <c r="AA1978" s="24" t="s">
        <v>18683</v>
      </c>
      <c r="AB1978" s="24" t="s">
        <v>822</v>
      </c>
      <c r="AC1978" s="24" t="s">
        <v>18684</v>
      </c>
      <c r="AD1978" s="24" t="s">
        <v>18685</v>
      </c>
      <c r="AE1978" s="24"/>
      <c r="AF1978" s="24"/>
      <c r="AG1978" s="24"/>
      <c r="AH1978" s="24"/>
    </row>
    <row r="1979" spans="1:34" ht="60" x14ac:dyDescent="0.25">
      <c r="A1979" s="24" t="str">
        <f>HYPERLINK("https://www.cpso.on.ca/DoctorDetails/Robert-Joseph-Vervaeke/0041302-55278","Vervaeke, Robert Joseph")</f>
        <v>Vervaeke, Robert Joseph</v>
      </c>
      <c r="B1979" s="25" t="s">
        <v>18686</v>
      </c>
      <c r="C1979" s="24" t="s">
        <v>2132</v>
      </c>
      <c r="D1979" s="24" t="s">
        <v>15622</v>
      </c>
      <c r="E1979" s="24" t="s">
        <v>29</v>
      </c>
      <c r="F1979" s="24" t="s">
        <v>30</v>
      </c>
      <c r="G1979" s="24" t="s">
        <v>31</v>
      </c>
      <c r="H1979" s="24" t="s">
        <v>7816</v>
      </c>
      <c r="I1979" s="24" t="s">
        <v>18687</v>
      </c>
      <c r="J1979" s="24" t="s">
        <v>18688</v>
      </c>
      <c r="K1979" s="24" t="s">
        <v>18688</v>
      </c>
      <c r="L1979" s="24" t="s">
        <v>84</v>
      </c>
      <c r="M1979" s="15"/>
      <c r="N1979" s="15"/>
      <c r="O1979" s="15"/>
      <c r="P1979" s="15" t="s">
        <v>2416</v>
      </c>
      <c r="Q1979" s="15" t="s">
        <v>8135</v>
      </c>
      <c r="R1979" s="15" t="s">
        <v>18689</v>
      </c>
      <c r="S1979" s="24" t="s">
        <v>39</v>
      </c>
      <c r="T1979" s="24" t="s">
        <v>39</v>
      </c>
      <c r="U1979" s="24" t="s">
        <v>39</v>
      </c>
      <c r="V1979" s="24" t="s">
        <v>39</v>
      </c>
      <c r="W1979" s="24" t="s">
        <v>18690</v>
      </c>
      <c r="X1979" s="24" t="s">
        <v>18691</v>
      </c>
      <c r="Y1979" s="15" t="s">
        <v>18692</v>
      </c>
      <c r="Z1979" s="15" t="s">
        <v>18693</v>
      </c>
      <c r="AA1979" s="24"/>
      <c r="AB1979" s="24"/>
      <c r="AC1979" s="24"/>
      <c r="AD1979" s="24"/>
      <c r="AE1979" s="24"/>
      <c r="AF1979" s="24"/>
      <c r="AG1979" s="24"/>
      <c r="AH1979" s="24"/>
    </row>
    <row r="1980" spans="1:34" ht="45" x14ac:dyDescent="0.25">
      <c r="A1980" s="24" t="str">
        <f>HYPERLINK("https://www.cpso.on.ca/DoctorDetails/Robert-Lee-Dickey/0027472-32295","Dickey, Robert Lee")</f>
        <v>Dickey, Robert Lee</v>
      </c>
      <c r="B1980" s="25" t="s">
        <v>18694</v>
      </c>
      <c r="C1980" s="24" t="s">
        <v>18695</v>
      </c>
      <c r="D1980" s="24" t="s">
        <v>18696</v>
      </c>
      <c r="E1980" s="24" t="s">
        <v>29</v>
      </c>
      <c r="F1980" s="24" t="s">
        <v>30</v>
      </c>
      <c r="G1980" s="24" t="s">
        <v>31</v>
      </c>
      <c r="H1980" s="24" t="s">
        <v>18697</v>
      </c>
      <c r="I1980" s="24" t="s">
        <v>12587</v>
      </c>
      <c r="J1980" s="24" t="s">
        <v>18698</v>
      </c>
      <c r="K1980" s="24" t="s">
        <v>18699</v>
      </c>
      <c r="L1980" s="24" t="s">
        <v>36</v>
      </c>
      <c r="M1980" s="15"/>
      <c r="N1980" s="15"/>
      <c r="O1980" s="15" t="s">
        <v>18700</v>
      </c>
      <c r="P1980" s="15" t="s">
        <v>4108</v>
      </c>
      <c r="Q1980" s="15"/>
      <c r="R1980" s="15" t="s">
        <v>18701</v>
      </c>
      <c r="S1980" s="24" t="s">
        <v>39</v>
      </c>
      <c r="T1980" s="24" t="s">
        <v>39</v>
      </c>
      <c r="U1980" s="24" t="s">
        <v>39</v>
      </c>
      <c r="V1980" s="24" t="s">
        <v>39</v>
      </c>
      <c r="W1980" s="24"/>
      <c r="X1980" s="24"/>
      <c r="Y1980" s="15"/>
      <c r="Z1980" s="15"/>
      <c r="AA1980" s="24"/>
      <c r="AB1980" s="24"/>
      <c r="AC1980" s="24"/>
      <c r="AD1980" s="24"/>
      <c r="AE1980" s="24"/>
      <c r="AF1980" s="24"/>
      <c r="AG1980" s="24"/>
      <c r="AH1980" s="24"/>
    </row>
    <row r="1981" spans="1:34" ht="60" x14ac:dyDescent="0.25">
      <c r="A1981" s="24" t="str">
        <f>HYPERLINK("https://www.cpso.on.ca/DoctorDetails/Robert-Mark-Notkin/0043525-57503","Notkin, Robert Mark")</f>
        <v>Notkin, Robert Mark</v>
      </c>
      <c r="B1981" s="25" t="s">
        <v>18702</v>
      </c>
      <c r="C1981" s="24" t="s">
        <v>18703</v>
      </c>
      <c r="D1981" s="24" t="s">
        <v>18704</v>
      </c>
      <c r="E1981" s="24" t="s">
        <v>29</v>
      </c>
      <c r="F1981" s="24" t="s">
        <v>30</v>
      </c>
      <c r="G1981" s="24" t="s">
        <v>31</v>
      </c>
      <c r="H1981" s="24" t="s">
        <v>1417</v>
      </c>
      <c r="I1981" s="24" t="s">
        <v>18705</v>
      </c>
      <c r="J1981" s="24" t="s">
        <v>18706</v>
      </c>
      <c r="K1981" s="24" t="s">
        <v>18707</v>
      </c>
      <c r="L1981" s="24" t="s">
        <v>52</v>
      </c>
      <c r="M1981" s="15"/>
      <c r="N1981" s="15" t="s">
        <v>18708</v>
      </c>
      <c r="O1981" s="15"/>
      <c r="P1981" s="15" t="s">
        <v>18709</v>
      </c>
      <c r="Q1981" s="15"/>
      <c r="R1981" s="15" t="s">
        <v>18710</v>
      </c>
      <c r="S1981" s="24" t="s">
        <v>39</v>
      </c>
      <c r="T1981" s="24" t="s">
        <v>39</v>
      </c>
      <c r="U1981" s="24" t="s">
        <v>39</v>
      </c>
      <c r="V1981" s="24" t="s">
        <v>71</v>
      </c>
      <c r="W1981" s="24"/>
      <c r="X1981" s="24"/>
      <c r="Y1981" s="15"/>
      <c r="Z1981" s="15"/>
      <c r="AA1981" s="24"/>
      <c r="AB1981" s="24"/>
      <c r="AC1981" s="24"/>
      <c r="AD1981" s="24"/>
      <c r="AE1981" s="24"/>
      <c r="AF1981" s="24"/>
      <c r="AG1981" s="24"/>
      <c r="AH1981" s="24"/>
    </row>
    <row r="1982" spans="1:34" ht="75" x14ac:dyDescent="0.25">
      <c r="A1982" s="24" t="str">
        <f>HYPERLINK("https://www.cpso.on.ca/DoctorDetails/Robert-Matthew-Zalan/0201759-79104","Zalan, Robert Matthew")</f>
        <v>Zalan, Robert Matthew</v>
      </c>
      <c r="B1982" s="25" t="s">
        <v>18711</v>
      </c>
      <c r="C1982" s="24" t="s">
        <v>871</v>
      </c>
      <c r="D1982" s="24" t="s">
        <v>872</v>
      </c>
      <c r="E1982" s="24" t="s">
        <v>29</v>
      </c>
      <c r="F1982" s="24" t="s">
        <v>30</v>
      </c>
      <c r="G1982" s="24" t="s">
        <v>31</v>
      </c>
      <c r="H1982" s="24" t="s">
        <v>874</v>
      </c>
      <c r="I1982" s="24" t="s">
        <v>18712</v>
      </c>
      <c r="J1982" s="24" t="s">
        <v>11238</v>
      </c>
      <c r="K1982" s="24" t="s">
        <v>12612</v>
      </c>
      <c r="L1982" s="24" t="s">
        <v>52</v>
      </c>
      <c r="M1982" s="15"/>
      <c r="N1982" s="15"/>
      <c r="O1982" s="15" t="s">
        <v>232</v>
      </c>
      <c r="P1982" s="15" t="s">
        <v>880</v>
      </c>
      <c r="Q1982" s="15" t="s">
        <v>8280</v>
      </c>
      <c r="R1982" s="15" t="s">
        <v>882</v>
      </c>
      <c r="S1982" s="24" t="s">
        <v>39</v>
      </c>
      <c r="T1982" s="24" t="s">
        <v>39</v>
      </c>
      <c r="U1982" s="24" t="s">
        <v>39</v>
      </c>
      <c r="V1982" s="24" t="s">
        <v>39</v>
      </c>
      <c r="W1982" s="24" t="s">
        <v>18713</v>
      </c>
      <c r="X1982" s="24" t="s">
        <v>18714</v>
      </c>
      <c r="Y1982" s="15" t="s">
        <v>18715</v>
      </c>
      <c r="Z1982" s="15" t="s">
        <v>18716</v>
      </c>
      <c r="AA1982" s="24"/>
      <c r="AB1982" s="24"/>
      <c r="AC1982" s="24"/>
      <c r="AD1982" s="24"/>
      <c r="AE1982" s="24"/>
      <c r="AF1982" s="24"/>
      <c r="AG1982" s="24"/>
      <c r="AH1982" s="24"/>
    </row>
    <row r="1983" spans="1:34" x14ac:dyDescent="0.25">
      <c r="A1983" s="24" t="str">
        <f>HYPERLINK("https://www.cpso.on.ca/DoctorDetails/Robert-McCurley/0021363-26151","McCurley, Robert")</f>
        <v>McCurley, Robert</v>
      </c>
      <c r="B1983" s="25" t="s">
        <v>18717</v>
      </c>
      <c r="C1983" s="24" t="s">
        <v>18718</v>
      </c>
      <c r="D1983" s="24" t="s">
        <v>18719</v>
      </c>
      <c r="E1983" s="24" t="s">
        <v>29</v>
      </c>
      <c r="F1983" s="24" t="s">
        <v>30</v>
      </c>
      <c r="G1983" s="24" t="s">
        <v>31</v>
      </c>
      <c r="H1983" s="24" t="s">
        <v>18720</v>
      </c>
      <c r="I1983" s="24" t="s">
        <v>18721</v>
      </c>
      <c r="J1983" s="24" t="s">
        <v>18722</v>
      </c>
      <c r="K1983" s="24"/>
      <c r="L1983" s="24" t="s">
        <v>52</v>
      </c>
      <c r="M1983" s="15"/>
      <c r="N1983" s="15"/>
      <c r="O1983" s="15"/>
      <c r="P1983" s="15" t="s">
        <v>2400</v>
      </c>
      <c r="Q1983" s="15"/>
      <c r="R1983" s="15" t="s">
        <v>18723</v>
      </c>
      <c r="S1983" s="24" t="s">
        <v>39</v>
      </c>
      <c r="T1983" s="24" t="s">
        <v>39</v>
      </c>
      <c r="U1983" s="24" t="s">
        <v>39</v>
      </c>
      <c r="V1983" s="24" t="s">
        <v>39</v>
      </c>
      <c r="W1983" s="24"/>
      <c r="X1983" s="24"/>
      <c r="Y1983" s="15"/>
      <c r="Z1983" s="15"/>
      <c r="AA1983" s="24"/>
      <c r="AB1983" s="24"/>
      <c r="AC1983" s="24"/>
      <c r="AD1983" s="24"/>
      <c r="AE1983" s="24"/>
      <c r="AF1983" s="24"/>
      <c r="AG1983" s="24"/>
      <c r="AH1983" s="24"/>
    </row>
    <row r="1984" spans="1:34" x14ac:dyDescent="0.25">
      <c r="A1984" s="24" t="str">
        <f>HYPERLINK("https://www.cpso.on.ca/DoctorDetails/Robert-Michael-Bedford/0027735-32558","Bedford, Robert Michael")</f>
        <v>Bedford, Robert Michael</v>
      </c>
      <c r="B1984" s="25" t="s">
        <v>18724</v>
      </c>
      <c r="C1984" s="24" t="s">
        <v>18725</v>
      </c>
      <c r="D1984" s="24" t="s">
        <v>18726</v>
      </c>
      <c r="E1984" s="24" t="s">
        <v>29</v>
      </c>
      <c r="F1984" s="24" t="s">
        <v>30</v>
      </c>
      <c r="G1984" s="24" t="s">
        <v>31</v>
      </c>
      <c r="H1984" s="24" t="s">
        <v>9945</v>
      </c>
      <c r="I1984" s="24" t="s">
        <v>18727</v>
      </c>
      <c r="J1984" s="24" t="s">
        <v>18728</v>
      </c>
      <c r="K1984" s="24"/>
      <c r="L1984" s="24" t="s">
        <v>84</v>
      </c>
      <c r="M1984" s="15"/>
      <c r="N1984" s="15"/>
      <c r="O1984" s="15"/>
      <c r="P1984" s="15" t="s">
        <v>2137</v>
      </c>
      <c r="Q1984" s="15" t="s">
        <v>18729</v>
      </c>
      <c r="R1984" s="15" t="s">
        <v>18730</v>
      </c>
      <c r="S1984" s="24" t="s">
        <v>39</v>
      </c>
      <c r="T1984" s="24" t="s">
        <v>39</v>
      </c>
      <c r="U1984" s="24" t="s">
        <v>39</v>
      </c>
      <c r="V1984" s="24" t="s">
        <v>39</v>
      </c>
      <c r="W1984" s="24" t="s">
        <v>18731</v>
      </c>
      <c r="X1984" s="24" t="s">
        <v>18732</v>
      </c>
      <c r="Y1984" s="15" t="s">
        <v>18733</v>
      </c>
      <c r="Z1984" s="15" t="s">
        <v>18734</v>
      </c>
      <c r="AA1984" s="24"/>
      <c r="AB1984" s="24"/>
      <c r="AC1984" s="24"/>
      <c r="AD1984" s="24"/>
      <c r="AE1984" s="24"/>
      <c r="AF1984" s="24"/>
      <c r="AG1984" s="24"/>
      <c r="AH1984" s="24"/>
    </row>
    <row r="1985" spans="1:34" ht="60" x14ac:dyDescent="0.25">
      <c r="A1985" s="24" t="str">
        <f>HYPERLINK("https://www.cpso.on.ca/DoctorDetails/Robert-Michael-Rehaluk/0049133-63111","Rehaluk, Robert Michael")</f>
        <v>Rehaluk, Robert Michael</v>
      </c>
      <c r="B1985" s="25" t="s">
        <v>18735</v>
      </c>
      <c r="C1985" s="24" t="s">
        <v>18736</v>
      </c>
      <c r="D1985" s="24" t="s">
        <v>18737</v>
      </c>
      <c r="E1985" s="24" t="s">
        <v>29</v>
      </c>
      <c r="F1985" s="24" t="s">
        <v>30</v>
      </c>
      <c r="G1985" s="24" t="s">
        <v>115</v>
      </c>
      <c r="H1985" s="24" t="s">
        <v>18738</v>
      </c>
      <c r="I1985" s="24" t="s">
        <v>18739</v>
      </c>
      <c r="J1985" s="24" t="s">
        <v>18740</v>
      </c>
      <c r="K1985" s="24"/>
      <c r="L1985" s="24" t="s">
        <v>184</v>
      </c>
      <c r="M1985" s="15" t="s">
        <v>18741</v>
      </c>
      <c r="N1985" s="15"/>
      <c r="O1985" s="15"/>
      <c r="P1985" s="15" t="s">
        <v>8479</v>
      </c>
      <c r="Q1985" s="15" t="s">
        <v>18742</v>
      </c>
      <c r="R1985" s="15" t="s">
        <v>18743</v>
      </c>
      <c r="S1985" s="24" t="s">
        <v>39</v>
      </c>
      <c r="T1985" s="24" t="s">
        <v>39</v>
      </c>
      <c r="U1985" s="24" t="s">
        <v>39</v>
      </c>
      <c r="V1985" s="24" t="s">
        <v>39</v>
      </c>
      <c r="W1985" s="24"/>
      <c r="X1985" s="24"/>
      <c r="Y1985" s="15"/>
      <c r="Z1985" s="15"/>
      <c r="AA1985" s="24"/>
      <c r="AB1985" s="24"/>
      <c r="AC1985" s="24"/>
      <c r="AD1985" s="24"/>
      <c r="AE1985" s="24"/>
      <c r="AF1985" s="24"/>
      <c r="AG1985" s="24"/>
      <c r="AH1985" s="24"/>
    </row>
    <row r="1986" spans="1:34" ht="30" x14ac:dyDescent="0.25">
      <c r="A1986" s="24" t="str">
        <f>HYPERLINK("https://www.cpso.on.ca/DoctorDetails/Robert-Norman-Friedman/0047280-61258","Friedman, Robert Norman")</f>
        <v>Friedman, Robert Norman</v>
      </c>
      <c r="B1986" s="25" t="s">
        <v>18744</v>
      </c>
      <c r="C1986" s="24" t="s">
        <v>3323</v>
      </c>
      <c r="D1986" s="24" t="s">
        <v>6203</v>
      </c>
      <c r="E1986" s="24" t="s">
        <v>29</v>
      </c>
      <c r="F1986" s="24" t="s">
        <v>30</v>
      </c>
      <c r="G1986" s="24" t="s">
        <v>813</v>
      </c>
      <c r="H1986" s="24" t="s">
        <v>18745</v>
      </c>
      <c r="I1986" s="24" t="s">
        <v>18746</v>
      </c>
      <c r="J1986" s="24" t="s">
        <v>4478</v>
      </c>
      <c r="K1986" s="24" t="s">
        <v>1493</v>
      </c>
      <c r="L1986" s="24" t="s">
        <v>52</v>
      </c>
      <c r="M1986" s="15"/>
      <c r="N1986" s="15"/>
      <c r="O1986" s="15" t="s">
        <v>793</v>
      </c>
      <c r="P1986" s="15" t="s">
        <v>1007</v>
      </c>
      <c r="Q1986" s="15" t="s">
        <v>3397</v>
      </c>
      <c r="R1986" s="15" t="s">
        <v>18747</v>
      </c>
      <c r="S1986" s="24" t="s">
        <v>39</v>
      </c>
      <c r="T1986" s="24" t="s">
        <v>39</v>
      </c>
      <c r="U1986" s="24" t="s">
        <v>39</v>
      </c>
      <c r="V1986" s="24" t="s">
        <v>39</v>
      </c>
      <c r="W1986" s="24"/>
      <c r="X1986" s="24"/>
      <c r="Y1986" s="15"/>
      <c r="Z1986" s="15"/>
      <c r="AA1986" s="24"/>
      <c r="AB1986" s="24"/>
      <c r="AC1986" s="24"/>
      <c r="AD1986" s="24"/>
      <c r="AE1986" s="24"/>
      <c r="AF1986" s="24"/>
      <c r="AG1986" s="24"/>
      <c r="AH1986" s="24"/>
    </row>
    <row r="1987" spans="1:34" ht="75" x14ac:dyDescent="0.25">
      <c r="A1987" s="24" t="str">
        <f>HYPERLINK("https://www.cpso.on.ca/DoctorDetails/Robert-Paul-Milin/0040233-54209","Milin, Robert Paul")</f>
        <v>Milin, Robert Paul</v>
      </c>
      <c r="B1987" s="25" t="s">
        <v>18748</v>
      </c>
      <c r="C1987" s="24" t="s">
        <v>704</v>
      </c>
      <c r="D1987" s="24" t="s">
        <v>13100</v>
      </c>
      <c r="E1987" s="24" t="s">
        <v>29</v>
      </c>
      <c r="F1987" s="24" t="s">
        <v>30</v>
      </c>
      <c r="G1987" s="24" t="s">
        <v>31</v>
      </c>
      <c r="H1987" s="24" t="s">
        <v>7816</v>
      </c>
      <c r="I1987" s="24" t="s">
        <v>708</v>
      </c>
      <c r="J1987" s="24" t="s">
        <v>7929</v>
      </c>
      <c r="K1987" s="24" t="s">
        <v>12571</v>
      </c>
      <c r="L1987" s="24" t="s">
        <v>84</v>
      </c>
      <c r="M1987" s="15" t="s">
        <v>18749</v>
      </c>
      <c r="N1987" s="15"/>
      <c r="O1987" s="15" t="s">
        <v>2156</v>
      </c>
      <c r="P1987" s="15" t="s">
        <v>18750</v>
      </c>
      <c r="Q1987" s="15" t="s">
        <v>18751</v>
      </c>
      <c r="R1987" s="15" t="s">
        <v>18752</v>
      </c>
      <c r="S1987" s="24" t="s">
        <v>39</v>
      </c>
      <c r="T1987" s="24" t="s">
        <v>39</v>
      </c>
      <c r="U1987" s="24" t="s">
        <v>39</v>
      </c>
      <c r="V1987" s="24" t="s">
        <v>39</v>
      </c>
      <c r="W1987" s="24"/>
      <c r="X1987" s="24"/>
      <c r="Y1987" s="15"/>
      <c r="Z1987" s="15"/>
      <c r="AA1987" s="24"/>
      <c r="AB1987" s="24"/>
      <c r="AC1987" s="24"/>
      <c r="AD1987" s="24"/>
      <c r="AE1987" s="24"/>
      <c r="AF1987" s="24"/>
      <c r="AG1987" s="24"/>
      <c r="AH1987" s="24"/>
    </row>
    <row r="1988" spans="1:34" ht="75" x14ac:dyDescent="0.25">
      <c r="A1988" s="24" t="str">
        <f>HYPERLINK("https://www.cpso.on.ca/DoctorDetails/Robert-Paul-Weinstein/0041434-55410","Weinstein, Robert Paul")</f>
        <v>Weinstein, Robert Paul</v>
      </c>
      <c r="B1988" s="25" t="s">
        <v>18753</v>
      </c>
      <c r="C1988" s="24" t="s">
        <v>4370</v>
      </c>
      <c r="D1988" s="24" t="s">
        <v>18754</v>
      </c>
      <c r="E1988" s="24" t="s">
        <v>29</v>
      </c>
      <c r="F1988" s="24" t="s">
        <v>30</v>
      </c>
      <c r="G1988" s="24" t="s">
        <v>31</v>
      </c>
      <c r="H1988" s="24" t="s">
        <v>5183</v>
      </c>
      <c r="I1988" s="24" t="s">
        <v>18755</v>
      </c>
      <c r="J1988" s="24" t="s">
        <v>11238</v>
      </c>
      <c r="K1988" s="24" t="s">
        <v>12612</v>
      </c>
      <c r="L1988" s="24" t="s">
        <v>52</v>
      </c>
      <c r="M1988" s="15"/>
      <c r="N1988" s="15"/>
      <c r="O1988" s="15" t="s">
        <v>3112</v>
      </c>
      <c r="P1988" s="15" t="s">
        <v>2908</v>
      </c>
      <c r="Q1988" s="15" t="s">
        <v>18756</v>
      </c>
      <c r="R1988" s="15" t="s">
        <v>18757</v>
      </c>
      <c r="S1988" s="24" t="s">
        <v>39</v>
      </c>
      <c r="T1988" s="24" t="s">
        <v>39</v>
      </c>
      <c r="U1988" s="24" t="s">
        <v>39</v>
      </c>
      <c r="V1988" s="24" t="s">
        <v>39</v>
      </c>
      <c r="W1988" s="24" t="s">
        <v>18758</v>
      </c>
      <c r="X1988" s="24" t="s">
        <v>17776</v>
      </c>
      <c r="Y1988" s="15" t="s">
        <v>18759</v>
      </c>
      <c r="Z1988" s="15" t="s">
        <v>18760</v>
      </c>
      <c r="AA1988" s="24"/>
      <c r="AB1988" s="24"/>
      <c r="AC1988" s="24"/>
      <c r="AD1988" s="24"/>
      <c r="AE1988" s="24"/>
      <c r="AF1988" s="24"/>
      <c r="AG1988" s="24"/>
      <c r="AH1988" s="24"/>
    </row>
    <row r="1989" spans="1:34" ht="75" x14ac:dyDescent="0.25">
      <c r="A1989" s="24" t="str">
        <f>HYPERLINK("https://www.cpso.on.ca/DoctorDetails/Robert-Reginald-Benjamin-Sheppard/0028218-33041","Sheppard, Robert Reginald Benjamin")</f>
        <v>Sheppard, Robert Reginald Benjamin</v>
      </c>
      <c r="B1989" s="25" t="s">
        <v>18761</v>
      </c>
      <c r="C1989" s="24" t="s">
        <v>826</v>
      </c>
      <c r="D1989" s="24" t="s">
        <v>18762</v>
      </c>
      <c r="E1989" s="24" t="s">
        <v>29</v>
      </c>
      <c r="F1989" s="24" t="s">
        <v>30</v>
      </c>
      <c r="G1989" s="24" t="s">
        <v>31</v>
      </c>
      <c r="H1989" s="24" t="s">
        <v>7012</v>
      </c>
      <c r="I1989" s="24" t="s">
        <v>18763</v>
      </c>
      <c r="J1989" s="24" t="s">
        <v>17221</v>
      </c>
      <c r="K1989" s="24" t="s">
        <v>17222</v>
      </c>
      <c r="L1989" s="24" t="s">
        <v>3849</v>
      </c>
      <c r="M1989" s="15"/>
      <c r="N1989" s="15"/>
      <c r="O1989" s="15" t="s">
        <v>4262</v>
      </c>
      <c r="P1989" s="15" t="s">
        <v>4336</v>
      </c>
      <c r="Q1989" s="15"/>
      <c r="R1989" s="15" t="s">
        <v>18764</v>
      </c>
      <c r="S1989" s="24" t="s">
        <v>39</v>
      </c>
      <c r="T1989" s="24" t="s">
        <v>39</v>
      </c>
      <c r="U1989" s="24" t="s">
        <v>39</v>
      </c>
      <c r="V1989" s="24" t="s">
        <v>39</v>
      </c>
      <c r="W1989" s="24" t="s">
        <v>18765</v>
      </c>
      <c r="X1989" s="24" t="s">
        <v>18766</v>
      </c>
      <c r="Y1989" s="15" t="s">
        <v>18767</v>
      </c>
      <c r="Z1989" s="15" t="s">
        <v>18768</v>
      </c>
      <c r="AA1989" s="24"/>
      <c r="AB1989" s="24"/>
      <c r="AC1989" s="24"/>
      <c r="AD1989" s="24"/>
      <c r="AE1989" s="24"/>
      <c r="AF1989" s="24"/>
      <c r="AG1989" s="24"/>
      <c r="AH1989" s="24"/>
    </row>
    <row r="1990" spans="1:34" ht="60" x14ac:dyDescent="0.25">
      <c r="A1990" s="24" t="str">
        <f>HYPERLINK("https://www.cpso.on.ca/DoctorDetails/Robert-Van-Reekum/0041385-55361","Van Reekum, Robert")</f>
        <v>Van Reekum, Robert</v>
      </c>
      <c r="B1990" s="25" t="s">
        <v>18769</v>
      </c>
      <c r="C1990" s="24" t="s">
        <v>2132</v>
      </c>
      <c r="D1990" s="24" t="s">
        <v>18770</v>
      </c>
      <c r="E1990" s="24" t="s">
        <v>29</v>
      </c>
      <c r="F1990" s="24" t="s">
        <v>30</v>
      </c>
      <c r="G1990" s="24" t="s">
        <v>31</v>
      </c>
      <c r="H1990" s="24" t="s">
        <v>4592</v>
      </c>
      <c r="I1990" s="24" t="s">
        <v>18771</v>
      </c>
      <c r="J1990" s="24" t="s">
        <v>18772</v>
      </c>
      <c r="K1990" s="24"/>
      <c r="L1990" s="24" t="s">
        <v>184</v>
      </c>
      <c r="M1990" s="15" t="s">
        <v>18773</v>
      </c>
      <c r="N1990" s="15"/>
      <c r="O1990" s="15" t="s">
        <v>4002</v>
      </c>
      <c r="P1990" s="15" t="s">
        <v>1033</v>
      </c>
      <c r="Q1990" s="15" t="s">
        <v>18774</v>
      </c>
      <c r="R1990" s="15" t="s">
        <v>18775</v>
      </c>
      <c r="S1990" s="24" t="s">
        <v>39</v>
      </c>
      <c r="T1990" s="24" t="s">
        <v>39</v>
      </c>
      <c r="U1990" s="24" t="s">
        <v>39</v>
      </c>
      <c r="V1990" s="24" t="s">
        <v>39</v>
      </c>
      <c r="W1990" s="24" t="s">
        <v>18776</v>
      </c>
      <c r="X1990" s="24" t="s">
        <v>18777</v>
      </c>
      <c r="Y1990" s="15" t="s">
        <v>18778</v>
      </c>
      <c r="Z1990" s="15" t="s">
        <v>18779</v>
      </c>
      <c r="AA1990" s="24"/>
      <c r="AB1990" s="24"/>
      <c r="AC1990" s="24"/>
      <c r="AD1990" s="24"/>
      <c r="AE1990" s="24"/>
      <c r="AF1990" s="24"/>
      <c r="AG1990" s="24"/>
      <c r="AH1990" s="24"/>
    </row>
    <row r="1991" spans="1:34" ht="30" x14ac:dyDescent="0.25">
      <c r="A1991" s="24" t="str">
        <f>HYPERLINK("https://www.cpso.on.ca/DoctorDetails/Robert-Wayne-Carlyle/0014411-19194","Carlyle, Robert Wayne")</f>
        <v>Carlyle, Robert Wayne</v>
      </c>
      <c r="B1991" s="25" t="s">
        <v>18780</v>
      </c>
      <c r="C1991" s="24" t="s">
        <v>5485</v>
      </c>
      <c r="D1991" s="24" t="s">
        <v>5486</v>
      </c>
      <c r="E1991" s="24" t="s">
        <v>29</v>
      </c>
      <c r="F1991" s="24" t="s">
        <v>30</v>
      </c>
      <c r="G1991" s="24" t="s">
        <v>31</v>
      </c>
      <c r="H1991" s="24" t="s">
        <v>1207</v>
      </c>
      <c r="I1991" s="24" t="s">
        <v>18781</v>
      </c>
      <c r="J1991" s="24" t="s">
        <v>18782</v>
      </c>
      <c r="K1991" s="24"/>
      <c r="L1991" s="24" t="s">
        <v>340</v>
      </c>
      <c r="M1991" s="15"/>
      <c r="N1991" s="15"/>
      <c r="O1991" s="15"/>
      <c r="P1991" s="15" t="s">
        <v>18783</v>
      </c>
      <c r="Q1991" s="15"/>
      <c r="R1991" s="15" t="s">
        <v>18784</v>
      </c>
      <c r="S1991" s="24" t="s">
        <v>39</v>
      </c>
      <c r="T1991" s="24" t="s">
        <v>39</v>
      </c>
      <c r="U1991" s="24" t="s">
        <v>39</v>
      </c>
      <c r="V1991" s="24" t="s">
        <v>39</v>
      </c>
      <c r="W1991" s="24"/>
      <c r="X1991" s="24"/>
      <c r="Y1991" s="15"/>
      <c r="Z1991" s="15"/>
      <c r="AA1991" s="24"/>
      <c r="AB1991" s="24"/>
      <c r="AC1991" s="24"/>
      <c r="AD1991" s="24"/>
      <c r="AE1991" s="24"/>
      <c r="AF1991" s="24"/>
      <c r="AG1991" s="24"/>
      <c r="AH1991" s="24"/>
    </row>
    <row r="1992" spans="1:34" ht="30" x14ac:dyDescent="0.25">
      <c r="A1992" s="24" t="str">
        <f>HYPERLINK("https://www.cpso.on.ca/DoctorDetails/Robert-Wood-Hill/0020553-25341","Hill, Robert Wood")</f>
        <v>Hill, Robert Wood</v>
      </c>
      <c r="B1992" s="25" t="s">
        <v>18785</v>
      </c>
      <c r="C1992" s="24" t="s">
        <v>18786</v>
      </c>
      <c r="D1992" s="24" t="s">
        <v>18787</v>
      </c>
      <c r="E1992" s="24" t="s">
        <v>29</v>
      </c>
      <c r="F1992" s="24" t="s">
        <v>30</v>
      </c>
      <c r="G1992" s="24" t="s">
        <v>31</v>
      </c>
      <c r="H1992" s="24" t="s">
        <v>2396</v>
      </c>
      <c r="I1992" s="24" t="s">
        <v>18788</v>
      </c>
      <c r="J1992" s="24" t="s">
        <v>18789</v>
      </c>
      <c r="K1992" s="24"/>
      <c r="L1992" s="24" t="s">
        <v>52</v>
      </c>
      <c r="M1992" s="15"/>
      <c r="N1992" s="15"/>
      <c r="O1992" s="15" t="s">
        <v>3590</v>
      </c>
      <c r="P1992" s="15" t="s">
        <v>18790</v>
      </c>
      <c r="Q1992" s="15"/>
      <c r="R1992" s="15" t="s">
        <v>18791</v>
      </c>
      <c r="S1992" s="24" t="s">
        <v>39</v>
      </c>
      <c r="T1992" s="24" t="s">
        <v>39</v>
      </c>
      <c r="U1992" s="24" t="s">
        <v>39</v>
      </c>
      <c r="V1992" s="24" t="s">
        <v>39</v>
      </c>
      <c r="W1992" s="24"/>
      <c r="X1992" s="24"/>
      <c r="Y1992" s="15"/>
      <c r="Z1992" s="15"/>
      <c r="AA1992" s="24"/>
      <c r="AB1992" s="24"/>
      <c r="AC1992" s="24"/>
      <c r="AD1992" s="24"/>
      <c r="AE1992" s="24"/>
      <c r="AF1992" s="24"/>
      <c r="AG1992" s="24"/>
      <c r="AH1992" s="24"/>
    </row>
    <row r="1993" spans="1:34" ht="90" x14ac:dyDescent="0.25">
      <c r="A1993" s="24" t="str">
        <f>HYPERLINK("https://www.cpso.on.ca/DoctorDetails/Roberta-Maria-Guimaraes-De-Oliveira/0258431-91686","Guimaraes De Oliveira, Roberta Maria")</f>
        <v>Guimaraes De Oliveira, Roberta Maria</v>
      </c>
      <c r="B1993" s="25" t="s">
        <v>18792</v>
      </c>
      <c r="C1993" s="24" t="s">
        <v>442</v>
      </c>
      <c r="D1993" s="24" t="s">
        <v>18793</v>
      </c>
      <c r="E1993" s="24" t="s">
        <v>29</v>
      </c>
      <c r="F1993" s="24" t="s">
        <v>47</v>
      </c>
      <c r="G1993" s="24" t="s">
        <v>31</v>
      </c>
      <c r="H1993" s="24" t="s">
        <v>6625</v>
      </c>
      <c r="I1993" s="24" t="s">
        <v>107</v>
      </c>
      <c r="J1993" s="24"/>
      <c r="K1993" s="24"/>
      <c r="L1993" s="24"/>
      <c r="M1993" s="15"/>
      <c r="N1993" s="15" t="s">
        <v>1449</v>
      </c>
      <c r="O1993" s="15"/>
      <c r="P1993" s="15" t="s">
        <v>449</v>
      </c>
      <c r="Q1993" s="15" t="s">
        <v>18794</v>
      </c>
      <c r="R1993" s="15" t="s">
        <v>18795</v>
      </c>
      <c r="S1993" s="24" t="s">
        <v>39</v>
      </c>
      <c r="T1993" s="24" t="s">
        <v>39</v>
      </c>
      <c r="U1993" s="24" t="s">
        <v>39</v>
      </c>
      <c r="V1993" s="24" t="s">
        <v>39</v>
      </c>
      <c r="W1993" s="24"/>
      <c r="X1993" s="24"/>
      <c r="Y1993" s="15"/>
      <c r="Z1993" s="15"/>
      <c r="AA1993" s="24"/>
      <c r="AB1993" s="24"/>
      <c r="AC1993" s="24"/>
      <c r="AD1993" s="24"/>
      <c r="AE1993" s="24"/>
      <c r="AF1993" s="24"/>
      <c r="AG1993" s="24"/>
      <c r="AH1993" s="24"/>
    </row>
    <row r="1994" spans="1:34" ht="120" x14ac:dyDescent="0.25">
      <c r="A1994" s="24" t="str">
        <f>HYPERLINK("https://www.cpso.on.ca/DoctorDetails/Roberto-Britto-Sassi/0255829-90365","Sassi, Roberto Britto")</f>
        <v>Sassi, Roberto Britto</v>
      </c>
      <c r="B1994" s="25" t="s">
        <v>18796</v>
      </c>
      <c r="C1994" s="24" t="s">
        <v>18797</v>
      </c>
      <c r="D1994" s="24" t="s">
        <v>18798</v>
      </c>
      <c r="E1994" s="24" t="s">
        <v>29</v>
      </c>
      <c r="F1994" s="24" t="s">
        <v>30</v>
      </c>
      <c r="G1994" s="24" t="s">
        <v>468</v>
      </c>
      <c r="H1994" s="24" t="s">
        <v>18799</v>
      </c>
      <c r="I1994" s="24" t="s">
        <v>18800</v>
      </c>
      <c r="J1994" s="24" t="s">
        <v>6797</v>
      </c>
      <c r="K1994" s="24" t="s">
        <v>12120</v>
      </c>
      <c r="L1994" s="24" t="s">
        <v>184</v>
      </c>
      <c r="M1994" s="15" t="s">
        <v>18801</v>
      </c>
      <c r="N1994" s="15"/>
      <c r="O1994" s="15" t="s">
        <v>12121</v>
      </c>
      <c r="P1994" s="15" t="s">
        <v>4249</v>
      </c>
      <c r="Q1994" s="15"/>
      <c r="R1994" s="15" t="s">
        <v>18802</v>
      </c>
      <c r="S1994" s="24" t="s">
        <v>39</v>
      </c>
      <c r="T1994" s="24" t="s">
        <v>39</v>
      </c>
      <c r="U1994" s="24" t="s">
        <v>39</v>
      </c>
      <c r="V1994" s="24" t="s">
        <v>39</v>
      </c>
      <c r="W1994" s="24" t="s">
        <v>18803</v>
      </c>
      <c r="X1994" s="24" t="s">
        <v>9153</v>
      </c>
      <c r="Y1994" s="15" t="s">
        <v>18804</v>
      </c>
      <c r="Z1994" s="15" t="s">
        <v>18805</v>
      </c>
      <c r="AA1994" s="24"/>
      <c r="AB1994" s="24"/>
      <c r="AC1994" s="24"/>
      <c r="AD1994" s="24"/>
      <c r="AE1994" s="24"/>
      <c r="AF1994" s="24"/>
      <c r="AG1994" s="24"/>
      <c r="AH1994" s="24"/>
    </row>
    <row r="1995" spans="1:34" ht="75" x14ac:dyDescent="0.25">
      <c r="A1995" s="24" t="str">
        <f>HYPERLINK("https://www.cpso.on.ca/DoctorDetails/Robin-Cardan/0298071-104710","Cardan, Robin")</f>
        <v>Cardan, Robin</v>
      </c>
      <c r="B1995" s="25" t="s">
        <v>18806</v>
      </c>
      <c r="C1995" s="24" t="s">
        <v>11741</v>
      </c>
      <c r="D1995" s="24" t="s">
        <v>11742</v>
      </c>
      <c r="E1995" s="24" t="s">
        <v>29</v>
      </c>
      <c r="F1995" s="24" t="s">
        <v>30</v>
      </c>
      <c r="G1995" s="24" t="s">
        <v>31</v>
      </c>
      <c r="H1995" s="24" t="s">
        <v>18807</v>
      </c>
      <c r="I1995" s="24" t="s">
        <v>18808</v>
      </c>
      <c r="J1995" s="24" t="s">
        <v>18809</v>
      </c>
      <c r="K1995" s="24" t="s">
        <v>18810</v>
      </c>
      <c r="L1995" s="24" t="s">
        <v>52</v>
      </c>
      <c r="M1995" s="15"/>
      <c r="N1995" s="15"/>
      <c r="O1995" s="15"/>
      <c r="P1995" s="15" t="s">
        <v>11746</v>
      </c>
      <c r="Q1995" s="15" t="s">
        <v>18811</v>
      </c>
      <c r="R1995" s="15" t="s">
        <v>18812</v>
      </c>
      <c r="S1995" s="24" t="s">
        <v>71</v>
      </c>
      <c r="T1995" s="24" t="s">
        <v>39</v>
      </c>
      <c r="U1995" s="24" t="s">
        <v>39</v>
      </c>
      <c r="V1995" s="24" t="s">
        <v>39</v>
      </c>
      <c r="W1995" s="24" t="s">
        <v>18813</v>
      </c>
      <c r="X1995" s="24" t="s">
        <v>8899</v>
      </c>
      <c r="Y1995" s="15" t="s">
        <v>18814</v>
      </c>
      <c r="Z1995" s="15" t="s">
        <v>18815</v>
      </c>
      <c r="AA1995" s="24"/>
      <c r="AB1995" s="24"/>
      <c r="AC1995" s="24"/>
      <c r="AD1995" s="24"/>
      <c r="AE1995" s="24"/>
      <c r="AF1995" s="24"/>
      <c r="AG1995" s="24"/>
      <c r="AH1995" s="24"/>
    </row>
    <row r="1996" spans="1:34" ht="150" x14ac:dyDescent="0.25">
      <c r="A1996" s="24" t="str">
        <f>HYPERLINK("https://www.cpso.on.ca/DoctorDetails/Robin-Khanna/0273481-96144","Khanna, Robin")</f>
        <v>Khanna, Robin</v>
      </c>
      <c r="B1996" s="25" t="s">
        <v>18816</v>
      </c>
      <c r="C1996" s="24" t="s">
        <v>7361</v>
      </c>
      <c r="D1996" s="24" t="s">
        <v>7660</v>
      </c>
      <c r="E1996" s="24" t="s">
        <v>29</v>
      </c>
      <c r="F1996" s="24" t="s">
        <v>30</v>
      </c>
      <c r="G1996" s="24" t="s">
        <v>31</v>
      </c>
      <c r="H1996" s="24" t="s">
        <v>18817</v>
      </c>
      <c r="I1996" s="24" t="s">
        <v>18818</v>
      </c>
      <c r="J1996" s="24" t="s">
        <v>7257</v>
      </c>
      <c r="K1996" s="24"/>
      <c r="L1996" s="24" t="s">
        <v>184</v>
      </c>
      <c r="M1996" s="15" t="s">
        <v>18819</v>
      </c>
      <c r="N1996" s="15"/>
      <c r="O1996" s="15" t="s">
        <v>18820</v>
      </c>
      <c r="P1996" s="15" t="s">
        <v>18821</v>
      </c>
      <c r="Q1996" s="15" t="s">
        <v>18822</v>
      </c>
      <c r="R1996" s="15" t="s">
        <v>18823</v>
      </c>
      <c r="S1996" s="24" t="s">
        <v>39</v>
      </c>
      <c r="T1996" s="24" t="s">
        <v>39</v>
      </c>
      <c r="U1996" s="24" t="s">
        <v>39</v>
      </c>
      <c r="V1996" s="24" t="s">
        <v>39</v>
      </c>
      <c r="W1996" s="24" t="s">
        <v>18824</v>
      </c>
      <c r="X1996" s="24" t="s">
        <v>18825</v>
      </c>
      <c r="Y1996" s="15" t="s">
        <v>18826</v>
      </c>
      <c r="Z1996" s="15" t="s">
        <v>18827</v>
      </c>
      <c r="AA1996" s="24"/>
      <c r="AB1996" s="24"/>
      <c r="AC1996" s="24"/>
      <c r="AD1996" s="24"/>
      <c r="AE1996" s="24"/>
      <c r="AF1996" s="24"/>
      <c r="AG1996" s="24"/>
      <c r="AH1996" s="24"/>
    </row>
    <row r="1997" spans="1:34" ht="75" x14ac:dyDescent="0.25">
      <c r="A1997" s="24" t="str">
        <f>HYPERLINK("https://www.cpso.on.ca/DoctorDetails/Robyn-Esther-Waxman/0220553-82503","Waxman, Robyn Esther")</f>
        <v>Waxman, Robyn Esther</v>
      </c>
      <c r="B1997" s="25" t="s">
        <v>18828</v>
      </c>
      <c r="C1997" s="24" t="s">
        <v>2342</v>
      </c>
      <c r="D1997" s="24" t="s">
        <v>2343</v>
      </c>
      <c r="E1997" s="24" t="s">
        <v>29</v>
      </c>
      <c r="F1997" s="24" t="s">
        <v>47</v>
      </c>
      <c r="G1997" s="24" t="s">
        <v>31</v>
      </c>
      <c r="H1997" s="24" t="s">
        <v>6117</v>
      </c>
      <c r="I1997" s="24" t="s">
        <v>2871</v>
      </c>
      <c r="J1997" s="24" t="s">
        <v>8690</v>
      </c>
      <c r="K1997" s="24" t="s">
        <v>18829</v>
      </c>
      <c r="L1997" s="24" t="s">
        <v>36</v>
      </c>
      <c r="M1997" s="15"/>
      <c r="N1997" s="15"/>
      <c r="O1997" s="15" t="s">
        <v>5818</v>
      </c>
      <c r="P1997" s="15" t="s">
        <v>18830</v>
      </c>
      <c r="Q1997" s="15" t="s">
        <v>2349</v>
      </c>
      <c r="R1997" s="15" t="s">
        <v>2350</v>
      </c>
      <c r="S1997" s="24" t="s">
        <v>39</v>
      </c>
      <c r="T1997" s="24" t="s">
        <v>39</v>
      </c>
      <c r="U1997" s="24" t="s">
        <v>39</v>
      </c>
      <c r="V1997" s="24" t="s">
        <v>39</v>
      </c>
      <c r="W1997" s="24"/>
      <c r="X1997" s="24"/>
      <c r="Y1997" s="15"/>
      <c r="Z1997" s="15"/>
      <c r="AA1997" s="24"/>
      <c r="AB1997" s="24"/>
      <c r="AC1997" s="24"/>
      <c r="AD1997" s="24"/>
      <c r="AE1997" s="24"/>
      <c r="AF1997" s="24"/>
      <c r="AG1997" s="24"/>
      <c r="AH1997" s="24"/>
    </row>
    <row r="1998" spans="1:34" ht="75" x14ac:dyDescent="0.25">
      <c r="A1998" s="24" t="str">
        <f>HYPERLINK("https://www.cpso.on.ca/DoctorDetails/Robyn-Shaughnessy-Fallen/0280729-97581","Fallen, Robyn Shaughnessy")</f>
        <v>Fallen, Robyn Shaughnessy</v>
      </c>
      <c r="B1998" s="25" t="s">
        <v>18831</v>
      </c>
      <c r="C1998" s="24" t="s">
        <v>544</v>
      </c>
      <c r="D1998" s="24" t="s">
        <v>545</v>
      </c>
      <c r="E1998" s="24" t="s">
        <v>29</v>
      </c>
      <c r="F1998" s="24" t="s">
        <v>47</v>
      </c>
      <c r="G1998" s="24" t="s">
        <v>31</v>
      </c>
      <c r="H1998" s="24" t="s">
        <v>2650</v>
      </c>
      <c r="I1998" s="24" t="s">
        <v>18832</v>
      </c>
      <c r="J1998" s="24" t="s">
        <v>18833</v>
      </c>
      <c r="K1998" s="24" t="s">
        <v>6050</v>
      </c>
      <c r="L1998" s="24" t="s">
        <v>152</v>
      </c>
      <c r="M1998" s="15" t="s">
        <v>18834</v>
      </c>
      <c r="N1998" s="15"/>
      <c r="O1998" s="15" t="s">
        <v>3768</v>
      </c>
      <c r="P1998" s="15" t="s">
        <v>550</v>
      </c>
      <c r="Q1998" s="15" t="s">
        <v>11698</v>
      </c>
      <c r="R1998" s="15" t="s">
        <v>552</v>
      </c>
      <c r="S1998" s="24" t="s">
        <v>39</v>
      </c>
      <c r="T1998" s="24" t="s">
        <v>39</v>
      </c>
      <c r="U1998" s="24" t="s">
        <v>39</v>
      </c>
      <c r="V1998" s="24" t="s">
        <v>39</v>
      </c>
      <c r="W1998" s="24" t="s">
        <v>18835</v>
      </c>
      <c r="X1998" s="24" t="s">
        <v>18836</v>
      </c>
      <c r="Y1998" s="15" t="s">
        <v>18837</v>
      </c>
      <c r="Z1998" s="15" t="s">
        <v>18838</v>
      </c>
      <c r="AA1998" s="24"/>
      <c r="AB1998" s="24"/>
      <c r="AC1998" s="24"/>
      <c r="AD1998" s="24"/>
      <c r="AE1998" s="24"/>
      <c r="AF1998" s="24"/>
      <c r="AG1998" s="24"/>
      <c r="AH1998" s="24"/>
    </row>
    <row r="1999" spans="1:34" ht="60" x14ac:dyDescent="0.25">
      <c r="A1999" s="24" t="str">
        <f>HYPERLINK("https://www.cpso.on.ca/DoctorDetails/Rock-Rajasothy-Xavier-Mylvaganam/0050914-64893","Mylvaganam, Rock Rajasothy Xavier")</f>
        <v>Mylvaganam, Rock Rajasothy Xavier</v>
      </c>
      <c r="B1999" s="25" t="s">
        <v>18839</v>
      </c>
      <c r="C1999" s="24" t="s">
        <v>18840</v>
      </c>
      <c r="D1999" s="24" t="s">
        <v>18841</v>
      </c>
      <c r="E1999" s="24" t="s">
        <v>29</v>
      </c>
      <c r="F1999" s="24" t="s">
        <v>30</v>
      </c>
      <c r="G1999" s="24" t="s">
        <v>613</v>
      </c>
      <c r="H1999" s="24" t="s">
        <v>2464</v>
      </c>
      <c r="I1999" s="24" t="s">
        <v>8305</v>
      </c>
      <c r="J1999" s="24" t="s">
        <v>8306</v>
      </c>
      <c r="K1999" s="24" t="s">
        <v>8307</v>
      </c>
      <c r="L1999" s="24" t="s">
        <v>84</v>
      </c>
      <c r="M1999" s="15"/>
      <c r="N1999" s="15"/>
      <c r="O1999" s="15"/>
      <c r="P1999" s="15" t="s">
        <v>2470</v>
      </c>
      <c r="Q1999" s="15"/>
      <c r="R1999" s="15" t="s">
        <v>18842</v>
      </c>
      <c r="S1999" s="24" t="s">
        <v>39</v>
      </c>
      <c r="T1999" s="24" t="s">
        <v>39</v>
      </c>
      <c r="U1999" s="24" t="s">
        <v>39</v>
      </c>
      <c r="V1999" s="24" t="s">
        <v>39</v>
      </c>
      <c r="W1999" s="24" t="s">
        <v>18843</v>
      </c>
      <c r="X1999" s="24" t="s">
        <v>18844</v>
      </c>
      <c r="Y1999" s="15" t="s">
        <v>18845</v>
      </c>
      <c r="Z1999" s="15" t="s">
        <v>8312</v>
      </c>
      <c r="AA1999" s="24"/>
      <c r="AB1999" s="24"/>
      <c r="AC1999" s="24"/>
      <c r="AD1999" s="24"/>
      <c r="AE1999" s="24"/>
      <c r="AF1999" s="24"/>
      <c r="AG1999" s="24"/>
      <c r="AH1999" s="24"/>
    </row>
    <row r="2000" spans="1:34" ht="75" x14ac:dyDescent="0.25">
      <c r="A2000" s="24" t="str">
        <f>HYPERLINK("https://www.cpso.on.ca/DoctorDetails/Rodica-Stefaniu/0044588-58566","Stefaniu, Rodica")</f>
        <v>Stefaniu, Rodica</v>
      </c>
      <c r="B2000" s="25" t="s">
        <v>18846</v>
      </c>
      <c r="C2000" s="24" t="s">
        <v>3161</v>
      </c>
      <c r="D2000" s="24" t="s">
        <v>18847</v>
      </c>
      <c r="E2000" s="24" t="s">
        <v>29</v>
      </c>
      <c r="F2000" s="24" t="s">
        <v>47</v>
      </c>
      <c r="G2000" s="24" t="s">
        <v>7300</v>
      </c>
      <c r="H2000" s="24" t="s">
        <v>18848</v>
      </c>
      <c r="I2000" s="24" t="s">
        <v>18849</v>
      </c>
      <c r="J2000" s="24" t="s">
        <v>18850</v>
      </c>
      <c r="K2000" s="24"/>
      <c r="L2000" s="24" t="s">
        <v>52</v>
      </c>
      <c r="M2000" s="15" t="s">
        <v>18851</v>
      </c>
      <c r="N2000" s="15" t="s">
        <v>120</v>
      </c>
      <c r="O2000" s="15" t="s">
        <v>18852</v>
      </c>
      <c r="P2000" s="15" t="s">
        <v>1033</v>
      </c>
      <c r="Q2000" s="15" t="s">
        <v>5084</v>
      </c>
      <c r="R2000" s="15" t="s">
        <v>18853</v>
      </c>
      <c r="S2000" s="24" t="s">
        <v>39</v>
      </c>
      <c r="T2000" s="24" t="s">
        <v>39</v>
      </c>
      <c r="U2000" s="24" t="s">
        <v>39</v>
      </c>
      <c r="V2000" s="24" t="s">
        <v>39</v>
      </c>
      <c r="W2000" s="24"/>
      <c r="X2000" s="24"/>
      <c r="Y2000" s="15"/>
      <c r="Z2000" s="15"/>
      <c r="AA2000" s="24"/>
      <c r="AB2000" s="24"/>
      <c r="AC2000" s="24"/>
      <c r="AD2000" s="24"/>
      <c r="AE2000" s="24"/>
      <c r="AF2000" s="24"/>
      <c r="AG2000" s="24"/>
      <c r="AH2000" s="24"/>
    </row>
    <row r="2001" spans="1:34" ht="105" x14ac:dyDescent="0.25">
      <c r="A2001" s="24" t="str">
        <f>HYPERLINK("https://www.cpso.on.ca/DoctorDetails/Rodney-Darren-Lough/0053104-67068","Lough, Rodney Darren")</f>
        <v>Lough, Rodney Darren</v>
      </c>
      <c r="B2001" s="25" t="s">
        <v>18854</v>
      </c>
      <c r="C2001" s="24" t="s">
        <v>18855</v>
      </c>
      <c r="D2001" s="24" t="s">
        <v>18856</v>
      </c>
      <c r="E2001" s="24" t="s">
        <v>29</v>
      </c>
      <c r="F2001" s="24" t="s">
        <v>30</v>
      </c>
      <c r="G2001" s="24" t="s">
        <v>31</v>
      </c>
      <c r="H2001" s="24" t="s">
        <v>18857</v>
      </c>
      <c r="I2001" s="24" t="s">
        <v>18858</v>
      </c>
      <c r="J2001" s="24" t="s">
        <v>18859</v>
      </c>
      <c r="K2001" s="24" t="s">
        <v>18860</v>
      </c>
      <c r="L2001" s="24" t="s">
        <v>184</v>
      </c>
      <c r="M2001" s="15"/>
      <c r="N2001" s="15"/>
      <c r="O2001" s="15" t="s">
        <v>18861</v>
      </c>
      <c r="P2001" s="15" t="s">
        <v>18862</v>
      </c>
      <c r="Q2001" s="15" t="s">
        <v>18863</v>
      </c>
      <c r="R2001" s="15" t="s">
        <v>18864</v>
      </c>
      <c r="S2001" s="24" t="s">
        <v>39</v>
      </c>
      <c r="T2001" s="24" t="s">
        <v>39</v>
      </c>
      <c r="U2001" s="24" t="s">
        <v>39</v>
      </c>
      <c r="V2001" s="24" t="s">
        <v>39</v>
      </c>
      <c r="W2001" s="24" t="s">
        <v>18865</v>
      </c>
      <c r="X2001" s="24" t="s">
        <v>14971</v>
      </c>
      <c r="Y2001" s="15" t="s">
        <v>18866</v>
      </c>
      <c r="Z2001" s="15" t="s">
        <v>18867</v>
      </c>
      <c r="AA2001" s="24"/>
      <c r="AB2001" s="24"/>
      <c r="AC2001" s="24"/>
      <c r="AD2001" s="24"/>
      <c r="AE2001" s="24"/>
      <c r="AF2001" s="24"/>
      <c r="AG2001" s="24"/>
      <c r="AH2001" s="24"/>
    </row>
    <row r="2002" spans="1:34" ht="30" x14ac:dyDescent="0.25">
      <c r="A2002" s="24" t="str">
        <f>HYPERLINK("https://www.cpso.on.ca/DoctorDetails/Rodney-Owen-Neil-Slonim/0028003-32826","Slonim, Rodney Owen Neil")</f>
        <v>Slonim, Rodney Owen Neil</v>
      </c>
      <c r="B2002" s="25" t="s">
        <v>18868</v>
      </c>
      <c r="C2002" s="24" t="s">
        <v>8355</v>
      </c>
      <c r="D2002" s="24" t="s">
        <v>18869</v>
      </c>
      <c r="E2002" s="24" t="s">
        <v>29</v>
      </c>
      <c r="F2002" s="24" t="s">
        <v>30</v>
      </c>
      <c r="G2002" s="24" t="s">
        <v>31</v>
      </c>
      <c r="H2002" s="24" t="s">
        <v>18870</v>
      </c>
      <c r="I2002" s="24" t="s">
        <v>18871</v>
      </c>
      <c r="J2002" s="24" t="s">
        <v>18872</v>
      </c>
      <c r="K2002" s="24" t="s">
        <v>1528</v>
      </c>
      <c r="L2002" s="24" t="s">
        <v>52</v>
      </c>
      <c r="M2002" s="15"/>
      <c r="N2002" s="15"/>
      <c r="O2002" s="15" t="s">
        <v>438</v>
      </c>
      <c r="P2002" s="15" t="s">
        <v>11118</v>
      </c>
      <c r="Q2002" s="15"/>
      <c r="R2002" s="15" t="s">
        <v>18873</v>
      </c>
      <c r="S2002" s="24" t="s">
        <v>39</v>
      </c>
      <c r="T2002" s="24" t="s">
        <v>39</v>
      </c>
      <c r="U2002" s="24" t="s">
        <v>39</v>
      </c>
      <c r="V2002" s="24" t="s">
        <v>39</v>
      </c>
      <c r="W2002" s="24"/>
      <c r="X2002" s="24"/>
      <c r="Y2002" s="15"/>
      <c r="Z2002" s="15"/>
      <c r="AA2002" s="24"/>
      <c r="AB2002" s="24"/>
      <c r="AC2002" s="24"/>
      <c r="AD2002" s="24"/>
      <c r="AE2002" s="24"/>
      <c r="AF2002" s="24"/>
      <c r="AG2002" s="24"/>
      <c r="AH2002" s="24"/>
    </row>
    <row r="2003" spans="1:34" ht="120" x14ac:dyDescent="0.25">
      <c r="A2003" s="24" t="str">
        <f>HYPERLINK("https://www.cpso.on.ca/DoctorDetails/Rodrigo-Barbachan-Mansur/0286030-99954","Mansur, Rodrigo Barbachan")</f>
        <v>Mansur, Rodrigo Barbachan</v>
      </c>
      <c r="B2003" s="25" t="s">
        <v>18874</v>
      </c>
      <c r="C2003" s="24" t="s">
        <v>18875</v>
      </c>
      <c r="D2003" s="24" t="s">
        <v>18876</v>
      </c>
      <c r="E2003" s="24" t="s">
        <v>29</v>
      </c>
      <c r="F2003" s="24" t="s">
        <v>30</v>
      </c>
      <c r="G2003" s="24" t="s">
        <v>468</v>
      </c>
      <c r="H2003" s="24" t="s">
        <v>18877</v>
      </c>
      <c r="I2003" s="24" t="s">
        <v>18878</v>
      </c>
      <c r="J2003" s="24" t="s">
        <v>10254</v>
      </c>
      <c r="K2003" s="24"/>
      <c r="L2003" s="24" t="s">
        <v>52</v>
      </c>
      <c r="M2003" s="15"/>
      <c r="N2003" s="15"/>
      <c r="O2003" s="15" t="s">
        <v>3482</v>
      </c>
      <c r="P2003" s="15" t="s">
        <v>18879</v>
      </c>
      <c r="Q2003" s="15" t="s">
        <v>18880</v>
      </c>
      <c r="R2003" s="15" t="s">
        <v>18881</v>
      </c>
      <c r="S2003" s="24" t="s">
        <v>71</v>
      </c>
      <c r="T2003" s="24" t="s">
        <v>39</v>
      </c>
      <c r="U2003" s="24" t="s">
        <v>39</v>
      </c>
      <c r="V2003" s="24" t="s">
        <v>39</v>
      </c>
      <c r="W2003" s="24"/>
      <c r="X2003" s="24"/>
      <c r="Y2003" s="15"/>
      <c r="Z2003" s="15"/>
      <c r="AA2003" s="24"/>
      <c r="AB2003" s="24"/>
      <c r="AC2003" s="24"/>
      <c r="AD2003" s="24"/>
      <c r="AE2003" s="24"/>
      <c r="AF2003" s="24"/>
      <c r="AG2003" s="24"/>
      <c r="AH2003" s="24"/>
    </row>
    <row r="2004" spans="1:34" ht="105" x14ac:dyDescent="0.25">
      <c r="A2004" s="24" t="str">
        <f>HYPERLINK("https://www.cpso.on.ca/DoctorDetails/Rogelio-Efrain-Gonzalez-Lejarza/0232388-85035","Gonzalez Lejarza, Rogelio Efrain")</f>
        <v>Gonzalez Lejarza, Rogelio Efrain</v>
      </c>
      <c r="B2004" s="25" t="s">
        <v>18882</v>
      </c>
      <c r="C2004" s="24" t="s">
        <v>18883</v>
      </c>
      <c r="D2004" s="24" t="s">
        <v>18884</v>
      </c>
      <c r="E2004" s="24" t="s">
        <v>29</v>
      </c>
      <c r="F2004" s="24" t="s">
        <v>30</v>
      </c>
      <c r="G2004" s="24" t="s">
        <v>115</v>
      </c>
      <c r="H2004" s="24" t="s">
        <v>18885</v>
      </c>
      <c r="I2004" s="24" t="s">
        <v>18886</v>
      </c>
      <c r="J2004" s="24" t="s">
        <v>18887</v>
      </c>
      <c r="K2004" s="24"/>
      <c r="L2004" s="24" t="s">
        <v>184</v>
      </c>
      <c r="M2004" s="15"/>
      <c r="N2004" s="15"/>
      <c r="O2004" s="15" t="s">
        <v>2169</v>
      </c>
      <c r="P2004" s="15" t="s">
        <v>425</v>
      </c>
      <c r="Q2004" s="15" t="s">
        <v>18888</v>
      </c>
      <c r="R2004" s="15" t="s">
        <v>18889</v>
      </c>
      <c r="S2004" s="24" t="s">
        <v>39</v>
      </c>
      <c r="T2004" s="24" t="s">
        <v>39</v>
      </c>
      <c r="U2004" s="24" t="s">
        <v>39</v>
      </c>
      <c r="V2004" s="24" t="s">
        <v>39</v>
      </c>
      <c r="W2004" s="24" t="s">
        <v>18890</v>
      </c>
      <c r="X2004" s="24" t="s">
        <v>18891</v>
      </c>
      <c r="Y2004" s="15" t="s">
        <v>18892</v>
      </c>
      <c r="Z2004" s="15" t="s">
        <v>18893</v>
      </c>
      <c r="AA2004" s="24"/>
      <c r="AB2004" s="24"/>
      <c r="AC2004" s="24"/>
      <c r="AD2004" s="24"/>
      <c r="AE2004" s="24"/>
      <c r="AF2004" s="24"/>
      <c r="AG2004" s="24"/>
      <c r="AH2004" s="24"/>
    </row>
    <row r="2005" spans="1:34" ht="75" x14ac:dyDescent="0.25">
      <c r="A2005" s="24" t="str">
        <f>HYPERLINK("https://www.cpso.on.ca/DoctorDetails/Roger-Aurele-Labonte/0150069-72493","Labonte, Roger Aurele")</f>
        <v>Labonte, Roger Aurele</v>
      </c>
      <c r="B2005" s="25" t="s">
        <v>18894</v>
      </c>
      <c r="C2005" s="24" t="s">
        <v>954</v>
      </c>
      <c r="D2005" s="24" t="s">
        <v>1323</v>
      </c>
      <c r="E2005" s="24" t="s">
        <v>29</v>
      </c>
      <c r="F2005" s="24" t="s">
        <v>30</v>
      </c>
      <c r="G2005" s="24" t="s">
        <v>813</v>
      </c>
      <c r="H2005" s="24" t="s">
        <v>8165</v>
      </c>
      <c r="I2005" s="24" t="s">
        <v>18895</v>
      </c>
      <c r="J2005" s="24" t="s">
        <v>18896</v>
      </c>
      <c r="K2005" s="24" t="s">
        <v>18897</v>
      </c>
      <c r="L2005" s="24"/>
      <c r="M2005" s="15"/>
      <c r="N2005" s="15" t="s">
        <v>710</v>
      </c>
      <c r="O2005" s="15"/>
      <c r="P2005" s="15" t="s">
        <v>1330</v>
      </c>
      <c r="Q2005" s="15" t="s">
        <v>18898</v>
      </c>
      <c r="R2005" s="15" t="s">
        <v>2171</v>
      </c>
      <c r="S2005" s="24" t="s">
        <v>39</v>
      </c>
      <c r="T2005" s="24" t="s">
        <v>39</v>
      </c>
      <c r="U2005" s="24" t="s">
        <v>39</v>
      </c>
      <c r="V2005" s="24" t="s">
        <v>39</v>
      </c>
      <c r="W2005" s="24"/>
      <c r="X2005" s="24"/>
      <c r="Y2005" s="15"/>
      <c r="Z2005" s="15"/>
      <c r="AA2005" s="24"/>
      <c r="AB2005" s="24"/>
      <c r="AC2005" s="24"/>
      <c r="AD2005" s="24"/>
      <c r="AE2005" s="24"/>
      <c r="AF2005" s="24"/>
      <c r="AG2005" s="24"/>
      <c r="AH2005" s="24"/>
    </row>
    <row r="2006" spans="1:34" ht="75" x14ac:dyDescent="0.25">
      <c r="A2006" s="24" t="str">
        <f>HYPERLINK("https://www.cpso.on.ca/DoctorDetails/Roger-Stewart-McIntyre/0052873-66837","McIntyre, Roger Stewart")</f>
        <v>McIntyre, Roger Stewart</v>
      </c>
      <c r="B2006" s="25" t="s">
        <v>18899</v>
      </c>
      <c r="C2006" s="24" t="s">
        <v>836</v>
      </c>
      <c r="D2006" s="24" t="s">
        <v>837</v>
      </c>
      <c r="E2006" s="24" t="s">
        <v>29</v>
      </c>
      <c r="F2006" s="24" t="s">
        <v>30</v>
      </c>
      <c r="G2006" s="24" t="s">
        <v>31</v>
      </c>
      <c r="H2006" s="24" t="s">
        <v>18517</v>
      </c>
      <c r="I2006" s="24" t="s">
        <v>18900</v>
      </c>
      <c r="J2006" s="24" t="s">
        <v>18901</v>
      </c>
      <c r="K2006" s="24" t="s">
        <v>18902</v>
      </c>
      <c r="L2006" s="24" t="s">
        <v>52</v>
      </c>
      <c r="M2006" s="15"/>
      <c r="N2006" s="15"/>
      <c r="O2006" s="15" t="s">
        <v>1867</v>
      </c>
      <c r="P2006" s="15" t="s">
        <v>303</v>
      </c>
      <c r="Q2006" s="15" t="s">
        <v>1937</v>
      </c>
      <c r="R2006" s="15" t="s">
        <v>844</v>
      </c>
      <c r="S2006" s="24" t="s">
        <v>39</v>
      </c>
      <c r="T2006" s="24" t="s">
        <v>39</v>
      </c>
      <c r="U2006" s="24" t="s">
        <v>39</v>
      </c>
      <c r="V2006" s="24" t="s">
        <v>39</v>
      </c>
      <c r="W2006" s="24"/>
      <c r="X2006" s="24"/>
      <c r="Y2006" s="15"/>
      <c r="Z2006" s="15"/>
      <c r="AA2006" s="24"/>
      <c r="AB2006" s="24"/>
      <c r="AC2006" s="24"/>
      <c r="AD2006" s="24"/>
      <c r="AE2006" s="24"/>
      <c r="AF2006" s="24"/>
      <c r="AG2006" s="24"/>
      <c r="AH2006" s="24"/>
    </row>
    <row r="2007" spans="1:34" ht="105" x14ac:dyDescent="0.25">
      <c r="A2007" s="24" t="str">
        <f>HYPERLINK("https://www.cpso.on.ca/DoctorDetails/Rohanne-Kristine-Robertson-Moore/0150409-72566","Robertson Moore, Rohanne Kristine")</f>
        <v>Robertson Moore, Rohanne Kristine</v>
      </c>
      <c r="B2007" s="25" t="s">
        <v>18903</v>
      </c>
      <c r="C2007" s="24" t="s">
        <v>954</v>
      </c>
      <c r="D2007" s="24" t="s">
        <v>18904</v>
      </c>
      <c r="E2007" s="24" t="s">
        <v>18905</v>
      </c>
      <c r="F2007" s="24" t="s">
        <v>47</v>
      </c>
      <c r="G2007" s="24" t="s">
        <v>31</v>
      </c>
      <c r="H2007" s="24" t="s">
        <v>4927</v>
      </c>
      <c r="I2007" s="24" t="s">
        <v>18906</v>
      </c>
      <c r="J2007" s="24" t="s">
        <v>18907</v>
      </c>
      <c r="K2007" s="24"/>
      <c r="L2007" s="24"/>
      <c r="M2007" s="15"/>
      <c r="N2007" s="15" t="s">
        <v>258</v>
      </c>
      <c r="O2007" s="15"/>
      <c r="P2007" s="15" t="s">
        <v>18908</v>
      </c>
      <c r="Q2007" s="15" t="s">
        <v>18909</v>
      </c>
      <c r="R2007" s="15" t="s">
        <v>18910</v>
      </c>
      <c r="S2007" s="24" t="s">
        <v>39</v>
      </c>
      <c r="T2007" s="24" t="s">
        <v>39</v>
      </c>
      <c r="U2007" s="24" t="s">
        <v>39</v>
      </c>
      <c r="V2007" s="24" t="s">
        <v>39</v>
      </c>
      <c r="W2007" s="24"/>
      <c r="X2007" s="24"/>
      <c r="Y2007" s="15"/>
      <c r="Z2007" s="15"/>
      <c r="AA2007" s="24"/>
      <c r="AB2007" s="24"/>
      <c r="AC2007" s="24"/>
      <c r="AD2007" s="24"/>
      <c r="AE2007" s="24"/>
      <c r="AF2007" s="24"/>
      <c r="AG2007" s="24"/>
      <c r="AH2007" s="24"/>
    </row>
    <row r="2008" spans="1:34" ht="105" x14ac:dyDescent="0.25">
      <c r="A2008" s="24" t="str">
        <f>HYPERLINK("https://www.cpso.on.ca/DoctorDetails/Roisin-Byrne/0281172-98323","Byrne, Roisin")</f>
        <v>Byrne, Roisin</v>
      </c>
      <c r="B2008" s="25" t="s">
        <v>18911</v>
      </c>
      <c r="C2008" s="24" t="s">
        <v>18912</v>
      </c>
      <c r="D2008" s="24" t="s">
        <v>18913</v>
      </c>
      <c r="E2008" s="24" t="s">
        <v>29</v>
      </c>
      <c r="F2008" s="24" t="s">
        <v>47</v>
      </c>
      <c r="G2008" s="24" t="s">
        <v>31</v>
      </c>
      <c r="H2008" s="24" t="s">
        <v>7398</v>
      </c>
      <c r="I2008" s="24" t="s">
        <v>16919</v>
      </c>
      <c r="J2008" s="24"/>
      <c r="K2008" s="24"/>
      <c r="L2008" s="24" t="s">
        <v>52</v>
      </c>
      <c r="M2008" s="15"/>
      <c r="N2008" s="15"/>
      <c r="O2008" s="15"/>
      <c r="P2008" s="15" t="s">
        <v>936</v>
      </c>
      <c r="Q2008" s="15" t="s">
        <v>18914</v>
      </c>
      <c r="R2008" s="15" t="s">
        <v>18915</v>
      </c>
      <c r="S2008" s="24" t="s">
        <v>39</v>
      </c>
      <c r="T2008" s="24" t="s">
        <v>39</v>
      </c>
      <c r="U2008" s="24" t="s">
        <v>39</v>
      </c>
      <c r="V2008" s="24" t="s">
        <v>39</v>
      </c>
      <c r="W2008" s="24"/>
      <c r="X2008" s="24"/>
      <c r="Y2008" s="15"/>
      <c r="Z2008" s="15"/>
      <c r="AA2008" s="24"/>
      <c r="AB2008" s="24"/>
      <c r="AC2008" s="24"/>
      <c r="AD2008" s="24"/>
      <c r="AE2008" s="24"/>
      <c r="AF2008" s="24"/>
      <c r="AG2008" s="24"/>
      <c r="AH2008" s="24"/>
    </row>
    <row r="2009" spans="1:34" ht="45" x14ac:dyDescent="0.25">
      <c r="A2009" s="24" t="str">
        <f>HYPERLINK("https://www.cpso.on.ca/DoctorDetails/Roland-Morgan-Jones/0315863-111775","Jones, Roland Morgan")</f>
        <v>Jones, Roland Morgan</v>
      </c>
      <c r="B2009" s="25" t="s">
        <v>18916</v>
      </c>
      <c r="C2009" s="24" t="s">
        <v>18917</v>
      </c>
      <c r="D2009" s="24" t="s">
        <v>18918</v>
      </c>
      <c r="E2009" s="24" t="s">
        <v>29</v>
      </c>
      <c r="F2009" s="24" t="s">
        <v>30</v>
      </c>
      <c r="G2009" s="24" t="s">
        <v>31</v>
      </c>
      <c r="H2009" s="24" t="s">
        <v>18919</v>
      </c>
      <c r="I2009" s="24" t="s">
        <v>18920</v>
      </c>
      <c r="J2009" s="24" t="s">
        <v>1262</v>
      </c>
      <c r="K2009" s="24"/>
      <c r="L2009" s="24" t="s">
        <v>52</v>
      </c>
      <c r="M2009" s="15"/>
      <c r="N2009" s="15"/>
      <c r="O2009" s="15"/>
      <c r="P2009" s="15" t="s">
        <v>18921</v>
      </c>
      <c r="Q2009" s="15"/>
      <c r="R2009" s="15" t="s">
        <v>18922</v>
      </c>
      <c r="S2009" s="24" t="s">
        <v>71</v>
      </c>
      <c r="T2009" s="24" t="s">
        <v>39</v>
      </c>
      <c r="U2009" s="24" t="s">
        <v>39</v>
      </c>
      <c r="V2009" s="24" t="s">
        <v>39</v>
      </c>
      <c r="W2009" s="24"/>
      <c r="X2009" s="24"/>
      <c r="Y2009" s="15"/>
      <c r="Z2009" s="15"/>
      <c r="AA2009" s="24"/>
      <c r="AB2009" s="24"/>
      <c r="AC2009" s="24"/>
      <c r="AD2009" s="24"/>
      <c r="AE2009" s="24"/>
      <c r="AF2009" s="24"/>
      <c r="AG2009" s="24"/>
      <c r="AH2009" s="24"/>
    </row>
    <row r="2010" spans="1:34" ht="30" x14ac:dyDescent="0.25">
      <c r="A2010" s="24" t="str">
        <f>HYPERLINK("https://www.cpso.on.ca/DoctorDetails/Roland-Olukayode-Jegede/0045271-59249","Jegede, Roland Olukayode")</f>
        <v>Jegede, Roland Olukayode</v>
      </c>
      <c r="B2010" s="25" t="s">
        <v>18923</v>
      </c>
      <c r="C2010" s="24" t="s">
        <v>18924</v>
      </c>
      <c r="D2010" s="24" t="s">
        <v>18925</v>
      </c>
      <c r="E2010" s="24" t="s">
        <v>29</v>
      </c>
      <c r="F2010" s="24" t="s">
        <v>30</v>
      </c>
      <c r="G2010" s="24" t="s">
        <v>148</v>
      </c>
      <c r="H2010" s="24" t="s">
        <v>18926</v>
      </c>
      <c r="I2010" s="24" t="s">
        <v>18927</v>
      </c>
      <c r="J2010" s="24" t="s">
        <v>18928</v>
      </c>
      <c r="K2010" s="24" t="s">
        <v>18929</v>
      </c>
      <c r="L2010" s="24" t="s">
        <v>65</v>
      </c>
      <c r="M2010" s="15"/>
      <c r="N2010" s="15"/>
      <c r="O2010" s="15"/>
      <c r="P2010" s="15" t="s">
        <v>10533</v>
      </c>
      <c r="Q2010" s="15"/>
      <c r="R2010" s="15" t="s">
        <v>18930</v>
      </c>
      <c r="S2010" s="24" t="s">
        <v>39</v>
      </c>
      <c r="T2010" s="24" t="s">
        <v>39</v>
      </c>
      <c r="U2010" s="24" t="s">
        <v>39</v>
      </c>
      <c r="V2010" s="24" t="s">
        <v>39</v>
      </c>
      <c r="W2010" s="24" t="s">
        <v>18931</v>
      </c>
      <c r="X2010" s="24" t="s">
        <v>18932</v>
      </c>
      <c r="Y2010" s="15" t="s">
        <v>18933</v>
      </c>
      <c r="Z2010" s="15" t="s">
        <v>18934</v>
      </c>
      <c r="AA2010" s="24"/>
      <c r="AB2010" s="24"/>
      <c r="AC2010" s="24"/>
      <c r="AD2010" s="24"/>
      <c r="AE2010" s="24"/>
      <c r="AF2010" s="24"/>
      <c r="AG2010" s="24"/>
      <c r="AH2010" s="24"/>
    </row>
    <row r="2011" spans="1:34" ht="90" x14ac:dyDescent="0.25">
      <c r="A2011" s="24" t="str">
        <f>HYPERLINK("https://www.cpso.on.ca/DoctorDetails/Romina-Mizrahi/0211183-80544","Mizrahi, Romina")</f>
        <v>Mizrahi, Romina</v>
      </c>
      <c r="B2011" s="25" t="s">
        <v>18935</v>
      </c>
      <c r="C2011" s="24" t="s">
        <v>18936</v>
      </c>
      <c r="D2011" s="24" t="s">
        <v>18937</v>
      </c>
      <c r="E2011" s="24" t="s">
        <v>29</v>
      </c>
      <c r="F2011" s="24" t="s">
        <v>47</v>
      </c>
      <c r="G2011" s="24" t="s">
        <v>2047</v>
      </c>
      <c r="H2011" s="24" t="s">
        <v>18938</v>
      </c>
      <c r="I2011" s="24" t="s">
        <v>18939</v>
      </c>
      <c r="J2011" s="24" t="s">
        <v>18940</v>
      </c>
      <c r="K2011" s="24"/>
      <c r="L2011" s="24" t="s">
        <v>52</v>
      </c>
      <c r="M2011" s="15"/>
      <c r="N2011" s="15"/>
      <c r="O2011" s="15" t="s">
        <v>793</v>
      </c>
      <c r="P2011" s="15" t="s">
        <v>18941</v>
      </c>
      <c r="Q2011" s="15" t="s">
        <v>18942</v>
      </c>
      <c r="R2011" s="15" t="s">
        <v>18943</v>
      </c>
      <c r="S2011" s="24" t="s">
        <v>71</v>
      </c>
      <c r="T2011" s="24" t="s">
        <v>39</v>
      </c>
      <c r="U2011" s="24" t="s">
        <v>39</v>
      </c>
      <c r="V2011" s="24" t="s">
        <v>39</v>
      </c>
      <c r="W2011" s="24" t="s">
        <v>18944</v>
      </c>
      <c r="X2011" s="24" t="s">
        <v>18945</v>
      </c>
      <c r="Y2011" s="15" t="s">
        <v>18946</v>
      </c>
      <c r="Z2011" s="15" t="s">
        <v>18947</v>
      </c>
      <c r="AA2011" s="24"/>
      <c r="AB2011" s="24"/>
      <c r="AC2011" s="24"/>
      <c r="AD2011" s="24"/>
      <c r="AE2011" s="24"/>
      <c r="AF2011" s="24"/>
      <c r="AG2011" s="24"/>
      <c r="AH2011" s="24"/>
    </row>
    <row r="2012" spans="1:34" ht="30" x14ac:dyDescent="0.25">
      <c r="A2012" s="24" t="str">
        <f>HYPERLINK("https://www.cpso.on.ca/DoctorDetails/Ron-Keren/0050818-64797","Keren, Ron")</f>
        <v>Keren, Ron</v>
      </c>
      <c r="B2012" s="25" t="s">
        <v>18948</v>
      </c>
      <c r="C2012" s="24" t="s">
        <v>18949</v>
      </c>
      <c r="D2012" s="24" t="s">
        <v>11244</v>
      </c>
      <c r="E2012" s="24" t="s">
        <v>29</v>
      </c>
      <c r="F2012" s="24" t="s">
        <v>30</v>
      </c>
      <c r="G2012" s="24" t="s">
        <v>31</v>
      </c>
      <c r="H2012" s="24" t="s">
        <v>18950</v>
      </c>
      <c r="I2012" s="24" t="s">
        <v>18951</v>
      </c>
      <c r="J2012" s="24" t="s">
        <v>1483</v>
      </c>
      <c r="K2012" s="24" t="s">
        <v>1484</v>
      </c>
      <c r="L2012" s="24" t="s">
        <v>52</v>
      </c>
      <c r="M2012" s="15" t="s">
        <v>18952</v>
      </c>
      <c r="N2012" s="15"/>
      <c r="O2012" s="15" t="s">
        <v>18953</v>
      </c>
      <c r="P2012" s="15" t="s">
        <v>6227</v>
      </c>
      <c r="Q2012" s="15"/>
      <c r="R2012" s="15" t="s">
        <v>18954</v>
      </c>
      <c r="S2012" s="24" t="s">
        <v>39</v>
      </c>
      <c r="T2012" s="24" t="s">
        <v>39</v>
      </c>
      <c r="U2012" s="24" t="s">
        <v>39</v>
      </c>
      <c r="V2012" s="24" t="s">
        <v>39</v>
      </c>
      <c r="W2012" s="24"/>
      <c r="X2012" s="24"/>
      <c r="Y2012" s="15"/>
      <c r="Z2012" s="15"/>
      <c r="AA2012" s="24"/>
      <c r="AB2012" s="24"/>
      <c r="AC2012" s="24"/>
      <c r="AD2012" s="24"/>
      <c r="AE2012" s="24"/>
      <c r="AF2012" s="24"/>
      <c r="AG2012" s="24"/>
      <c r="AH2012" s="24"/>
    </row>
    <row r="2013" spans="1:34" x14ac:dyDescent="0.25">
      <c r="A2013" s="24" t="str">
        <f>HYPERLINK("https://www.cpso.on.ca/DoctorDetails/Ronald-Harold-Charach/0027604-32427","Charach, Ronald Harold")</f>
        <v>Charach, Ronald Harold</v>
      </c>
      <c r="B2013" s="25" t="s">
        <v>18955</v>
      </c>
      <c r="C2013" s="24" t="s">
        <v>7341</v>
      </c>
      <c r="D2013" s="24" t="s">
        <v>7342</v>
      </c>
      <c r="E2013" s="24" t="s">
        <v>29</v>
      </c>
      <c r="F2013" s="24" t="s">
        <v>30</v>
      </c>
      <c r="G2013" s="24" t="s">
        <v>31</v>
      </c>
      <c r="H2013" s="24" t="s">
        <v>1187</v>
      </c>
      <c r="I2013" s="24" t="s">
        <v>18956</v>
      </c>
      <c r="J2013" s="24" t="s">
        <v>18957</v>
      </c>
      <c r="K2013" s="24"/>
      <c r="L2013" s="24" t="s">
        <v>52</v>
      </c>
      <c r="M2013" s="15"/>
      <c r="N2013" s="15"/>
      <c r="O2013" s="15"/>
      <c r="P2013" s="15" t="s">
        <v>8792</v>
      </c>
      <c r="Q2013" s="15"/>
      <c r="R2013" s="15" t="s">
        <v>7347</v>
      </c>
      <c r="S2013" s="24" t="s">
        <v>39</v>
      </c>
      <c r="T2013" s="24" t="s">
        <v>39</v>
      </c>
      <c r="U2013" s="24" t="s">
        <v>39</v>
      </c>
      <c r="V2013" s="24" t="s">
        <v>39</v>
      </c>
      <c r="W2013" s="24"/>
      <c r="X2013" s="24"/>
      <c r="Y2013" s="15"/>
      <c r="Z2013" s="15"/>
      <c r="AA2013" s="24"/>
      <c r="AB2013" s="24"/>
      <c r="AC2013" s="24"/>
      <c r="AD2013" s="24"/>
      <c r="AE2013" s="24"/>
      <c r="AF2013" s="24"/>
      <c r="AG2013" s="24"/>
      <c r="AH2013" s="24"/>
    </row>
    <row r="2014" spans="1:34" ht="90" x14ac:dyDescent="0.25">
      <c r="A2014" s="24" t="str">
        <f>HYPERLINK("https://www.cpso.on.ca/DoctorDetails/Ronald-Jay-Stewart/0116852-69939","Stewart, Ronald Jay")</f>
        <v>Stewart, Ronald Jay</v>
      </c>
      <c r="B2014" s="25" t="s">
        <v>18958</v>
      </c>
      <c r="C2014" s="24" t="s">
        <v>18959</v>
      </c>
      <c r="D2014" s="24" t="s">
        <v>4697</v>
      </c>
      <c r="E2014" s="24" t="s">
        <v>29</v>
      </c>
      <c r="F2014" s="24" t="s">
        <v>30</v>
      </c>
      <c r="G2014" s="24" t="s">
        <v>31</v>
      </c>
      <c r="H2014" s="24" t="s">
        <v>3175</v>
      </c>
      <c r="I2014" s="24" t="s">
        <v>18960</v>
      </c>
      <c r="J2014" s="24" t="s">
        <v>18961</v>
      </c>
      <c r="K2014" s="24" t="s">
        <v>18962</v>
      </c>
      <c r="L2014" s="24" t="s">
        <v>3849</v>
      </c>
      <c r="M2014" s="15" t="s">
        <v>18963</v>
      </c>
      <c r="N2014" s="15"/>
      <c r="O2014" s="15" t="s">
        <v>2315</v>
      </c>
      <c r="P2014" s="15" t="s">
        <v>18964</v>
      </c>
      <c r="Q2014" s="15" t="s">
        <v>18965</v>
      </c>
      <c r="R2014" s="15" t="s">
        <v>18966</v>
      </c>
      <c r="S2014" s="24" t="s">
        <v>39</v>
      </c>
      <c r="T2014" s="24" t="s">
        <v>39</v>
      </c>
      <c r="U2014" s="24" t="s">
        <v>39</v>
      </c>
      <c r="V2014" s="24" t="s">
        <v>39</v>
      </c>
      <c r="W2014" s="24" t="s">
        <v>18967</v>
      </c>
      <c r="X2014" s="24" t="s">
        <v>18968</v>
      </c>
      <c r="Y2014" s="15" t="s">
        <v>18969</v>
      </c>
      <c r="Z2014" s="15" t="s">
        <v>18970</v>
      </c>
      <c r="AA2014" s="24"/>
      <c r="AB2014" s="24"/>
      <c r="AC2014" s="24"/>
      <c r="AD2014" s="24"/>
      <c r="AE2014" s="24"/>
      <c r="AF2014" s="24"/>
      <c r="AG2014" s="24"/>
      <c r="AH2014" s="24"/>
    </row>
    <row r="2015" spans="1:34" x14ac:dyDescent="0.25">
      <c r="A2015" s="24" t="str">
        <f>HYPERLINK("https://www.cpso.on.ca/DoctorDetails/Ronald-Ruskin/0024152-28974","Ruskin, Ronald")</f>
        <v>Ruskin, Ronald</v>
      </c>
      <c r="B2015" s="25" t="s">
        <v>18971</v>
      </c>
      <c r="C2015" s="24" t="s">
        <v>18972</v>
      </c>
      <c r="D2015" s="24" t="s">
        <v>18973</v>
      </c>
      <c r="E2015" s="24" t="s">
        <v>29</v>
      </c>
      <c r="F2015" s="24" t="s">
        <v>30</v>
      </c>
      <c r="G2015" s="24" t="s">
        <v>813</v>
      </c>
      <c r="H2015" s="24" t="s">
        <v>7001</v>
      </c>
      <c r="I2015" s="24" t="s">
        <v>8770</v>
      </c>
      <c r="J2015" s="24" t="s">
        <v>18974</v>
      </c>
      <c r="K2015" s="24" t="s">
        <v>18975</v>
      </c>
      <c r="L2015" s="24" t="s">
        <v>52</v>
      </c>
      <c r="M2015" s="15" t="s">
        <v>18976</v>
      </c>
      <c r="N2015" s="15"/>
      <c r="O2015" s="15" t="s">
        <v>1201</v>
      </c>
      <c r="P2015" s="15" t="s">
        <v>5323</v>
      </c>
      <c r="Q2015" s="15"/>
      <c r="R2015" s="15" t="s">
        <v>18977</v>
      </c>
      <c r="S2015" s="24" t="s">
        <v>39</v>
      </c>
      <c r="T2015" s="24" t="s">
        <v>39</v>
      </c>
      <c r="U2015" s="24" t="s">
        <v>39</v>
      </c>
      <c r="V2015" s="24" t="s">
        <v>39</v>
      </c>
      <c r="W2015" s="24"/>
      <c r="X2015" s="24"/>
      <c r="Y2015" s="15"/>
      <c r="Z2015" s="15"/>
      <c r="AA2015" s="24"/>
      <c r="AB2015" s="24"/>
      <c r="AC2015" s="24"/>
      <c r="AD2015" s="24"/>
      <c r="AE2015" s="24"/>
      <c r="AF2015" s="24"/>
      <c r="AG2015" s="24"/>
      <c r="AH2015" s="24"/>
    </row>
    <row r="2016" spans="1:34" ht="105" x14ac:dyDescent="0.25">
      <c r="A2016" s="24" t="str">
        <f>HYPERLINK("https://www.cpso.on.ca/DoctorDetails/Ronald-William-Book/0047023-61001","Book, Ronald William")</f>
        <v>Book, Ronald William</v>
      </c>
      <c r="B2016" s="25" t="s">
        <v>18978</v>
      </c>
      <c r="C2016" s="24" t="s">
        <v>2629</v>
      </c>
      <c r="D2016" s="24" t="s">
        <v>18979</v>
      </c>
      <c r="E2016" s="24" t="s">
        <v>29</v>
      </c>
      <c r="F2016" s="24" t="s">
        <v>30</v>
      </c>
      <c r="G2016" s="24" t="s">
        <v>31</v>
      </c>
      <c r="H2016" s="24" t="s">
        <v>767</v>
      </c>
      <c r="I2016" s="24" t="s">
        <v>18980</v>
      </c>
      <c r="J2016" s="24" t="s">
        <v>11012</v>
      </c>
      <c r="K2016" s="24" t="s">
        <v>11013</v>
      </c>
      <c r="L2016" s="24" t="s">
        <v>184</v>
      </c>
      <c r="M2016" s="15"/>
      <c r="N2016" s="15"/>
      <c r="O2016" s="15" t="s">
        <v>6884</v>
      </c>
      <c r="P2016" s="15" t="s">
        <v>1239</v>
      </c>
      <c r="Q2016" s="15" t="s">
        <v>18981</v>
      </c>
      <c r="R2016" s="15" t="s">
        <v>18982</v>
      </c>
      <c r="S2016" s="24" t="s">
        <v>39</v>
      </c>
      <c r="T2016" s="24" t="s">
        <v>39</v>
      </c>
      <c r="U2016" s="24" t="s">
        <v>39</v>
      </c>
      <c r="V2016" s="24" t="s">
        <v>39</v>
      </c>
      <c r="W2016" s="24" t="s">
        <v>18983</v>
      </c>
      <c r="X2016" s="24" t="s">
        <v>18984</v>
      </c>
      <c r="Y2016" s="15" t="s">
        <v>18985</v>
      </c>
      <c r="Z2016" s="15" t="s">
        <v>18986</v>
      </c>
      <c r="AA2016" s="24"/>
      <c r="AB2016" s="24"/>
      <c r="AC2016" s="24"/>
      <c r="AD2016" s="24"/>
      <c r="AE2016" s="24"/>
      <c r="AF2016" s="24"/>
      <c r="AG2016" s="24"/>
      <c r="AH2016" s="24"/>
    </row>
    <row r="2017" spans="1:34" ht="75" x14ac:dyDescent="0.25">
      <c r="A2017" s="24" t="str">
        <f>HYPERLINK("https://www.cpso.on.ca/DoctorDetails/Rosalie-Joan-Steinberg/0281153-97547","Steinberg, Rosalie Joan")</f>
        <v>Steinberg, Rosalie Joan</v>
      </c>
      <c r="B2017" s="25" t="s">
        <v>18987</v>
      </c>
      <c r="C2017" s="24" t="s">
        <v>544</v>
      </c>
      <c r="D2017" s="24" t="s">
        <v>545</v>
      </c>
      <c r="E2017" s="24" t="s">
        <v>29</v>
      </c>
      <c r="F2017" s="24" t="s">
        <v>47</v>
      </c>
      <c r="G2017" s="24" t="s">
        <v>923</v>
      </c>
      <c r="H2017" s="24" t="s">
        <v>2650</v>
      </c>
      <c r="I2017" s="24" t="s">
        <v>16200</v>
      </c>
      <c r="J2017" s="24" t="s">
        <v>1551</v>
      </c>
      <c r="K2017" s="24"/>
      <c r="L2017" s="24" t="s">
        <v>52</v>
      </c>
      <c r="M2017" s="15"/>
      <c r="N2017" s="15"/>
      <c r="O2017" s="15" t="s">
        <v>1397</v>
      </c>
      <c r="P2017" s="15" t="s">
        <v>550</v>
      </c>
      <c r="Q2017" s="15" t="s">
        <v>982</v>
      </c>
      <c r="R2017" s="15" t="s">
        <v>552</v>
      </c>
      <c r="S2017" s="24" t="s">
        <v>39</v>
      </c>
      <c r="T2017" s="24" t="s">
        <v>39</v>
      </c>
      <c r="U2017" s="24" t="s">
        <v>39</v>
      </c>
      <c r="V2017" s="24" t="s">
        <v>39</v>
      </c>
      <c r="W2017" s="24"/>
      <c r="X2017" s="24"/>
      <c r="Y2017" s="15"/>
      <c r="Z2017" s="15"/>
      <c r="AA2017" s="24"/>
      <c r="AB2017" s="24"/>
      <c r="AC2017" s="24"/>
      <c r="AD2017" s="24"/>
      <c r="AE2017" s="24"/>
      <c r="AF2017" s="24"/>
      <c r="AG2017" s="24"/>
      <c r="AH2017" s="24"/>
    </row>
    <row r="2018" spans="1:34" ht="75" x14ac:dyDescent="0.25">
      <c r="A2018" s="24" t="str">
        <f>HYPERLINK("https://www.cpso.on.ca/DoctorDetails/Rosanne-Marie-Tyrrell-Mills/0273213-95446","Mills, Rosanne Marie Tyrrell")</f>
        <v>Mills, Rosanne Marie Tyrrell</v>
      </c>
      <c r="B2018" s="25" t="s">
        <v>18988</v>
      </c>
      <c r="C2018" s="24" t="s">
        <v>1266</v>
      </c>
      <c r="D2018" s="24" t="s">
        <v>967</v>
      </c>
      <c r="E2018" s="24" t="s">
        <v>29</v>
      </c>
      <c r="F2018" s="24" t="s">
        <v>47</v>
      </c>
      <c r="G2018" s="24" t="s">
        <v>31</v>
      </c>
      <c r="H2018" s="24" t="s">
        <v>13724</v>
      </c>
      <c r="I2018" s="24" t="s">
        <v>18989</v>
      </c>
      <c r="J2018" s="24" t="s">
        <v>6650</v>
      </c>
      <c r="K2018" s="24" t="s">
        <v>18990</v>
      </c>
      <c r="L2018" s="24" t="s">
        <v>52</v>
      </c>
      <c r="M2018" s="15" t="s">
        <v>18991</v>
      </c>
      <c r="N2018" s="15" t="s">
        <v>342</v>
      </c>
      <c r="O2018" s="15" t="s">
        <v>18992</v>
      </c>
      <c r="P2018" s="15" t="s">
        <v>973</v>
      </c>
      <c r="Q2018" s="15" t="s">
        <v>4058</v>
      </c>
      <c r="R2018" s="15" t="s">
        <v>4059</v>
      </c>
      <c r="S2018" s="24" t="s">
        <v>39</v>
      </c>
      <c r="T2018" s="24" t="s">
        <v>39</v>
      </c>
      <c r="U2018" s="24" t="s">
        <v>39</v>
      </c>
      <c r="V2018" s="24" t="s">
        <v>39</v>
      </c>
      <c r="W2018" s="24"/>
      <c r="X2018" s="24"/>
      <c r="Y2018" s="15"/>
      <c r="Z2018" s="15"/>
      <c r="AA2018" s="24"/>
      <c r="AB2018" s="24"/>
      <c r="AC2018" s="24"/>
      <c r="AD2018" s="24"/>
      <c r="AE2018" s="24"/>
      <c r="AF2018" s="24"/>
      <c r="AG2018" s="24"/>
      <c r="AH2018" s="24"/>
    </row>
    <row r="2019" spans="1:34" ht="60" x14ac:dyDescent="0.25">
      <c r="A2019" s="24" t="str">
        <f>HYPERLINK("https://www.cpso.on.ca/DoctorDetails/Rose-Brac/0036216-50192","Brac, Rose")</f>
        <v>Brac, Rose</v>
      </c>
      <c r="B2019" s="25" t="s">
        <v>18993</v>
      </c>
      <c r="C2019" s="24" t="s">
        <v>3161</v>
      </c>
      <c r="D2019" s="24" t="s">
        <v>18994</v>
      </c>
      <c r="E2019" s="24" t="s">
        <v>29</v>
      </c>
      <c r="F2019" s="24" t="s">
        <v>47</v>
      </c>
      <c r="G2019" s="24" t="s">
        <v>31</v>
      </c>
      <c r="H2019" s="24" t="s">
        <v>18995</v>
      </c>
      <c r="I2019" s="24" t="s">
        <v>18996</v>
      </c>
      <c r="J2019" s="24" t="s">
        <v>18997</v>
      </c>
      <c r="K2019" s="24"/>
      <c r="L2019" s="24" t="s">
        <v>52</v>
      </c>
      <c r="M2019" s="15"/>
      <c r="N2019" s="15"/>
      <c r="O2019" s="15"/>
      <c r="P2019" s="15" t="s">
        <v>3433</v>
      </c>
      <c r="Q2019" s="15" t="s">
        <v>5470</v>
      </c>
      <c r="R2019" s="15" t="s">
        <v>18998</v>
      </c>
      <c r="S2019" s="24" t="s">
        <v>39</v>
      </c>
      <c r="T2019" s="24" t="s">
        <v>39</v>
      </c>
      <c r="U2019" s="24" t="s">
        <v>39</v>
      </c>
      <c r="V2019" s="24" t="s">
        <v>39</v>
      </c>
      <c r="W2019" s="24"/>
      <c r="X2019" s="24"/>
      <c r="Y2019" s="15"/>
      <c r="Z2019" s="15"/>
      <c r="AA2019" s="24"/>
      <c r="AB2019" s="24"/>
      <c r="AC2019" s="24"/>
      <c r="AD2019" s="24"/>
      <c r="AE2019" s="24"/>
      <c r="AF2019" s="24"/>
      <c r="AG2019" s="24"/>
      <c r="AH2019" s="24"/>
    </row>
    <row r="2020" spans="1:34" ht="30" x14ac:dyDescent="0.25">
      <c r="A2020" s="24" t="str">
        <f>HYPERLINK("https://www.cpso.on.ca/DoctorDetails/Rose-Geist/0024156-28978","Geist, Rose")</f>
        <v>Geist, Rose</v>
      </c>
      <c r="B2020" s="25" t="s">
        <v>18999</v>
      </c>
      <c r="C2020" s="24" t="s">
        <v>18972</v>
      </c>
      <c r="D2020" s="24" t="s">
        <v>18973</v>
      </c>
      <c r="E2020" s="24" t="s">
        <v>29</v>
      </c>
      <c r="F2020" s="24" t="s">
        <v>47</v>
      </c>
      <c r="G2020" s="24" t="s">
        <v>31</v>
      </c>
      <c r="H2020" s="24" t="s">
        <v>8769</v>
      </c>
      <c r="I2020" s="24" t="s">
        <v>117</v>
      </c>
      <c r="J2020" s="24" t="s">
        <v>19000</v>
      </c>
      <c r="K2020" s="24" t="s">
        <v>119</v>
      </c>
      <c r="L2020" s="24" t="s">
        <v>52</v>
      </c>
      <c r="M2020" s="15"/>
      <c r="N2020" s="15"/>
      <c r="O2020" s="15"/>
      <c r="P2020" s="15" t="s">
        <v>541</v>
      </c>
      <c r="Q2020" s="15"/>
      <c r="R2020" s="15" t="s">
        <v>19001</v>
      </c>
      <c r="S2020" s="24" t="s">
        <v>39</v>
      </c>
      <c r="T2020" s="24" t="s">
        <v>39</v>
      </c>
      <c r="U2020" s="24" t="s">
        <v>39</v>
      </c>
      <c r="V2020" s="24" t="s">
        <v>39</v>
      </c>
      <c r="W2020" s="24"/>
      <c r="X2020" s="24"/>
      <c r="Y2020" s="15"/>
      <c r="Z2020" s="15"/>
      <c r="AA2020" s="24"/>
      <c r="AB2020" s="24"/>
      <c r="AC2020" s="24"/>
      <c r="AD2020" s="24"/>
      <c r="AE2020" s="24"/>
      <c r="AF2020" s="24"/>
      <c r="AG2020" s="24"/>
      <c r="AH2020" s="24"/>
    </row>
    <row r="2021" spans="1:34" ht="105" x14ac:dyDescent="0.25">
      <c r="A2021" s="24" t="str">
        <f>HYPERLINK("https://www.cpso.on.ca/DoctorDetails/Roselyn-Marie-Wilson/0288210-101171","Wilson, Roselyn Marie")</f>
        <v>Wilson, Roselyn Marie</v>
      </c>
      <c r="B2021" s="25" t="s">
        <v>19002</v>
      </c>
      <c r="C2021" s="24" t="s">
        <v>19003</v>
      </c>
      <c r="D2021" s="24" t="s">
        <v>19004</v>
      </c>
      <c r="E2021" s="24" t="s">
        <v>29</v>
      </c>
      <c r="F2021" s="24" t="s">
        <v>47</v>
      </c>
      <c r="G2021" s="24" t="s">
        <v>31</v>
      </c>
      <c r="H2021" s="24" t="s">
        <v>2992</v>
      </c>
      <c r="I2021" s="24" t="s">
        <v>107</v>
      </c>
      <c r="J2021" s="24"/>
      <c r="K2021" s="24"/>
      <c r="L2021" s="24"/>
      <c r="M2021" s="15"/>
      <c r="N2021" s="15"/>
      <c r="O2021" s="15"/>
      <c r="P2021" s="15" t="s">
        <v>19005</v>
      </c>
      <c r="Q2021" s="15" t="s">
        <v>19006</v>
      </c>
      <c r="R2021" s="15" t="s">
        <v>19007</v>
      </c>
      <c r="S2021" s="24" t="s">
        <v>39</v>
      </c>
      <c r="T2021" s="24" t="s">
        <v>39</v>
      </c>
      <c r="U2021" s="24" t="s">
        <v>39</v>
      </c>
      <c r="V2021" s="24" t="s">
        <v>39</v>
      </c>
      <c r="W2021" s="24"/>
      <c r="X2021" s="24"/>
      <c r="Y2021" s="15"/>
      <c r="Z2021" s="15"/>
      <c r="AA2021" s="24"/>
      <c r="AB2021" s="24"/>
      <c r="AC2021" s="24"/>
      <c r="AD2021" s="24"/>
      <c r="AE2021" s="24"/>
      <c r="AF2021" s="24"/>
      <c r="AG2021" s="24"/>
      <c r="AH2021" s="24"/>
    </row>
    <row r="2022" spans="1:34" ht="30" x14ac:dyDescent="0.25">
      <c r="A2022" s="24" t="str">
        <f>HYPERLINK("https://www.cpso.on.ca/DoctorDetails/Rosemary-Cecilia-Fitzgerald/0036582-50558","Fitzgerald, Rosemary Cecilia")</f>
        <v>Fitzgerald, Rosemary Cecilia</v>
      </c>
      <c r="B2022" s="25" t="s">
        <v>19008</v>
      </c>
      <c r="C2022" s="24" t="s">
        <v>3746</v>
      </c>
      <c r="D2022" s="24" t="s">
        <v>6365</v>
      </c>
      <c r="E2022" s="24" t="s">
        <v>29</v>
      </c>
      <c r="F2022" s="24" t="s">
        <v>47</v>
      </c>
      <c r="G2022" s="24" t="s">
        <v>31</v>
      </c>
      <c r="H2022" s="24" t="s">
        <v>11671</v>
      </c>
      <c r="I2022" s="24" t="s">
        <v>19009</v>
      </c>
      <c r="J2022" s="24" t="s">
        <v>19010</v>
      </c>
      <c r="K2022" s="24"/>
      <c r="L2022" s="24" t="s">
        <v>52</v>
      </c>
      <c r="M2022" s="15" t="s">
        <v>19011</v>
      </c>
      <c r="N2022" s="15"/>
      <c r="O2022" s="15"/>
      <c r="P2022" s="15" t="s">
        <v>1877</v>
      </c>
      <c r="Q2022" s="15"/>
      <c r="R2022" s="15" t="s">
        <v>6369</v>
      </c>
      <c r="S2022" s="24" t="s">
        <v>39</v>
      </c>
      <c r="T2022" s="24" t="s">
        <v>39</v>
      </c>
      <c r="U2022" s="24" t="s">
        <v>39</v>
      </c>
      <c r="V2022" s="24" t="s">
        <v>39</v>
      </c>
      <c r="W2022" s="24"/>
      <c r="X2022" s="24"/>
      <c r="Y2022" s="15"/>
      <c r="Z2022" s="15"/>
      <c r="AA2022" s="24"/>
      <c r="AB2022" s="24"/>
      <c r="AC2022" s="24"/>
      <c r="AD2022" s="24"/>
      <c r="AE2022" s="24"/>
      <c r="AF2022" s="24"/>
      <c r="AG2022" s="24"/>
      <c r="AH2022" s="24"/>
    </row>
    <row r="2023" spans="1:34" ht="75" x14ac:dyDescent="0.25">
      <c r="A2023" s="24" t="str">
        <f>HYPERLINK("https://www.cpso.on.ca/DoctorDetails/Rosemary-Crystal-Chackery/0280747-97699","Chackery, Rosemary Crystal")</f>
        <v>Chackery, Rosemary Crystal</v>
      </c>
      <c r="B2023" s="25" t="s">
        <v>19012</v>
      </c>
      <c r="C2023" s="24" t="s">
        <v>544</v>
      </c>
      <c r="D2023" s="24" t="s">
        <v>545</v>
      </c>
      <c r="E2023" s="24" t="s">
        <v>19013</v>
      </c>
      <c r="F2023" s="24" t="s">
        <v>47</v>
      </c>
      <c r="G2023" s="24" t="s">
        <v>2188</v>
      </c>
      <c r="H2023" s="24" t="s">
        <v>2650</v>
      </c>
      <c r="I2023" s="24" t="s">
        <v>19014</v>
      </c>
      <c r="J2023" s="24" t="s">
        <v>19015</v>
      </c>
      <c r="K2023" s="24"/>
      <c r="L2023" s="24" t="s">
        <v>36</v>
      </c>
      <c r="M2023" s="15"/>
      <c r="N2023" s="15"/>
      <c r="O2023" s="15" t="s">
        <v>4788</v>
      </c>
      <c r="P2023" s="15" t="s">
        <v>550</v>
      </c>
      <c r="Q2023" s="15" t="s">
        <v>11698</v>
      </c>
      <c r="R2023" s="15" t="s">
        <v>552</v>
      </c>
      <c r="S2023" s="24" t="s">
        <v>39</v>
      </c>
      <c r="T2023" s="24" t="s">
        <v>39</v>
      </c>
      <c r="U2023" s="24" t="s">
        <v>39</v>
      </c>
      <c r="V2023" s="24" t="s">
        <v>39</v>
      </c>
      <c r="W2023" s="24"/>
      <c r="X2023" s="24"/>
      <c r="Y2023" s="15"/>
      <c r="Z2023" s="15"/>
      <c r="AA2023" s="24"/>
      <c r="AB2023" s="24"/>
      <c r="AC2023" s="24"/>
      <c r="AD2023" s="24"/>
      <c r="AE2023" s="24"/>
      <c r="AF2023" s="24"/>
      <c r="AG2023" s="24"/>
      <c r="AH2023" s="24"/>
    </row>
    <row r="2024" spans="1:34" ht="30" x14ac:dyDescent="0.25">
      <c r="A2024" s="24" t="str">
        <f>HYPERLINK("https://www.cpso.on.ca/DoctorDetails/Ross-Sydney-Golden/0027952-32775","Golden, Ross Sydney")</f>
        <v>Golden, Ross Sydney</v>
      </c>
      <c r="B2024" s="25" t="s">
        <v>19016</v>
      </c>
      <c r="C2024" s="24" t="s">
        <v>492</v>
      </c>
      <c r="D2024" s="24" t="s">
        <v>19017</v>
      </c>
      <c r="E2024" s="24" t="s">
        <v>29</v>
      </c>
      <c r="F2024" s="24" t="s">
        <v>30</v>
      </c>
      <c r="G2024" s="24" t="s">
        <v>31</v>
      </c>
      <c r="H2024" s="24" t="s">
        <v>19018</v>
      </c>
      <c r="I2024" s="24" t="s">
        <v>19019</v>
      </c>
      <c r="J2024" s="24" t="s">
        <v>19020</v>
      </c>
      <c r="K2024" s="24"/>
      <c r="L2024" s="24" t="s">
        <v>52</v>
      </c>
      <c r="M2024" s="15"/>
      <c r="N2024" s="15"/>
      <c r="O2024" s="15"/>
      <c r="P2024" s="15" t="s">
        <v>527</v>
      </c>
      <c r="Q2024" s="15"/>
      <c r="R2024" s="15" t="s">
        <v>19021</v>
      </c>
      <c r="S2024" s="24" t="s">
        <v>39</v>
      </c>
      <c r="T2024" s="24" t="s">
        <v>39</v>
      </c>
      <c r="U2024" s="24" t="s">
        <v>39</v>
      </c>
      <c r="V2024" s="24" t="s">
        <v>39</v>
      </c>
      <c r="W2024" s="24"/>
      <c r="X2024" s="24"/>
      <c r="Y2024" s="15"/>
      <c r="Z2024" s="15"/>
      <c r="AA2024" s="24"/>
      <c r="AB2024" s="24"/>
      <c r="AC2024" s="24"/>
      <c r="AD2024" s="24"/>
      <c r="AE2024" s="24"/>
      <c r="AF2024" s="24"/>
      <c r="AG2024" s="24"/>
      <c r="AH2024" s="24"/>
    </row>
    <row r="2025" spans="1:34" ht="45" x14ac:dyDescent="0.25">
      <c r="A2025" s="24" t="str">
        <f>HYPERLINK("https://www.cpso.on.ca/DoctorDetails/Roumen-Vassilev-Milev/0184367-76840","Milev, Roumen Vassilev")</f>
        <v>Milev, Roumen Vassilev</v>
      </c>
      <c r="B2025" s="25" t="s">
        <v>19022</v>
      </c>
      <c r="C2025" s="24" t="s">
        <v>19023</v>
      </c>
      <c r="D2025" s="24" t="s">
        <v>19024</v>
      </c>
      <c r="E2025" s="24" t="s">
        <v>29</v>
      </c>
      <c r="F2025" s="24" t="s">
        <v>30</v>
      </c>
      <c r="G2025" s="24" t="s">
        <v>13594</v>
      </c>
      <c r="H2025" s="24" t="s">
        <v>19025</v>
      </c>
      <c r="I2025" s="24" t="s">
        <v>19026</v>
      </c>
      <c r="J2025" s="24" t="s">
        <v>19027</v>
      </c>
      <c r="K2025" s="24" t="s">
        <v>19028</v>
      </c>
      <c r="L2025" s="24" t="s">
        <v>340</v>
      </c>
      <c r="M2025" s="15"/>
      <c r="N2025" s="15" t="s">
        <v>398</v>
      </c>
      <c r="O2025" s="15" t="s">
        <v>4901</v>
      </c>
      <c r="P2025" s="15" t="s">
        <v>946</v>
      </c>
      <c r="Q2025" s="15"/>
      <c r="R2025" s="15" t="s">
        <v>19029</v>
      </c>
      <c r="S2025" s="24" t="s">
        <v>39</v>
      </c>
      <c r="T2025" s="24" t="s">
        <v>39</v>
      </c>
      <c r="U2025" s="24" t="s">
        <v>39</v>
      </c>
      <c r="V2025" s="24" t="s">
        <v>39</v>
      </c>
      <c r="W2025" s="24" t="s">
        <v>19030</v>
      </c>
      <c r="X2025" s="24" t="s">
        <v>19031</v>
      </c>
      <c r="Y2025" s="15" t="s">
        <v>19032</v>
      </c>
      <c r="Z2025" s="15" t="s">
        <v>19033</v>
      </c>
      <c r="AA2025" s="24" t="s">
        <v>19034</v>
      </c>
      <c r="AB2025" s="24" t="s">
        <v>19035</v>
      </c>
      <c r="AC2025" s="24"/>
      <c r="AD2025" s="24"/>
      <c r="AE2025" s="24" t="s">
        <v>19036</v>
      </c>
      <c r="AF2025" s="24" t="s">
        <v>19037</v>
      </c>
      <c r="AG2025" s="24"/>
      <c r="AH2025" s="24"/>
    </row>
    <row r="2026" spans="1:34" ht="45" x14ac:dyDescent="0.25">
      <c r="A2026" s="24" t="str">
        <f>HYPERLINK("https://www.cpso.on.ca/DoctorDetails/Roy-Francis-Ulrich/0319478-111857","Ulrich, Roy Francis")</f>
        <v>Ulrich, Roy Francis</v>
      </c>
      <c r="B2026" s="25" t="s">
        <v>19038</v>
      </c>
      <c r="C2026" s="24" t="s">
        <v>19039</v>
      </c>
      <c r="D2026" s="24" t="s">
        <v>19040</v>
      </c>
      <c r="E2026" s="24" t="s">
        <v>29</v>
      </c>
      <c r="F2026" s="24" t="s">
        <v>30</v>
      </c>
      <c r="G2026" s="24" t="s">
        <v>31</v>
      </c>
      <c r="H2026" s="24" t="s">
        <v>9237</v>
      </c>
      <c r="I2026" s="24" t="s">
        <v>19041</v>
      </c>
      <c r="J2026" s="24" t="s">
        <v>1262</v>
      </c>
      <c r="K2026" s="24"/>
      <c r="L2026" s="24" t="s">
        <v>52</v>
      </c>
      <c r="M2026" s="15"/>
      <c r="N2026" s="15"/>
      <c r="O2026" s="15"/>
      <c r="P2026" s="15" t="s">
        <v>205</v>
      </c>
      <c r="Q2026" s="15" t="s">
        <v>19042</v>
      </c>
      <c r="R2026" s="15" t="s">
        <v>19043</v>
      </c>
      <c r="S2026" s="24" t="s">
        <v>39</v>
      </c>
      <c r="T2026" s="24" t="s">
        <v>39</v>
      </c>
      <c r="U2026" s="24" t="s">
        <v>39</v>
      </c>
      <c r="V2026" s="24" t="s">
        <v>39</v>
      </c>
      <c r="W2026" s="24"/>
      <c r="X2026" s="24"/>
      <c r="Y2026" s="15"/>
      <c r="Z2026" s="15"/>
      <c r="AA2026" s="24"/>
      <c r="AB2026" s="24"/>
      <c r="AC2026" s="24"/>
      <c r="AD2026" s="24"/>
      <c r="AE2026" s="24"/>
      <c r="AF2026" s="24"/>
      <c r="AG2026" s="24"/>
      <c r="AH2026" s="24"/>
    </row>
    <row r="2027" spans="1:34" ht="30" x14ac:dyDescent="0.25">
      <c r="A2027" s="24" t="str">
        <f>HYPERLINK("https://www.cpso.on.ca/DoctorDetails/Roy-Philip-Shoichet/0016778-21563","Shoichet, Roy Philip")</f>
        <v>Shoichet, Roy Philip</v>
      </c>
      <c r="B2027" s="25" t="s">
        <v>19044</v>
      </c>
      <c r="C2027" s="24" t="s">
        <v>19045</v>
      </c>
      <c r="D2027" s="24" t="s">
        <v>19046</v>
      </c>
      <c r="E2027" s="24" t="s">
        <v>29</v>
      </c>
      <c r="F2027" s="24" t="s">
        <v>30</v>
      </c>
      <c r="G2027" s="24" t="s">
        <v>31</v>
      </c>
      <c r="H2027" s="24" t="s">
        <v>1207</v>
      </c>
      <c r="I2027" s="24" t="s">
        <v>19047</v>
      </c>
      <c r="J2027" s="24" t="s">
        <v>19048</v>
      </c>
      <c r="K2027" s="24"/>
      <c r="L2027" s="24" t="s">
        <v>52</v>
      </c>
      <c r="M2027" s="15"/>
      <c r="N2027" s="15"/>
      <c r="O2027" s="15"/>
      <c r="P2027" s="15" t="s">
        <v>10772</v>
      </c>
      <c r="Q2027" s="15"/>
      <c r="R2027" s="15" t="s">
        <v>19049</v>
      </c>
      <c r="S2027" s="24" t="s">
        <v>39</v>
      </c>
      <c r="T2027" s="24" t="s">
        <v>39</v>
      </c>
      <c r="U2027" s="24" t="s">
        <v>39</v>
      </c>
      <c r="V2027" s="24" t="s">
        <v>39</v>
      </c>
      <c r="W2027" s="24"/>
      <c r="X2027" s="24"/>
      <c r="Y2027" s="15"/>
      <c r="Z2027" s="15"/>
      <c r="AA2027" s="24"/>
      <c r="AB2027" s="24"/>
      <c r="AC2027" s="24"/>
      <c r="AD2027" s="24"/>
      <c r="AE2027" s="24"/>
      <c r="AF2027" s="24"/>
      <c r="AG2027" s="24"/>
      <c r="AH2027" s="24"/>
    </row>
    <row r="2028" spans="1:34" ht="75" x14ac:dyDescent="0.25">
      <c r="A2028" s="24" t="str">
        <f>HYPERLINK("https://www.cpso.on.ca/DoctorDetails/Ruben-Gagarin/0261631-92276","Gagarin, Ruben")</f>
        <v>Gagarin, Ruben</v>
      </c>
      <c r="B2028" s="25" t="s">
        <v>19050</v>
      </c>
      <c r="C2028" s="24" t="s">
        <v>19051</v>
      </c>
      <c r="D2028" s="24" t="s">
        <v>19052</v>
      </c>
      <c r="E2028" s="24" t="s">
        <v>29</v>
      </c>
      <c r="F2028" s="24" t="s">
        <v>30</v>
      </c>
      <c r="G2028" s="24" t="s">
        <v>873</v>
      </c>
      <c r="H2028" s="24" t="s">
        <v>19053</v>
      </c>
      <c r="I2028" s="24" t="s">
        <v>19054</v>
      </c>
      <c r="J2028" s="24" t="s">
        <v>2506</v>
      </c>
      <c r="K2028" s="24" t="s">
        <v>2507</v>
      </c>
      <c r="L2028" s="24" t="s">
        <v>52</v>
      </c>
      <c r="M2028" s="15"/>
      <c r="N2028" s="15" t="s">
        <v>2508</v>
      </c>
      <c r="O2028" s="15" t="s">
        <v>958</v>
      </c>
      <c r="P2028" s="15" t="s">
        <v>412</v>
      </c>
      <c r="Q2028" s="15"/>
      <c r="R2028" s="15" t="s">
        <v>19055</v>
      </c>
      <c r="S2028" s="24" t="s">
        <v>39</v>
      </c>
      <c r="T2028" s="24" t="s">
        <v>39</v>
      </c>
      <c r="U2028" s="24" t="s">
        <v>39</v>
      </c>
      <c r="V2028" s="24" t="s">
        <v>39</v>
      </c>
      <c r="W2028" s="24" t="s">
        <v>19056</v>
      </c>
      <c r="X2028" s="24" t="s">
        <v>19057</v>
      </c>
      <c r="Y2028" s="15" t="s">
        <v>19058</v>
      </c>
      <c r="Z2028" s="15" t="s">
        <v>19059</v>
      </c>
      <c r="AA2028" s="24"/>
      <c r="AB2028" s="24"/>
      <c r="AC2028" s="24"/>
      <c r="AD2028" s="24"/>
      <c r="AE2028" s="24"/>
      <c r="AF2028" s="24"/>
      <c r="AG2028" s="24"/>
      <c r="AH2028" s="24"/>
    </row>
    <row r="2029" spans="1:34" ht="60" x14ac:dyDescent="0.25">
      <c r="A2029" s="24" t="str">
        <f>HYPERLINK("https://www.cpso.on.ca/DoctorDetails/Rufino-Bringas-Balmaceda/0030456-42436","Balmaceda, Rufino Bringas")</f>
        <v>Balmaceda, Rufino Bringas</v>
      </c>
      <c r="B2029" s="25" t="s">
        <v>19060</v>
      </c>
      <c r="C2029" s="24" t="s">
        <v>826</v>
      </c>
      <c r="D2029" s="24" t="s">
        <v>19061</v>
      </c>
      <c r="E2029" s="24" t="s">
        <v>29</v>
      </c>
      <c r="F2029" s="24" t="s">
        <v>30</v>
      </c>
      <c r="G2029" s="24" t="s">
        <v>19062</v>
      </c>
      <c r="H2029" s="24" t="s">
        <v>19063</v>
      </c>
      <c r="I2029" s="24" t="s">
        <v>19064</v>
      </c>
      <c r="J2029" s="24" t="s">
        <v>8537</v>
      </c>
      <c r="K2029" s="24" t="s">
        <v>6138</v>
      </c>
      <c r="L2029" s="24" t="s">
        <v>84</v>
      </c>
      <c r="M2029" s="15" t="s">
        <v>19065</v>
      </c>
      <c r="N2029" s="15"/>
      <c r="O2029" s="15" t="s">
        <v>3338</v>
      </c>
      <c r="P2029" s="15" t="s">
        <v>1192</v>
      </c>
      <c r="Q2029" s="15"/>
      <c r="R2029" s="15" t="s">
        <v>19066</v>
      </c>
      <c r="S2029" s="24" t="s">
        <v>39</v>
      </c>
      <c r="T2029" s="24" t="s">
        <v>39</v>
      </c>
      <c r="U2029" s="24" t="s">
        <v>39</v>
      </c>
      <c r="V2029" s="24" t="s">
        <v>39</v>
      </c>
      <c r="W2029" s="24" t="s">
        <v>19067</v>
      </c>
      <c r="X2029" s="24" t="s">
        <v>19068</v>
      </c>
      <c r="Y2029" s="15" t="s">
        <v>19069</v>
      </c>
      <c r="Z2029" s="15" t="s">
        <v>19070</v>
      </c>
      <c r="AA2029" s="24"/>
      <c r="AB2029" s="24"/>
      <c r="AC2029" s="24"/>
      <c r="AD2029" s="24"/>
      <c r="AE2029" s="24"/>
      <c r="AF2029" s="24"/>
      <c r="AG2029" s="24"/>
      <c r="AH2029" s="24"/>
    </row>
    <row r="2030" spans="1:34" ht="30" x14ac:dyDescent="0.25">
      <c r="A2030" s="24" t="str">
        <f>HYPERLINK("https://www.cpso.on.ca/DoctorDetails/Rukhsana-Naqi-Bukhari/0027253-32076","Bukhari, Rukhsana Naqi")</f>
        <v>Bukhari, Rukhsana Naqi</v>
      </c>
      <c r="B2030" s="25" t="s">
        <v>19071</v>
      </c>
      <c r="C2030" s="24" t="s">
        <v>19072</v>
      </c>
      <c r="D2030" s="24" t="s">
        <v>19073</v>
      </c>
      <c r="E2030" s="24" t="s">
        <v>29</v>
      </c>
      <c r="F2030" s="24" t="s">
        <v>47</v>
      </c>
      <c r="G2030" s="24" t="s">
        <v>1445</v>
      </c>
      <c r="H2030" s="24" t="s">
        <v>19074</v>
      </c>
      <c r="I2030" s="24" t="s">
        <v>19075</v>
      </c>
      <c r="J2030" s="24" t="s">
        <v>19076</v>
      </c>
      <c r="K2030" s="24" t="s">
        <v>19077</v>
      </c>
      <c r="L2030" s="24" t="s">
        <v>52</v>
      </c>
      <c r="M2030" s="15"/>
      <c r="N2030" s="15"/>
      <c r="O2030" s="15"/>
      <c r="P2030" s="15" t="s">
        <v>8551</v>
      </c>
      <c r="Q2030" s="15"/>
      <c r="R2030" s="15" t="s">
        <v>19078</v>
      </c>
      <c r="S2030" s="24" t="s">
        <v>39</v>
      </c>
      <c r="T2030" s="24" t="s">
        <v>39</v>
      </c>
      <c r="U2030" s="24" t="s">
        <v>39</v>
      </c>
      <c r="V2030" s="24" t="s">
        <v>39</v>
      </c>
      <c r="W2030" s="24" t="s">
        <v>19079</v>
      </c>
      <c r="X2030" s="24" t="s">
        <v>19080</v>
      </c>
      <c r="Y2030" s="15" t="s">
        <v>19081</v>
      </c>
      <c r="Z2030" s="15" t="s">
        <v>19082</v>
      </c>
      <c r="AA2030" s="24"/>
      <c r="AB2030" s="24"/>
      <c r="AC2030" s="24"/>
      <c r="AD2030" s="24"/>
      <c r="AE2030" s="24"/>
      <c r="AF2030" s="24"/>
      <c r="AG2030" s="24"/>
      <c r="AH2030" s="24"/>
    </row>
    <row r="2031" spans="1:34" ht="45" x14ac:dyDescent="0.25">
      <c r="A2031" s="24" t="str">
        <f>HYPERLINK("https://www.cpso.on.ca/DoctorDetails/Rupa-Roma-Roopchand/0039262-53238","Roopchand, Rupa Roma")</f>
        <v>Roopchand, Rupa Roma</v>
      </c>
      <c r="B2031" s="25" t="s">
        <v>19083</v>
      </c>
      <c r="C2031" s="24" t="s">
        <v>2000</v>
      </c>
      <c r="D2031" s="24" t="s">
        <v>19084</v>
      </c>
      <c r="E2031" s="24" t="s">
        <v>29</v>
      </c>
      <c r="F2031" s="24" t="s">
        <v>47</v>
      </c>
      <c r="G2031" s="24" t="s">
        <v>31</v>
      </c>
      <c r="H2031" s="24" t="s">
        <v>2014</v>
      </c>
      <c r="I2031" s="24" t="s">
        <v>19085</v>
      </c>
      <c r="J2031" s="24" t="s">
        <v>19086</v>
      </c>
      <c r="K2031" s="24" t="s">
        <v>19087</v>
      </c>
      <c r="L2031" s="24" t="s">
        <v>135</v>
      </c>
      <c r="M2031" s="15" t="s">
        <v>19088</v>
      </c>
      <c r="N2031" s="15"/>
      <c r="O2031" s="15"/>
      <c r="P2031" s="15" t="s">
        <v>3194</v>
      </c>
      <c r="Q2031" s="15"/>
      <c r="R2031" s="15" t="s">
        <v>19089</v>
      </c>
      <c r="S2031" s="24" t="s">
        <v>39</v>
      </c>
      <c r="T2031" s="24" t="s">
        <v>39</v>
      </c>
      <c r="U2031" s="24" t="s">
        <v>39</v>
      </c>
      <c r="V2031" s="24" t="s">
        <v>39</v>
      </c>
      <c r="W2031" s="24" t="s">
        <v>19090</v>
      </c>
      <c r="X2031" s="24" t="s">
        <v>19091</v>
      </c>
      <c r="Y2031" s="15" t="s">
        <v>19092</v>
      </c>
      <c r="Z2031" s="15" t="s">
        <v>19093</v>
      </c>
      <c r="AA2031" s="24"/>
      <c r="AB2031" s="24"/>
      <c r="AC2031" s="24"/>
      <c r="AD2031" s="24"/>
      <c r="AE2031" s="24"/>
      <c r="AF2031" s="24"/>
      <c r="AG2031" s="24"/>
      <c r="AH2031" s="24"/>
    </row>
    <row r="2032" spans="1:34" ht="150" x14ac:dyDescent="0.25">
      <c r="A2032" s="24" t="str">
        <f>HYPERLINK("https://www.cpso.on.ca/DoctorDetails/Rupinder-Kaur-Johal/0265831-94059","Johal, Rupinder Kaur")</f>
        <v>Johal, Rupinder Kaur</v>
      </c>
      <c r="B2032" s="25" t="s">
        <v>19094</v>
      </c>
      <c r="C2032" s="24" t="s">
        <v>19095</v>
      </c>
      <c r="D2032" s="24" t="s">
        <v>3070</v>
      </c>
      <c r="E2032" s="24" t="s">
        <v>29</v>
      </c>
      <c r="F2032" s="24" t="s">
        <v>47</v>
      </c>
      <c r="G2032" s="24" t="s">
        <v>61</v>
      </c>
      <c r="H2032" s="24" t="s">
        <v>19096</v>
      </c>
      <c r="I2032" s="24" t="s">
        <v>243</v>
      </c>
      <c r="J2032" s="24" t="s">
        <v>19097</v>
      </c>
      <c r="K2032" s="24"/>
      <c r="L2032" s="24" t="s">
        <v>36</v>
      </c>
      <c r="M2032" s="15" t="s">
        <v>19098</v>
      </c>
      <c r="N2032" s="15"/>
      <c r="O2032" s="15" t="s">
        <v>19099</v>
      </c>
      <c r="P2032" s="15" t="s">
        <v>4249</v>
      </c>
      <c r="Q2032" s="15" t="s">
        <v>19100</v>
      </c>
      <c r="R2032" s="15" t="s">
        <v>19101</v>
      </c>
      <c r="S2032" s="24" t="s">
        <v>39</v>
      </c>
      <c r="T2032" s="24" t="s">
        <v>39</v>
      </c>
      <c r="U2032" s="24" t="s">
        <v>39</v>
      </c>
      <c r="V2032" s="24" t="s">
        <v>39</v>
      </c>
      <c r="W2032" s="24" t="s">
        <v>19102</v>
      </c>
      <c r="X2032" s="24" t="s">
        <v>19103</v>
      </c>
      <c r="Y2032" s="15" t="s">
        <v>19104</v>
      </c>
      <c r="Z2032" s="15" t="s">
        <v>19105</v>
      </c>
      <c r="AA2032" s="24"/>
      <c r="AB2032" s="24"/>
      <c r="AC2032" s="24"/>
      <c r="AD2032" s="24"/>
      <c r="AE2032" s="24"/>
      <c r="AF2032" s="24"/>
      <c r="AG2032" s="24"/>
      <c r="AH2032" s="24"/>
    </row>
    <row r="2033" spans="1:34" ht="30" x14ac:dyDescent="0.25">
      <c r="A2033" s="24" t="str">
        <f>HYPERLINK("https://www.cpso.on.ca/DoctorDetails/Russell-Chapin-Westkirk/0038555-52531","Westkirk, Russell Chapin")</f>
        <v>Westkirk, Russell Chapin</v>
      </c>
      <c r="B2033" s="25" t="s">
        <v>19106</v>
      </c>
      <c r="C2033" s="24" t="s">
        <v>3561</v>
      </c>
      <c r="D2033" s="24" t="s">
        <v>19107</v>
      </c>
      <c r="E2033" s="24" t="s">
        <v>29</v>
      </c>
      <c r="F2033" s="24" t="s">
        <v>30</v>
      </c>
      <c r="G2033" s="24" t="s">
        <v>31</v>
      </c>
      <c r="H2033" s="24" t="s">
        <v>3563</v>
      </c>
      <c r="I2033" s="24" t="s">
        <v>19108</v>
      </c>
      <c r="J2033" s="24" t="s">
        <v>19109</v>
      </c>
      <c r="K2033" s="24" t="s">
        <v>19110</v>
      </c>
      <c r="L2033" s="24" t="s">
        <v>52</v>
      </c>
      <c r="M2033" s="15"/>
      <c r="N2033" s="15"/>
      <c r="O2033" s="15"/>
      <c r="P2033" s="15" t="s">
        <v>2640</v>
      </c>
      <c r="Q2033" s="15"/>
      <c r="R2033" s="15" t="s">
        <v>19111</v>
      </c>
      <c r="S2033" s="24" t="s">
        <v>39</v>
      </c>
      <c r="T2033" s="24" t="s">
        <v>39</v>
      </c>
      <c r="U2033" s="24" t="s">
        <v>39</v>
      </c>
      <c r="V2033" s="24" t="s">
        <v>39</v>
      </c>
      <c r="W2033" s="24"/>
      <c r="X2033" s="24"/>
      <c r="Y2033" s="15"/>
      <c r="Z2033" s="15"/>
      <c r="AA2033" s="24"/>
      <c r="AB2033" s="24"/>
      <c r="AC2033" s="24"/>
      <c r="AD2033" s="24"/>
      <c r="AE2033" s="24"/>
      <c r="AF2033" s="24"/>
      <c r="AG2033" s="24"/>
      <c r="AH2033" s="24"/>
    </row>
    <row r="2034" spans="1:34" ht="30" x14ac:dyDescent="0.25">
      <c r="A2034" s="24" t="str">
        <f>HYPERLINK("https://www.cpso.on.ca/DoctorDetails/Russell-James-Schachar/0022968-27759","Schachar, Russell James")</f>
        <v>Schachar, Russell James</v>
      </c>
      <c r="B2034" s="25" t="s">
        <v>19112</v>
      </c>
      <c r="C2034" s="24" t="s">
        <v>19113</v>
      </c>
      <c r="D2034" s="24" t="s">
        <v>19114</v>
      </c>
      <c r="E2034" s="24" t="s">
        <v>29</v>
      </c>
      <c r="F2034" s="24" t="s">
        <v>30</v>
      </c>
      <c r="G2034" s="24" t="s">
        <v>31</v>
      </c>
      <c r="H2034" s="24" t="s">
        <v>6455</v>
      </c>
      <c r="I2034" s="24" t="s">
        <v>19115</v>
      </c>
      <c r="J2034" s="24" t="s">
        <v>19116</v>
      </c>
      <c r="K2034" s="24" t="s">
        <v>5974</v>
      </c>
      <c r="L2034" s="24" t="s">
        <v>52</v>
      </c>
      <c r="M2034" s="15" t="s">
        <v>19117</v>
      </c>
      <c r="N2034" s="15"/>
      <c r="O2034" s="15" t="s">
        <v>121</v>
      </c>
      <c r="P2034" s="15" t="s">
        <v>2661</v>
      </c>
      <c r="Q2034" s="15"/>
      <c r="R2034" s="15" t="s">
        <v>19118</v>
      </c>
      <c r="S2034" s="24" t="s">
        <v>39</v>
      </c>
      <c r="T2034" s="24" t="s">
        <v>39</v>
      </c>
      <c r="U2034" s="24" t="s">
        <v>39</v>
      </c>
      <c r="V2034" s="24" t="s">
        <v>39</v>
      </c>
      <c r="W2034" s="24"/>
      <c r="X2034" s="24"/>
      <c r="Y2034" s="15"/>
      <c r="Z2034" s="15"/>
      <c r="AA2034" s="24"/>
      <c r="AB2034" s="24"/>
      <c r="AC2034" s="24"/>
      <c r="AD2034" s="24"/>
      <c r="AE2034" s="24"/>
      <c r="AF2034" s="24"/>
      <c r="AG2034" s="24"/>
      <c r="AH2034" s="24"/>
    </row>
    <row r="2035" spans="1:34" ht="75" x14ac:dyDescent="0.25">
      <c r="A2035" s="24" t="str">
        <f>HYPERLINK("https://www.cpso.on.ca/DoctorDetails/Russell-Scott-Gilbert/0048156-62134","Gilbert, Russell Scott")</f>
        <v>Gilbert, Russell Scott</v>
      </c>
      <c r="B2035" s="25" t="s">
        <v>19119</v>
      </c>
      <c r="C2035" s="24" t="s">
        <v>1954</v>
      </c>
      <c r="D2035" s="24" t="s">
        <v>8303</v>
      </c>
      <c r="E2035" s="24" t="s">
        <v>29</v>
      </c>
      <c r="F2035" s="24" t="s">
        <v>30</v>
      </c>
      <c r="G2035" s="24" t="s">
        <v>31</v>
      </c>
      <c r="H2035" s="24" t="s">
        <v>17699</v>
      </c>
      <c r="I2035" s="24" t="s">
        <v>19120</v>
      </c>
      <c r="J2035" s="24" t="s">
        <v>19121</v>
      </c>
      <c r="K2035" s="24"/>
      <c r="L2035" s="24"/>
      <c r="M2035" s="15"/>
      <c r="N2035" s="15" t="s">
        <v>19122</v>
      </c>
      <c r="O2035" s="15"/>
      <c r="P2035" s="15" t="s">
        <v>169</v>
      </c>
      <c r="Q2035" s="15" t="s">
        <v>19123</v>
      </c>
      <c r="R2035" s="15" t="s">
        <v>19124</v>
      </c>
      <c r="S2035" s="24" t="s">
        <v>39</v>
      </c>
      <c r="T2035" s="24" t="s">
        <v>39</v>
      </c>
      <c r="U2035" s="24" t="s">
        <v>39</v>
      </c>
      <c r="V2035" s="24" t="s">
        <v>39</v>
      </c>
      <c r="W2035" s="24"/>
      <c r="X2035" s="24"/>
      <c r="Y2035" s="15"/>
      <c r="Z2035" s="15"/>
      <c r="AA2035" s="24"/>
      <c r="AB2035" s="24"/>
      <c r="AC2035" s="24"/>
      <c r="AD2035" s="24"/>
      <c r="AE2035" s="24"/>
      <c r="AF2035" s="24"/>
      <c r="AG2035" s="24"/>
      <c r="AH2035" s="24"/>
    </row>
    <row r="2036" spans="1:34" ht="75" x14ac:dyDescent="0.25">
      <c r="A2036" s="24" t="str">
        <f>HYPERLINK("https://www.cpso.on.ca/DoctorDetails/Russlan-Abouhassan/0289073-100656","Abouhassan, Russlan")</f>
        <v>Abouhassan, Russlan</v>
      </c>
      <c r="B2036" s="25" t="s">
        <v>19125</v>
      </c>
      <c r="C2036" s="24" t="s">
        <v>199</v>
      </c>
      <c r="D2036" s="24" t="s">
        <v>200</v>
      </c>
      <c r="E2036" s="24" t="s">
        <v>29</v>
      </c>
      <c r="F2036" s="24" t="s">
        <v>30</v>
      </c>
      <c r="G2036" s="24" t="s">
        <v>31</v>
      </c>
      <c r="H2036" s="24" t="s">
        <v>201</v>
      </c>
      <c r="I2036" s="24" t="s">
        <v>19126</v>
      </c>
      <c r="J2036" s="24" t="s">
        <v>19127</v>
      </c>
      <c r="K2036" s="24"/>
      <c r="L2036" s="24" t="s">
        <v>65</v>
      </c>
      <c r="M2036" s="15"/>
      <c r="N2036" s="15"/>
      <c r="O2036" s="15" t="s">
        <v>16746</v>
      </c>
      <c r="P2036" s="15" t="s">
        <v>205</v>
      </c>
      <c r="Q2036" s="15" t="s">
        <v>19128</v>
      </c>
      <c r="R2036" s="15" t="s">
        <v>207</v>
      </c>
      <c r="S2036" s="24" t="s">
        <v>39</v>
      </c>
      <c r="T2036" s="24" t="s">
        <v>39</v>
      </c>
      <c r="U2036" s="24" t="s">
        <v>39</v>
      </c>
      <c r="V2036" s="24" t="s">
        <v>39</v>
      </c>
      <c r="W2036" s="24"/>
      <c r="X2036" s="24"/>
      <c r="Y2036" s="15"/>
      <c r="Z2036" s="15"/>
      <c r="AA2036" s="24"/>
      <c r="AB2036" s="24"/>
      <c r="AC2036" s="24"/>
      <c r="AD2036" s="24"/>
      <c r="AE2036" s="24"/>
      <c r="AF2036" s="24"/>
      <c r="AG2036" s="24"/>
      <c r="AH2036" s="24"/>
    </row>
    <row r="2037" spans="1:34" ht="30" x14ac:dyDescent="0.25">
      <c r="A2037" s="24" t="str">
        <f>HYPERLINK("https://www.cpso.on.ca/DoctorDetails/Rustom-Homi-Sethna/0041299-55275","Sethna, Rustom Homi")</f>
        <v>Sethna, Rustom Homi</v>
      </c>
      <c r="B2037" s="25" t="s">
        <v>19129</v>
      </c>
      <c r="C2037" s="24" t="s">
        <v>2132</v>
      </c>
      <c r="D2037" s="24" t="s">
        <v>19130</v>
      </c>
      <c r="E2037" s="24" t="s">
        <v>29</v>
      </c>
      <c r="F2037" s="24" t="s">
        <v>30</v>
      </c>
      <c r="G2037" s="24" t="s">
        <v>31</v>
      </c>
      <c r="H2037" s="24" t="s">
        <v>15134</v>
      </c>
      <c r="I2037" s="24" t="s">
        <v>19131</v>
      </c>
      <c r="J2037" s="24" t="s">
        <v>3495</v>
      </c>
      <c r="K2037" s="24" t="s">
        <v>3496</v>
      </c>
      <c r="L2037" s="24" t="s">
        <v>36</v>
      </c>
      <c r="M2037" s="15" t="s">
        <v>19132</v>
      </c>
      <c r="N2037" s="15"/>
      <c r="O2037" s="15"/>
      <c r="P2037" s="15" t="s">
        <v>1033</v>
      </c>
      <c r="Q2037" s="15" t="s">
        <v>5470</v>
      </c>
      <c r="R2037" s="15" t="s">
        <v>19133</v>
      </c>
      <c r="S2037" s="24" t="s">
        <v>39</v>
      </c>
      <c r="T2037" s="24" t="s">
        <v>39</v>
      </c>
      <c r="U2037" s="24" t="s">
        <v>39</v>
      </c>
      <c r="V2037" s="24" t="s">
        <v>39</v>
      </c>
      <c r="W2037" s="24" t="s">
        <v>19134</v>
      </c>
      <c r="X2037" s="24" t="s">
        <v>15637</v>
      </c>
      <c r="Y2037" s="15" t="s">
        <v>19135</v>
      </c>
      <c r="Z2037" s="15" t="s">
        <v>9251</v>
      </c>
      <c r="AA2037" s="24"/>
      <c r="AB2037" s="24"/>
      <c r="AC2037" s="24"/>
      <c r="AD2037" s="24"/>
      <c r="AE2037" s="24"/>
      <c r="AF2037" s="24"/>
      <c r="AG2037" s="24"/>
      <c r="AH2037" s="24"/>
    </row>
    <row r="2038" spans="1:34" ht="60" x14ac:dyDescent="0.25">
      <c r="A2038" s="24" t="str">
        <f>HYPERLINK("https://www.cpso.on.ca/DoctorDetails/Ruth-Ann-Biggar/0031810-43790","Biggar, Ruth Ann")</f>
        <v>Biggar, Ruth Ann</v>
      </c>
      <c r="B2038" s="25" t="s">
        <v>19136</v>
      </c>
      <c r="C2038" s="24" t="s">
        <v>801</v>
      </c>
      <c r="D2038" s="24" t="s">
        <v>19137</v>
      </c>
      <c r="E2038" s="24" t="s">
        <v>29</v>
      </c>
      <c r="F2038" s="24" t="s">
        <v>47</v>
      </c>
      <c r="G2038" s="24" t="s">
        <v>31</v>
      </c>
      <c r="H2038" s="24" t="s">
        <v>19138</v>
      </c>
      <c r="I2038" s="24" t="s">
        <v>19139</v>
      </c>
      <c r="J2038" s="24" t="s">
        <v>19140</v>
      </c>
      <c r="K2038" s="24" t="s">
        <v>19141</v>
      </c>
      <c r="L2038" s="24" t="s">
        <v>84</v>
      </c>
      <c r="M2038" s="15"/>
      <c r="N2038" s="15"/>
      <c r="O2038" s="15"/>
      <c r="P2038" s="15" t="s">
        <v>2137</v>
      </c>
      <c r="Q2038" s="15" t="s">
        <v>19142</v>
      </c>
      <c r="R2038" s="15" t="s">
        <v>19143</v>
      </c>
      <c r="S2038" s="24" t="s">
        <v>39</v>
      </c>
      <c r="T2038" s="24" t="s">
        <v>39</v>
      </c>
      <c r="U2038" s="24" t="s">
        <v>39</v>
      </c>
      <c r="V2038" s="24" t="s">
        <v>39</v>
      </c>
      <c r="W2038" s="24" t="s">
        <v>19144</v>
      </c>
      <c r="X2038" s="24" t="s">
        <v>19145</v>
      </c>
      <c r="Y2038" s="15" t="s">
        <v>19146</v>
      </c>
      <c r="Z2038" s="15" t="s">
        <v>19147</v>
      </c>
      <c r="AA2038" s="24"/>
      <c r="AB2038" s="24"/>
      <c r="AC2038" s="24"/>
      <c r="AD2038" s="24"/>
      <c r="AE2038" s="24"/>
      <c r="AF2038" s="24"/>
      <c r="AG2038" s="24"/>
      <c r="AH2038" s="24"/>
    </row>
    <row r="2039" spans="1:34" ht="75" x14ac:dyDescent="0.25">
      <c r="A2039" s="24" t="str">
        <f>HYPERLINK("https://www.cpso.on.ca/DoctorDetails/Ruth-Anne-Lanius/0132912-70520","Lanius, Ruth Anne")</f>
        <v>Lanius, Ruth Anne</v>
      </c>
      <c r="B2039" s="25" t="s">
        <v>19148</v>
      </c>
      <c r="C2039" s="24" t="s">
        <v>2673</v>
      </c>
      <c r="D2039" s="24" t="s">
        <v>214</v>
      </c>
      <c r="E2039" s="24" t="s">
        <v>29</v>
      </c>
      <c r="F2039" s="24" t="s">
        <v>47</v>
      </c>
      <c r="G2039" s="24" t="s">
        <v>6608</v>
      </c>
      <c r="H2039" s="24" t="s">
        <v>14006</v>
      </c>
      <c r="I2039" s="24" t="s">
        <v>19149</v>
      </c>
      <c r="J2039" s="24" t="s">
        <v>19150</v>
      </c>
      <c r="K2039" s="24" t="s">
        <v>19151</v>
      </c>
      <c r="L2039" s="24" t="s">
        <v>135</v>
      </c>
      <c r="M2039" s="15" t="s">
        <v>19152</v>
      </c>
      <c r="N2039" s="15"/>
      <c r="O2039" s="15"/>
      <c r="P2039" s="15" t="s">
        <v>1343</v>
      </c>
      <c r="Q2039" s="15" t="s">
        <v>19153</v>
      </c>
      <c r="R2039" s="15" t="s">
        <v>19154</v>
      </c>
      <c r="S2039" s="24" t="s">
        <v>39</v>
      </c>
      <c r="T2039" s="24" t="s">
        <v>39</v>
      </c>
      <c r="U2039" s="24" t="s">
        <v>39</v>
      </c>
      <c r="V2039" s="24" t="s">
        <v>39</v>
      </c>
      <c r="W2039" s="24" t="s">
        <v>19155</v>
      </c>
      <c r="X2039" s="24" t="s">
        <v>19156</v>
      </c>
      <c r="Y2039" s="15" t="s">
        <v>19157</v>
      </c>
      <c r="Z2039" s="15" t="s">
        <v>19158</v>
      </c>
      <c r="AA2039" s="24"/>
      <c r="AB2039" s="24"/>
      <c r="AC2039" s="24"/>
      <c r="AD2039" s="24"/>
      <c r="AE2039" s="24"/>
      <c r="AF2039" s="24"/>
      <c r="AG2039" s="24"/>
      <c r="AH2039" s="24"/>
    </row>
    <row r="2040" spans="1:34" ht="30" x14ac:dyDescent="0.25">
      <c r="A2040" s="24" t="str">
        <f>HYPERLINK("https://www.cpso.on.ca/DoctorDetails/Ruth-Baruch/0025995-30818","Baruch, Ruth")</f>
        <v>Baruch, Ruth</v>
      </c>
      <c r="B2040" s="25" t="s">
        <v>19159</v>
      </c>
      <c r="C2040" s="24" t="s">
        <v>19160</v>
      </c>
      <c r="D2040" s="24" t="s">
        <v>19161</v>
      </c>
      <c r="E2040" s="24" t="s">
        <v>29</v>
      </c>
      <c r="F2040" s="24" t="s">
        <v>47</v>
      </c>
      <c r="G2040" s="24" t="s">
        <v>19162</v>
      </c>
      <c r="H2040" s="24" t="s">
        <v>11232</v>
      </c>
      <c r="I2040" s="24" t="s">
        <v>12532</v>
      </c>
      <c r="J2040" s="24" t="s">
        <v>19163</v>
      </c>
      <c r="K2040" s="24" t="s">
        <v>1190</v>
      </c>
      <c r="L2040" s="24" t="s">
        <v>52</v>
      </c>
      <c r="M2040" s="15" t="s">
        <v>19164</v>
      </c>
      <c r="N2040" s="15"/>
      <c r="O2040" s="15" t="s">
        <v>1191</v>
      </c>
      <c r="P2040" s="15" t="s">
        <v>1192</v>
      </c>
      <c r="Q2040" s="15"/>
      <c r="R2040" s="15" t="s">
        <v>19165</v>
      </c>
      <c r="S2040" s="24" t="s">
        <v>39</v>
      </c>
      <c r="T2040" s="24" t="s">
        <v>39</v>
      </c>
      <c r="U2040" s="24" t="s">
        <v>39</v>
      </c>
      <c r="V2040" s="24" t="s">
        <v>39</v>
      </c>
      <c r="W2040" s="24"/>
      <c r="X2040" s="24"/>
      <c r="Y2040" s="15"/>
      <c r="Z2040" s="15"/>
      <c r="AA2040" s="24"/>
      <c r="AB2040" s="24"/>
      <c r="AC2040" s="24"/>
      <c r="AD2040" s="24"/>
      <c r="AE2040" s="24"/>
      <c r="AF2040" s="24"/>
      <c r="AG2040" s="24"/>
      <c r="AH2040" s="24"/>
    </row>
    <row r="2041" spans="1:34" ht="150" x14ac:dyDescent="0.25">
      <c r="A2041" s="24" t="str">
        <f>HYPERLINK("https://www.cpso.on.ca/DoctorDetails/Ruth-Lynn-Taylor/0190210-78016","Taylor, Ruth Lynn")</f>
        <v>Taylor, Ruth Lynn</v>
      </c>
      <c r="B2041" s="25" t="s">
        <v>19166</v>
      </c>
      <c r="C2041" s="24" t="s">
        <v>19167</v>
      </c>
      <c r="D2041" s="24" t="s">
        <v>19168</v>
      </c>
      <c r="E2041" s="24" t="s">
        <v>29</v>
      </c>
      <c r="F2041" s="24" t="s">
        <v>47</v>
      </c>
      <c r="G2041" s="24" t="s">
        <v>31</v>
      </c>
      <c r="H2041" s="24" t="s">
        <v>10541</v>
      </c>
      <c r="I2041" s="24" t="s">
        <v>19169</v>
      </c>
      <c r="J2041" s="24" t="s">
        <v>19170</v>
      </c>
      <c r="K2041" s="24" t="s">
        <v>3287</v>
      </c>
      <c r="L2041" s="24" t="s">
        <v>84</v>
      </c>
      <c r="M2041" s="15"/>
      <c r="N2041" s="15"/>
      <c r="O2041" s="15"/>
      <c r="P2041" s="15" t="s">
        <v>19171</v>
      </c>
      <c r="Q2041" s="15" t="s">
        <v>19172</v>
      </c>
      <c r="R2041" s="15" t="s">
        <v>19173</v>
      </c>
      <c r="S2041" s="24" t="s">
        <v>39</v>
      </c>
      <c r="T2041" s="24" t="s">
        <v>39</v>
      </c>
      <c r="U2041" s="24" t="s">
        <v>39</v>
      </c>
      <c r="V2041" s="24" t="s">
        <v>39</v>
      </c>
      <c r="W2041" s="24"/>
      <c r="X2041" s="24"/>
      <c r="Y2041" s="15"/>
      <c r="Z2041" s="15"/>
      <c r="AA2041" s="24"/>
      <c r="AB2041" s="24"/>
      <c r="AC2041" s="24"/>
      <c r="AD2041" s="24"/>
      <c r="AE2041" s="24"/>
      <c r="AF2041" s="24"/>
      <c r="AG2041" s="24"/>
      <c r="AH2041" s="24"/>
    </row>
    <row r="2042" spans="1:34" ht="30" x14ac:dyDescent="0.25">
      <c r="A2042" s="24" t="str">
        <f>HYPERLINK("https://www.cpso.on.ca/DoctorDetails/Ruth-Marie-Stirtzinger/0026199-31022","Stirtzinger, Ruth Marie")</f>
        <v>Stirtzinger, Ruth Marie</v>
      </c>
      <c r="B2042" s="25" t="s">
        <v>19174</v>
      </c>
      <c r="C2042" s="24" t="s">
        <v>19175</v>
      </c>
      <c r="D2042" s="24" t="s">
        <v>14834</v>
      </c>
      <c r="E2042" s="24" t="s">
        <v>29</v>
      </c>
      <c r="F2042" s="24" t="s">
        <v>47</v>
      </c>
      <c r="G2042" s="24" t="s">
        <v>31</v>
      </c>
      <c r="H2042" s="24" t="s">
        <v>2916</v>
      </c>
      <c r="I2042" s="24" t="s">
        <v>19176</v>
      </c>
      <c r="J2042" s="24" t="s">
        <v>19177</v>
      </c>
      <c r="K2042" s="24"/>
      <c r="L2042" s="24" t="s">
        <v>52</v>
      </c>
      <c r="M2042" s="15"/>
      <c r="N2042" s="15"/>
      <c r="O2042" s="15" t="s">
        <v>972</v>
      </c>
      <c r="P2042" s="15" t="s">
        <v>9291</v>
      </c>
      <c r="Q2042" s="15"/>
      <c r="R2042" s="15" t="s">
        <v>19178</v>
      </c>
      <c r="S2042" s="24" t="s">
        <v>39</v>
      </c>
      <c r="T2042" s="24" t="s">
        <v>39</v>
      </c>
      <c r="U2042" s="24" t="s">
        <v>39</v>
      </c>
      <c r="V2042" s="24" t="s">
        <v>39</v>
      </c>
      <c r="W2042" s="24"/>
      <c r="X2042" s="24"/>
      <c r="Y2042" s="15"/>
      <c r="Z2042" s="15"/>
      <c r="AA2042" s="24"/>
      <c r="AB2042" s="24"/>
      <c r="AC2042" s="24"/>
      <c r="AD2042" s="24"/>
      <c r="AE2042" s="24"/>
      <c r="AF2042" s="24"/>
      <c r="AG2042" s="24"/>
      <c r="AH2042" s="24"/>
    </row>
    <row r="2043" spans="1:34" ht="75" x14ac:dyDescent="0.25">
      <c r="A2043" s="24" t="str">
        <f>HYPERLINK("https://www.cpso.on.ca/DoctorDetails/Ruxandra-Mihaela-Antochi/0149045-72388","Antochi, Ruxandra Mihaela")</f>
        <v>Antochi, Ruxandra Mihaela</v>
      </c>
      <c r="B2043" s="25" t="s">
        <v>19179</v>
      </c>
      <c r="C2043" s="24" t="s">
        <v>954</v>
      </c>
      <c r="D2043" s="24" t="s">
        <v>1323</v>
      </c>
      <c r="E2043" s="24" t="s">
        <v>29</v>
      </c>
      <c r="F2043" s="24" t="s">
        <v>47</v>
      </c>
      <c r="G2043" s="24" t="s">
        <v>923</v>
      </c>
      <c r="H2043" s="24" t="s">
        <v>8209</v>
      </c>
      <c r="I2043" s="24" t="s">
        <v>19180</v>
      </c>
      <c r="J2043" s="24" t="s">
        <v>3977</v>
      </c>
      <c r="K2043" s="24" t="s">
        <v>3978</v>
      </c>
      <c r="L2043" s="24" t="s">
        <v>84</v>
      </c>
      <c r="M2043" s="15" t="s">
        <v>19181</v>
      </c>
      <c r="N2043" s="15"/>
      <c r="O2043" s="15" t="s">
        <v>711</v>
      </c>
      <c r="P2043" s="15" t="s">
        <v>1330</v>
      </c>
      <c r="Q2043" s="15" t="s">
        <v>18898</v>
      </c>
      <c r="R2043" s="15" t="s">
        <v>2171</v>
      </c>
      <c r="S2043" s="24" t="s">
        <v>39</v>
      </c>
      <c r="T2043" s="24" t="s">
        <v>39</v>
      </c>
      <c r="U2043" s="24" t="s">
        <v>39</v>
      </c>
      <c r="V2043" s="24" t="s">
        <v>39</v>
      </c>
      <c r="W2043" s="24" t="s">
        <v>19182</v>
      </c>
      <c r="X2043" s="24" t="s">
        <v>19183</v>
      </c>
      <c r="Y2043" s="15" t="s">
        <v>19184</v>
      </c>
      <c r="Z2043" s="15" t="s">
        <v>19185</v>
      </c>
      <c r="AA2043" s="24"/>
      <c r="AB2043" s="24"/>
      <c r="AC2043" s="24"/>
      <c r="AD2043" s="24"/>
      <c r="AE2043" s="24"/>
      <c r="AF2043" s="24"/>
      <c r="AG2043" s="24"/>
      <c r="AH2043" s="24"/>
    </row>
    <row r="2044" spans="1:34" ht="30" x14ac:dyDescent="0.25">
      <c r="A2044" s="24" t="str">
        <f>HYPERLINK("https://www.cpso.on.ca/DoctorDetails/Ruzica-Jokic/0217752-81968","Jokic, Ruzica")</f>
        <v>Jokic, Ruzica</v>
      </c>
      <c r="B2044" s="25" t="s">
        <v>19186</v>
      </c>
      <c r="C2044" s="24" t="s">
        <v>19187</v>
      </c>
      <c r="D2044" s="24" t="s">
        <v>19188</v>
      </c>
      <c r="E2044" s="24" t="s">
        <v>29</v>
      </c>
      <c r="F2044" s="24" t="s">
        <v>47</v>
      </c>
      <c r="G2044" s="24" t="s">
        <v>5822</v>
      </c>
      <c r="H2044" s="24" t="s">
        <v>19189</v>
      </c>
      <c r="I2044" s="24" t="s">
        <v>19190</v>
      </c>
      <c r="J2044" s="24" t="s">
        <v>19191</v>
      </c>
      <c r="K2044" s="24" t="s">
        <v>19028</v>
      </c>
      <c r="L2044" s="24" t="s">
        <v>340</v>
      </c>
      <c r="M2044" s="15"/>
      <c r="N2044" s="15"/>
      <c r="O2044" s="15" t="s">
        <v>1122</v>
      </c>
      <c r="P2044" s="15" t="s">
        <v>1330</v>
      </c>
      <c r="Q2044" s="15"/>
      <c r="R2044" s="15" t="s">
        <v>19192</v>
      </c>
      <c r="S2044" s="24" t="s">
        <v>39</v>
      </c>
      <c r="T2044" s="24" t="s">
        <v>39</v>
      </c>
      <c r="U2044" s="24" t="s">
        <v>39</v>
      </c>
      <c r="V2044" s="24" t="s">
        <v>39</v>
      </c>
      <c r="W2044" s="24" t="s">
        <v>19193</v>
      </c>
      <c r="X2044" s="24" t="s">
        <v>19194</v>
      </c>
      <c r="Y2044" s="15" t="s">
        <v>19195</v>
      </c>
      <c r="Z2044" s="15" t="s">
        <v>19196</v>
      </c>
      <c r="AA2044" s="24"/>
      <c r="AB2044" s="24"/>
      <c r="AC2044" s="24"/>
      <c r="AD2044" s="24"/>
      <c r="AE2044" s="24"/>
      <c r="AF2044" s="24"/>
      <c r="AG2044" s="24"/>
      <c r="AH2044" s="24"/>
    </row>
    <row r="2045" spans="1:34" ht="90" x14ac:dyDescent="0.25">
      <c r="A2045" s="24" t="str">
        <f>HYPERLINK("https://www.cpso.on.ca/DoctorDetails/Ryan-Anton-Klein/0258293-91448","Klein, Ryan Anton")</f>
        <v>Klein, Ryan Anton</v>
      </c>
      <c r="B2045" s="25" t="s">
        <v>19197</v>
      </c>
      <c r="C2045" s="24" t="s">
        <v>8703</v>
      </c>
      <c r="D2045" s="24" t="s">
        <v>8704</v>
      </c>
      <c r="E2045" s="24" t="s">
        <v>29</v>
      </c>
      <c r="F2045" s="24" t="s">
        <v>30</v>
      </c>
      <c r="G2045" s="24" t="s">
        <v>31</v>
      </c>
      <c r="H2045" s="24" t="s">
        <v>15891</v>
      </c>
      <c r="I2045" s="24" t="s">
        <v>19198</v>
      </c>
      <c r="J2045" s="24" t="s">
        <v>19199</v>
      </c>
      <c r="K2045" s="24" t="s">
        <v>19200</v>
      </c>
      <c r="L2045" s="24" t="s">
        <v>52</v>
      </c>
      <c r="M2045" s="15"/>
      <c r="N2045" s="15"/>
      <c r="O2045" s="15" t="s">
        <v>981</v>
      </c>
      <c r="P2045" s="15" t="s">
        <v>449</v>
      </c>
      <c r="Q2045" s="15" t="s">
        <v>19201</v>
      </c>
      <c r="R2045" s="15" t="s">
        <v>19202</v>
      </c>
      <c r="S2045" s="24" t="s">
        <v>39</v>
      </c>
      <c r="T2045" s="24" t="s">
        <v>39</v>
      </c>
      <c r="U2045" s="24" t="s">
        <v>39</v>
      </c>
      <c r="V2045" s="24" t="s">
        <v>39</v>
      </c>
      <c r="W2045" s="24" t="s">
        <v>19203</v>
      </c>
      <c r="X2045" s="24" t="s">
        <v>19204</v>
      </c>
      <c r="Y2045" s="15" t="s">
        <v>19205</v>
      </c>
      <c r="Z2045" s="15" t="s">
        <v>19198</v>
      </c>
      <c r="AA2045" s="24"/>
      <c r="AB2045" s="24"/>
      <c r="AC2045" s="24"/>
      <c r="AD2045" s="24"/>
      <c r="AE2045" s="24"/>
      <c r="AF2045" s="24"/>
      <c r="AG2045" s="24"/>
      <c r="AH2045" s="24"/>
    </row>
    <row r="2046" spans="1:34" ht="75" x14ac:dyDescent="0.25">
      <c r="A2046" s="24" t="str">
        <f>HYPERLINK("https://www.cpso.on.ca/DoctorDetails/Ryan-Christopher-Tang/0257446-91142","Tang, Ryan Christopher")</f>
        <v>Tang, Ryan Christopher</v>
      </c>
      <c r="B2046" s="25" t="s">
        <v>19206</v>
      </c>
      <c r="C2046" s="24" t="s">
        <v>442</v>
      </c>
      <c r="D2046" s="24" t="s">
        <v>443</v>
      </c>
      <c r="E2046" s="24" t="s">
        <v>29</v>
      </c>
      <c r="F2046" s="24" t="s">
        <v>30</v>
      </c>
      <c r="G2046" s="24" t="s">
        <v>31</v>
      </c>
      <c r="H2046" s="24" t="s">
        <v>4225</v>
      </c>
      <c r="I2046" s="24" t="s">
        <v>19207</v>
      </c>
      <c r="J2046" s="24" t="s">
        <v>19208</v>
      </c>
      <c r="K2046" s="24"/>
      <c r="L2046" s="24" t="s">
        <v>52</v>
      </c>
      <c r="M2046" s="15" t="s">
        <v>19209</v>
      </c>
      <c r="N2046" s="15"/>
      <c r="O2046" s="15" t="s">
        <v>19210</v>
      </c>
      <c r="P2046" s="15" t="s">
        <v>449</v>
      </c>
      <c r="Q2046" s="15" t="s">
        <v>450</v>
      </c>
      <c r="R2046" s="15" t="s">
        <v>451</v>
      </c>
      <c r="S2046" s="24" t="s">
        <v>39</v>
      </c>
      <c r="T2046" s="24" t="s">
        <v>39</v>
      </c>
      <c r="U2046" s="24" t="s">
        <v>39</v>
      </c>
      <c r="V2046" s="24" t="s">
        <v>39</v>
      </c>
      <c r="W2046" s="24"/>
      <c r="X2046" s="24"/>
      <c r="Y2046" s="15"/>
      <c r="Z2046" s="15"/>
      <c r="AA2046" s="24"/>
      <c r="AB2046" s="24"/>
      <c r="AC2046" s="24"/>
      <c r="AD2046" s="24"/>
      <c r="AE2046" s="24"/>
      <c r="AF2046" s="24"/>
      <c r="AG2046" s="24"/>
      <c r="AH2046" s="24"/>
    </row>
    <row r="2047" spans="1:34" ht="135" x14ac:dyDescent="0.25">
      <c r="A2047" s="24" t="str">
        <f>HYPERLINK("https://www.cpso.on.ca/DoctorDetails/Ryan-John-Van-Lieshout/0211025-80838","Van Lieshout, Ryan John")</f>
        <v>Van Lieshout, Ryan John</v>
      </c>
      <c r="B2047" s="25" t="s">
        <v>19211</v>
      </c>
      <c r="C2047" s="24" t="s">
        <v>45</v>
      </c>
      <c r="D2047" s="24" t="s">
        <v>46</v>
      </c>
      <c r="E2047" s="24" t="s">
        <v>29</v>
      </c>
      <c r="F2047" s="24" t="s">
        <v>30</v>
      </c>
      <c r="G2047" s="24" t="s">
        <v>31</v>
      </c>
      <c r="H2047" s="24" t="s">
        <v>908</v>
      </c>
      <c r="I2047" s="24" t="s">
        <v>19212</v>
      </c>
      <c r="J2047" s="24" t="s">
        <v>19213</v>
      </c>
      <c r="K2047" s="24" t="s">
        <v>19214</v>
      </c>
      <c r="L2047" s="24" t="s">
        <v>184</v>
      </c>
      <c r="M2047" s="15"/>
      <c r="N2047" s="15"/>
      <c r="O2047" s="15" t="s">
        <v>10229</v>
      </c>
      <c r="P2047" s="15" t="s">
        <v>55</v>
      </c>
      <c r="Q2047" s="15" t="s">
        <v>19215</v>
      </c>
      <c r="R2047" s="15" t="s">
        <v>57</v>
      </c>
      <c r="S2047" s="24" t="s">
        <v>39</v>
      </c>
      <c r="T2047" s="24" t="s">
        <v>39</v>
      </c>
      <c r="U2047" s="24" t="s">
        <v>39</v>
      </c>
      <c r="V2047" s="24" t="s">
        <v>39</v>
      </c>
      <c r="W2047" s="24" t="s">
        <v>19216</v>
      </c>
      <c r="X2047" s="24" t="s">
        <v>14459</v>
      </c>
      <c r="Y2047" s="15" t="s">
        <v>19217</v>
      </c>
      <c r="Z2047" s="15" t="s">
        <v>19218</v>
      </c>
      <c r="AA2047" s="24"/>
      <c r="AB2047" s="24"/>
      <c r="AC2047" s="24"/>
      <c r="AD2047" s="24"/>
      <c r="AE2047" s="24"/>
      <c r="AF2047" s="24"/>
      <c r="AG2047" s="24"/>
      <c r="AH2047" s="24"/>
    </row>
    <row r="2048" spans="1:34" ht="105" x14ac:dyDescent="0.25">
      <c r="A2048" s="24" t="str">
        <f>HYPERLINK("https://www.cpso.on.ca/DoctorDetails/Saadia-Nosheen/0287224-100535","Nosheen, Saadia")</f>
        <v>Nosheen, Saadia</v>
      </c>
      <c r="B2048" s="25" t="s">
        <v>19219</v>
      </c>
      <c r="C2048" s="24" t="s">
        <v>19220</v>
      </c>
      <c r="D2048" s="24" t="s">
        <v>19221</v>
      </c>
      <c r="E2048" s="24" t="s">
        <v>29</v>
      </c>
      <c r="F2048" s="24" t="s">
        <v>47</v>
      </c>
      <c r="G2048" s="24" t="s">
        <v>61</v>
      </c>
      <c r="H2048" s="24" t="s">
        <v>19222</v>
      </c>
      <c r="I2048" s="24" t="s">
        <v>19223</v>
      </c>
      <c r="J2048" s="24" t="s">
        <v>12594</v>
      </c>
      <c r="K2048" s="24"/>
      <c r="L2048" s="24" t="s">
        <v>152</v>
      </c>
      <c r="M2048" s="15"/>
      <c r="N2048" s="15" t="s">
        <v>19224</v>
      </c>
      <c r="O2048" s="15" t="s">
        <v>2689</v>
      </c>
      <c r="P2048" s="15" t="s">
        <v>19225</v>
      </c>
      <c r="Q2048" s="15"/>
      <c r="R2048" s="15" t="s">
        <v>19226</v>
      </c>
      <c r="S2048" s="24" t="s">
        <v>71</v>
      </c>
      <c r="T2048" s="24" t="s">
        <v>39</v>
      </c>
      <c r="U2048" s="24" t="s">
        <v>39</v>
      </c>
      <c r="V2048" s="24" t="s">
        <v>39</v>
      </c>
      <c r="W2048" s="24"/>
      <c r="X2048" s="24"/>
      <c r="Y2048" s="15"/>
      <c r="Z2048" s="15"/>
      <c r="AA2048" s="24"/>
      <c r="AB2048" s="24"/>
      <c r="AC2048" s="24"/>
      <c r="AD2048" s="24"/>
      <c r="AE2048" s="24"/>
      <c r="AF2048" s="24"/>
      <c r="AG2048" s="24"/>
      <c r="AH2048" s="24"/>
    </row>
    <row r="2049" spans="1:34" ht="30" x14ac:dyDescent="0.25">
      <c r="A2049" s="24" t="str">
        <f>HYPERLINK("https://www.cpso.on.ca/DoctorDetails/Sabeena-Bala-Chopra/0191098-87545","Chopra, Sabeena Bala")</f>
        <v>Chopra, Sabeena Bala</v>
      </c>
      <c r="B2049" s="25" t="s">
        <v>19227</v>
      </c>
      <c r="C2049" s="24" t="s">
        <v>19228</v>
      </c>
      <c r="D2049" s="24" t="s">
        <v>19229</v>
      </c>
      <c r="E2049" s="24" t="s">
        <v>29</v>
      </c>
      <c r="F2049" s="24" t="s">
        <v>47</v>
      </c>
      <c r="G2049" s="24" t="s">
        <v>31</v>
      </c>
      <c r="H2049" s="24" t="s">
        <v>4433</v>
      </c>
      <c r="I2049" s="24" t="s">
        <v>19230</v>
      </c>
      <c r="J2049" s="24" t="s">
        <v>19231</v>
      </c>
      <c r="K2049" s="24"/>
      <c r="L2049" s="24" t="s">
        <v>52</v>
      </c>
      <c r="M2049" s="15"/>
      <c r="N2049" s="15"/>
      <c r="O2049" s="15" t="s">
        <v>12357</v>
      </c>
      <c r="P2049" s="15" t="s">
        <v>17634</v>
      </c>
      <c r="Q2049" s="15"/>
      <c r="R2049" s="15" t="s">
        <v>19232</v>
      </c>
      <c r="S2049" s="24" t="s">
        <v>39</v>
      </c>
      <c r="T2049" s="24" t="s">
        <v>39</v>
      </c>
      <c r="U2049" s="24" t="s">
        <v>39</v>
      </c>
      <c r="V2049" s="24" t="s">
        <v>39</v>
      </c>
      <c r="W2049" s="24" t="s">
        <v>19233</v>
      </c>
      <c r="X2049" s="24" t="s">
        <v>19234</v>
      </c>
      <c r="Y2049" s="15" t="s">
        <v>19235</v>
      </c>
      <c r="Z2049" s="15" t="s">
        <v>19236</v>
      </c>
      <c r="AA2049" s="24"/>
      <c r="AB2049" s="24"/>
      <c r="AC2049" s="24"/>
      <c r="AD2049" s="24"/>
      <c r="AE2049" s="24"/>
      <c r="AF2049" s="24"/>
      <c r="AG2049" s="24"/>
      <c r="AH2049" s="24"/>
    </row>
    <row r="2050" spans="1:34" ht="30" x14ac:dyDescent="0.25">
      <c r="A2050" s="24" t="str">
        <f>HYPERLINK("https://www.cpso.on.ca/DoctorDetails/Sabina-Felicitas-Carolina-Jadot/0045854-59832","Jadot, Sabina Felicitas Carolina")</f>
        <v>Jadot, Sabina Felicitas Carolina</v>
      </c>
      <c r="B2050" s="25" t="s">
        <v>19237</v>
      </c>
      <c r="C2050" s="24" t="s">
        <v>3463</v>
      </c>
      <c r="D2050" s="24" t="s">
        <v>10113</v>
      </c>
      <c r="E2050" s="24" t="s">
        <v>29</v>
      </c>
      <c r="F2050" s="24" t="s">
        <v>47</v>
      </c>
      <c r="G2050" s="24" t="s">
        <v>2047</v>
      </c>
      <c r="H2050" s="24" t="s">
        <v>19238</v>
      </c>
      <c r="I2050" s="24" t="s">
        <v>19239</v>
      </c>
      <c r="J2050" s="24" t="s">
        <v>18606</v>
      </c>
      <c r="K2050" s="24" t="s">
        <v>19240</v>
      </c>
      <c r="L2050" s="24" t="s">
        <v>340</v>
      </c>
      <c r="M2050" s="15" t="s">
        <v>19241</v>
      </c>
      <c r="N2050" s="15"/>
      <c r="O2050" s="15" t="s">
        <v>2972</v>
      </c>
      <c r="P2050" s="15" t="s">
        <v>2293</v>
      </c>
      <c r="Q2050" s="15" t="s">
        <v>5179</v>
      </c>
      <c r="R2050" s="15" t="s">
        <v>19242</v>
      </c>
      <c r="S2050" s="24" t="s">
        <v>39</v>
      </c>
      <c r="T2050" s="24" t="s">
        <v>39</v>
      </c>
      <c r="U2050" s="24" t="s">
        <v>39</v>
      </c>
      <c r="V2050" s="24" t="s">
        <v>39</v>
      </c>
      <c r="W2050" s="24" t="s">
        <v>19243</v>
      </c>
      <c r="X2050" s="24" t="s">
        <v>19244</v>
      </c>
      <c r="Y2050" s="15" t="s">
        <v>19245</v>
      </c>
      <c r="Z2050" s="15" t="s">
        <v>19246</v>
      </c>
      <c r="AA2050" s="24"/>
      <c r="AB2050" s="24"/>
      <c r="AC2050" s="24"/>
      <c r="AD2050" s="24"/>
      <c r="AE2050" s="24"/>
      <c r="AF2050" s="24"/>
      <c r="AG2050" s="24"/>
      <c r="AH2050" s="24"/>
    </row>
    <row r="2051" spans="1:34" x14ac:dyDescent="0.25">
      <c r="A2051" s="24" t="str">
        <f>HYPERLINK("https://www.cpso.on.ca/DoctorDetails/Sabina-Nagpal/0315888-111292","Nagpal, Sabina")</f>
        <v>Nagpal, Sabina</v>
      </c>
      <c r="B2051" s="25" t="s">
        <v>19247</v>
      </c>
      <c r="C2051" s="24" t="s">
        <v>19248</v>
      </c>
      <c r="D2051" s="24" t="s">
        <v>19249</v>
      </c>
      <c r="E2051" s="24" t="s">
        <v>29</v>
      </c>
      <c r="F2051" s="24" t="s">
        <v>47</v>
      </c>
      <c r="G2051" s="24" t="s">
        <v>31</v>
      </c>
      <c r="H2051" s="24" t="s">
        <v>8722</v>
      </c>
      <c r="I2051" s="24" t="s">
        <v>19250</v>
      </c>
      <c r="J2051" s="24" t="s">
        <v>19251</v>
      </c>
      <c r="K2051" s="24"/>
      <c r="L2051" s="24" t="s">
        <v>184</v>
      </c>
      <c r="M2051" s="15"/>
      <c r="N2051" s="15"/>
      <c r="O2051" s="15" t="s">
        <v>1135</v>
      </c>
      <c r="P2051" s="15" t="s">
        <v>272</v>
      </c>
      <c r="Q2051" s="15"/>
      <c r="R2051" s="15" t="s">
        <v>19252</v>
      </c>
      <c r="S2051" s="24" t="s">
        <v>39</v>
      </c>
      <c r="T2051" s="24" t="s">
        <v>39</v>
      </c>
      <c r="U2051" s="24" t="s">
        <v>39</v>
      </c>
      <c r="V2051" s="24" t="s">
        <v>39</v>
      </c>
      <c r="W2051" s="24"/>
      <c r="X2051" s="24"/>
      <c r="Y2051" s="15"/>
      <c r="Z2051" s="15"/>
      <c r="AA2051" s="24"/>
      <c r="AB2051" s="24"/>
      <c r="AC2051" s="24"/>
      <c r="AD2051" s="24"/>
      <c r="AE2051" s="24"/>
      <c r="AF2051" s="24"/>
      <c r="AG2051" s="24"/>
      <c r="AH2051" s="24"/>
    </row>
    <row r="2052" spans="1:34" ht="30" x14ac:dyDescent="0.25">
      <c r="A2052" s="24" t="str">
        <f>HYPERLINK("https://www.cpso.on.ca/DoctorDetails/Sabrina-Paterniti/0212919-83867","Paterniti, Sabrina")</f>
        <v>Paterniti, Sabrina</v>
      </c>
      <c r="B2052" s="25" t="s">
        <v>19253</v>
      </c>
      <c r="C2052" s="24" t="s">
        <v>19254</v>
      </c>
      <c r="D2052" s="24" t="s">
        <v>19255</v>
      </c>
      <c r="E2052" s="24" t="s">
        <v>29</v>
      </c>
      <c r="F2052" s="24" t="s">
        <v>47</v>
      </c>
      <c r="G2052" s="24" t="s">
        <v>706</v>
      </c>
      <c r="H2052" s="24" t="s">
        <v>19256</v>
      </c>
      <c r="I2052" s="24" t="s">
        <v>19257</v>
      </c>
      <c r="J2052" s="24" t="s">
        <v>8134</v>
      </c>
      <c r="K2052" s="24" t="s">
        <v>6496</v>
      </c>
      <c r="L2052" s="24" t="s">
        <v>84</v>
      </c>
      <c r="M2052" s="15"/>
      <c r="N2052" s="15"/>
      <c r="O2052" s="15" t="s">
        <v>498</v>
      </c>
      <c r="P2052" s="15" t="s">
        <v>19258</v>
      </c>
      <c r="Q2052" s="15"/>
      <c r="R2052" s="15" t="s">
        <v>19259</v>
      </c>
      <c r="S2052" s="24" t="s">
        <v>39</v>
      </c>
      <c r="T2052" s="24" t="s">
        <v>39</v>
      </c>
      <c r="U2052" s="24" t="s">
        <v>39</v>
      </c>
      <c r="V2052" s="24" t="s">
        <v>39</v>
      </c>
      <c r="W2052" s="24"/>
      <c r="X2052" s="24"/>
      <c r="Y2052" s="15"/>
      <c r="Z2052" s="15"/>
      <c r="AA2052" s="24"/>
      <c r="AB2052" s="24"/>
      <c r="AC2052" s="24"/>
      <c r="AD2052" s="24"/>
      <c r="AE2052" s="24"/>
      <c r="AF2052" s="24"/>
      <c r="AG2052" s="24"/>
      <c r="AH2052" s="24"/>
    </row>
    <row r="2053" spans="1:34" ht="90" x14ac:dyDescent="0.25">
      <c r="A2053" s="24" t="str">
        <f>HYPERLINK("https://www.cpso.on.ca/DoctorDetails/Sacha-Agrawal/0191069-77900","Agrawal, Sacha")</f>
        <v>Agrawal, Sacha</v>
      </c>
      <c r="B2053" s="25" t="s">
        <v>19260</v>
      </c>
      <c r="C2053" s="24" t="s">
        <v>921</v>
      </c>
      <c r="D2053" s="24" t="s">
        <v>16754</v>
      </c>
      <c r="E2053" s="24" t="s">
        <v>29</v>
      </c>
      <c r="F2053" s="24" t="s">
        <v>30</v>
      </c>
      <c r="G2053" s="24" t="s">
        <v>31</v>
      </c>
      <c r="H2053" s="24" t="s">
        <v>4433</v>
      </c>
      <c r="I2053" s="24" t="s">
        <v>19261</v>
      </c>
      <c r="J2053" s="24" t="s">
        <v>1262</v>
      </c>
      <c r="K2053" s="24" t="s">
        <v>11365</v>
      </c>
      <c r="L2053" s="24" t="s">
        <v>52</v>
      </c>
      <c r="M2053" s="15"/>
      <c r="N2053" s="15"/>
      <c r="O2053" s="15" t="s">
        <v>981</v>
      </c>
      <c r="P2053" s="15" t="s">
        <v>19262</v>
      </c>
      <c r="Q2053" s="15" t="s">
        <v>19263</v>
      </c>
      <c r="R2053" s="15" t="s">
        <v>19264</v>
      </c>
      <c r="S2053" s="24" t="s">
        <v>39</v>
      </c>
      <c r="T2053" s="24" t="s">
        <v>39</v>
      </c>
      <c r="U2053" s="24" t="s">
        <v>39</v>
      </c>
      <c r="V2053" s="24" t="s">
        <v>39</v>
      </c>
      <c r="W2053" s="24" t="s">
        <v>9085</v>
      </c>
      <c r="X2053" s="24" t="s">
        <v>9086</v>
      </c>
      <c r="Y2053" s="15" t="s">
        <v>9087</v>
      </c>
      <c r="Z2053" s="15" t="s">
        <v>9088</v>
      </c>
      <c r="AA2053" s="24"/>
      <c r="AB2053" s="24"/>
      <c r="AC2053" s="24"/>
      <c r="AD2053" s="24"/>
      <c r="AE2053" s="24"/>
      <c r="AF2053" s="24"/>
      <c r="AG2053" s="24"/>
      <c r="AH2053" s="24"/>
    </row>
    <row r="2054" spans="1:34" x14ac:dyDescent="0.25">
      <c r="A2054" s="24" t="str">
        <f>HYPERLINK("https://www.cpso.on.ca/DoctorDetails/Sachidanandam-Udaya-Shankar/0052000-65979","Udaya Shankar, Sachidanandam")</f>
        <v>Udaya Shankar, Sachidanandam</v>
      </c>
      <c r="B2054" s="25" t="s">
        <v>19265</v>
      </c>
      <c r="C2054" s="24" t="s">
        <v>19266</v>
      </c>
      <c r="D2054" s="24" t="s">
        <v>19267</v>
      </c>
      <c r="E2054" s="24" t="s">
        <v>29</v>
      </c>
      <c r="F2054" s="24" t="s">
        <v>30</v>
      </c>
      <c r="G2054" s="24" t="s">
        <v>31</v>
      </c>
      <c r="H2054" s="24" t="s">
        <v>19268</v>
      </c>
      <c r="I2054" s="24" t="s">
        <v>19269</v>
      </c>
      <c r="J2054" s="24" t="s">
        <v>19270</v>
      </c>
      <c r="K2054" s="24" t="s">
        <v>19271</v>
      </c>
      <c r="L2054" s="24" t="s">
        <v>36</v>
      </c>
      <c r="M2054" s="15"/>
      <c r="N2054" s="15"/>
      <c r="O2054" s="15"/>
      <c r="P2054" s="15" t="s">
        <v>6227</v>
      </c>
      <c r="Q2054" s="15"/>
      <c r="R2054" s="15" t="s">
        <v>19272</v>
      </c>
      <c r="S2054" s="24" t="s">
        <v>39</v>
      </c>
      <c r="T2054" s="24" t="s">
        <v>39</v>
      </c>
      <c r="U2054" s="24" t="s">
        <v>39</v>
      </c>
      <c r="V2054" s="24" t="s">
        <v>39</v>
      </c>
      <c r="W2054" s="24" t="s">
        <v>19273</v>
      </c>
      <c r="X2054" s="24" t="s">
        <v>19274</v>
      </c>
      <c r="Y2054" s="15" t="s">
        <v>19275</v>
      </c>
      <c r="Z2054" s="15" t="s">
        <v>19276</v>
      </c>
      <c r="AA2054" s="24"/>
      <c r="AB2054" s="24"/>
      <c r="AC2054" s="24"/>
      <c r="AD2054" s="24"/>
      <c r="AE2054" s="24"/>
      <c r="AF2054" s="24"/>
      <c r="AG2054" s="24"/>
      <c r="AH2054" s="24"/>
    </row>
    <row r="2055" spans="1:34" ht="75" x14ac:dyDescent="0.25">
      <c r="A2055" s="24" t="str">
        <f>HYPERLINK("https://www.cpso.on.ca/DoctorDetails/Sachin-Sarin/0288191-101177","Sarin, Sachin")</f>
        <v>Sarin, Sachin</v>
      </c>
      <c r="B2055" s="25" t="s">
        <v>19277</v>
      </c>
      <c r="C2055" s="24" t="s">
        <v>199</v>
      </c>
      <c r="D2055" s="24" t="s">
        <v>200</v>
      </c>
      <c r="E2055" s="24" t="s">
        <v>29</v>
      </c>
      <c r="F2055" s="24" t="s">
        <v>30</v>
      </c>
      <c r="G2055" s="24" t="s">
        <v>31</v>
      </c>
      <c r="H2055" s="24" t="s">
        <v>1893</v>
      </c>
      <c r="I2055" s="24" t="s">
        <v>19278</v>
      </c>
      <c r="J2055" s="24" t="s">
        <v>6922</v>
      </c>
      <c r="K2055" s="24"/>
      <c r="L2055" s="24" t="s">
        <v>184</v>
      </c>
      <c r="M2055" s="15"/>
      <c r="N2055" s="15"/>
      <c r="O2055" s="15"/>
      <c r="P2055" s="15" t="s">
        <v>205</v>
      </c>
      <c r="Q2055" s="15" t="s">
        <v>2994</v>
      </c>
      <c r="R2055" s="15" t="s">
        <v>207</v>
      </c>
      <c r="S2055" s="24" t="s">
        <v>39</v>
      </c>
      <c r="T2055" s="24" t="s">
        <v>39</v>
      </c>
      <c r="U2055" s="24" t="s">
        <v>39</v>
      </c>
      <c r="V2055" s="24" t="s">
        <v>39</v>
      </c>
      <c r="W2055" s="24"/>
      <c r="X2055" s="24"/>
      <c r="Y2055" s="15"/>
      <c r="Z2055" s="15"/>
      <c r="AA2055" s="24"/>
      <c r="AB2055" s="24"/>
      <c r="AC2055" s="24"/>
      <c r="AD2055" s="24"/>
      <c r="AE2055" s="24"/>
      <c r="AF2055" s="24"/>
      <c r="AG2055" s="24"/>
      <c r="AH2055" s="24"/>
    </row>
    <row r="2056" spans="1:34" ht="90" x14ac:dyDescent="0.25">
      <c r="A2056" s="24" t="str">
        <f>HYPERLINK("https://www.cpso.on.ca/DoctorDetails/Sadeq-AlSarraf/0301234-106925","Al-Sarraf, Sadeq")</f>
        <v>Al-Sarraf, Sadeq</v>
      </c>
      <c r="B2056" s="25" t="s">
        <v>19279</v>
      </c>
      <c r="C2056" s="24" t="s">
        <v>1350</v>
      </c>
      <c r="D2056" s="24" t="s">
        <v>1351</v>
      </c>
      <c r="E2056" s="24" t="s">
        <v>29</v>
      </c>
      <c r="F2056" s="24" t="s">
        <v>30</v>
      </c>
      <c r="G2056" s="24" t="s">
        <v>31</v>
      </c>
      <c r="H2056" s="24" t="s">
        <v>19280</v>
      </c>
      <c r="I2056" s="24" t="s">
        <v>150</v>
      </c>
      <c r="J2056" s="24" t="s">
        <v>14836</v>
      </c>
      <c r="K2056" s="24"/>
      <c r="L2056" s="24" t="s">
        <v>152</v>
      </c>
      <c r="M2056" s="15"/>
      <c r="N2056" s="15" t="s">
        <v>2508</v>
      </c>
      <c r="O2056" s="15" t="s">
        <v>95</v>
      </c>
      <c r="P2056" s="15" t="s">
        <v>19281</v>
      </c>
      <c r="Q2056" s="15"/>
      <c r="R2056" s="15" t="s">
        <v>19282</v>
      </c>
      <c r="S2056" s="24" t="s">
        <v>71</v>
      </c>
      <c r="T2056" s="24" t="s">
        <v>39</v>
      </c>
      <c r="U2056" s="24" t="s">
        <v>39</v>
      </c>
      <c r="V2056" s="24" t="s">
        <v>39</v>
      </c>
      <c r="W2056" s="24" t="s">
        <v>19283</v>
      </c>
      <c r="X2056" s="24" t="s">
        <v>19284</v>
      </c>
      <c r="Y2056" s="15" t="s">
        <v>19285</v>
      </c>
      <c r="Z2056" s="15" t="s">
        <v>13002</v>
      </c>
      <c r="AA2056" s="24"/>
      <c r="AB2056" s="24"/>
      <c r="AC2056" s="24"/>
      <c r="AD2056" s="24"/>
      <c r="AE2056" s="24"/>
      <c r="AF2056" s="24"/>
      <c r="AG2056" s="24"/>
      <c r="AH2056" s="24"/>
    </row>
    <row r="2057" spans="1:34" ht="75" x14ac:dyDescent="0.25">
      <c r="A2057" s="24" t="str">
        <f>HYPERLINK("https://www.cpso.on.ca/DoctorDetails/Sadia-Gilani/0197343-78712","Gilani, Sadia")</f>
        <v>Gilani, Sadia</v>
      </c>
      <c r="B2057" s="25" t="s">
        <v>19286</v>
      </c>
      <c r="C2057" s="24" t="s">
        <v>19287</v>
      </c>
      <c r="D2057" s="24" t="s">
        <v>19288</v>
      </c>
      <c r="E2057" s="24" t="s">
        <v>29</v>
      </c>
      <c r="F2057" s="24" t="s">
        <v>47</v>
      </c>
      <c r="G2057" s="24" t="s">
        <v>1445</v>
      </c>
      <c r="H2057" s="24" t="s">
        <v>19289</v>
      </c>
      <c r="I2057" s="24" t="s">
        <v>19290</v>
      </c>
      <c r="J2057" s="24" t="s">
        <v>19291</v>
      </c>
      <c r="K2057" s="24" t="s">
        <v>19292</v>
      </c>
      <c r="L2057" s="24" t="s">
        <v>184</v>
      </c>
      <c r="M2057" s="15"/>
      <c r="N2057" s="15"/>
      <c r="O2057" s="15"/>
      <c r="P2057" s="15" t="s">
        <v>4943</v>
      </c>
      <c r="Q2057" s="15" t="s">
        <v>19293</v>
      </c>
      <c r="R2057" s="15" t="s">
        <v>19294</v>
      </c>
      <c r="S2057" s="24" t="s">
        <v>39</v>
      </c>
      <c r="T2057" s="24" t="s">
        <v>39</v>
      </c>
      <c r="U2057" s="24" t="s">
        <v>39</v>
      </c>
      <c r="V2057" s="24" t="s">
        <v>39</v>
      </c>
      <c r="W2057" s="24" t="s">
        <v>19295</v>
      </c>
      <c r="X2057" s="24" t="s">
        <v>19296</v>
      </c>
      <c r="Y2057" s="15" t="s">
        <v>19297</v>
      </c>
      <c r="Z2057" s="15" t="s">
        <v>19298</v>
      </c>
      <c r="AA2057" s="24"/>
      <c r="AB2057" s="24"/>
      <c r="AC2057" s="24"/>
      <c r="AD2057" s="24"/>
      <c r="AE2057" s="24"/>
      <c r="AF2057" s="24"/>
      <c r="AG2057" s="24"/>
      <c r="AH2057" s="24"/>
    </row>
    <row r="2058" spans="1:34" ht="30" x14ac:dyDescent="0.25">
      <c r="A2058" s="24" t="str">
        <f>HYPERLINK("https://www.cpso.on.ca/DoctorDetails/Sadiq-Hasan/0189338-77401","Hasan, Sadiq")</f>
        <v>Hasan, Sadiq</v>
      </c>
      <c r="B2058" s="25" t="s">
        <v>19299</v>
      </c>
      <c r="C2058" s="24" t="s">
        <v>19300</v>
      </c>
      <c r="D2058" s="24" t="s">
        <v>19301</v>
      </c>
      <c r="E2058" s="24" t="s">
        <v>29</v>
      </c>
      <c r="F2058" s="24" t="s">
        <v>30</v>
      </c>
      <c r="G2058" s="24" t="s">
        <v>61</v>
      </c>
      <c r="H2058" s="24" t="s">
        <v>7583</v>
      </c>
      <c r="I2058" s="24" t="s">
        <v>19302</v>
      </c>
      <c r="J2058" s="24" t="s">
        <v>19303</v>
      </c>
      <c r="K2058" s="24" t="s">
        <v>19304</v>
      </c>
      <c r="L2058" s="24" t="s">
        <v>36</v>
      </c>
      <c r="M2058" s="15" t="s">
        <v>19305</v>
      </c>
      <c r="N2058" s="15" t="s">
        <v>398</v>
      </c>
      <c r="O2058" s="15" t="s">
        <v>15613</v>
      </c>
      <c r="P2058" s="15" t="s">
        <v>2958</v>
      </c>
      <c r="Q2058" s="15"/>
      <c r="R2058" s="15" t="s">
        <v>19306</v>
      </c>
      <c r="S2058" s="24" t="s">
        <v>39</v>
      </c>
      <c r="T2058" s="24" t="s">
        <v>39</v>
      </c>
      <c r="U2058" s="24" t="s">
        <v>39</v>
      </c>
      <c r="V2058" s="24" t="s">
        <v>39</v>
      </c>
      <c r="W2058" s="24" t="s">
        <v>19307</v>
      </c>
      <c r="X2058" s="24" t="s">
        <v>18165</v>
      </c>
      <c r="Y2058" s="15" t="s">
        <v>19308</v>
      </c>
      <c r="Z2058" s="15" t="s">
        <v>19309</v>
      </c>
      <c r="AA2058" s="24"/>
      <c r="AB2058" s="24"/>
      <c r="AC2058" s="24"/>
      <c r="AD2058" s="24"/>
      <c r="AE2058" s="24"/>
      <c r="AF2058" s="24"/>
      <c r="AG2058" s="24"/>
      <c r="AH2058" s="24"/>
    </row>
    <row r="2059" spans="1:34" x14ac:dyDescent="0.25">
      <c r="A2059" s="24" t="str">
        <f>HYPERLINK("https://www.cpso.on.ca/DoctorDetails/Sagar-V-Parikh/0044902-58880","Parikh, Sagar V")</f>
        <v>Parikh, Sagar V</v>
      </c>
      <c r="B2059" s="25" t="s">
        <v>19310</v>
      </c>
      <c r="C2059" s="24" t="s">
        <v>6067</v>
      </c>
      <c r="D2059" s="24" t="s">
        <v>4957</v>
      </c>
      <c r="E2059" s="24" t="s">
        <v>29</v>
      </c>
      <c r="F2059" s="24" t="s">
        <v>30</v>
      </c>
      <c r="G2059" s="24" t="s">
        <v>31</v>
      </c>
      <c r="H2059" s="24" t="s">
        <v>12948</v>
      </c>
      <c r="I2059" s="24" t="s">
        <v>19311</v>
      </c>
      <c r="J2059" s="24" t="s">
        <v>19312</v>
      </c>
      <c r="K2059" s="24" t="s">
        <v>19313</v>
      </c>
      <c r="L2059" s="24"/>
      <c r="M2059" s="15" t="s">
        <v>19314</v>
      </c>
      <c r="N2059" s="15" t="s">
        <v>66</v>
      </c>
      <c r="O2059" s="15" t="s">
        <v>3482</v>
      </c>
      <c r="P2059" s="15" t="s">
        <v>19315</v>
      </c>
      <c r="Q2059" s="15" t="s">
        <v>12379</v>
      </c>
      <c r="R2059" s="15" t="s">
        <v>6072</v>
      </c>
      <c r="S2059" s="24" t="s">
        <v>39</v>
      </c>
      <c r="T2059" s="24" t="s">
        <v>39</v>
      </c>
      <c r="U2059" s="24" t="s">
        <v>39</v>
      </c>
      <c r="V2059" s="24" t="s">
        <v>39</v>
      </c>
      <c r="W2059" s="24"/>
      <c r="X2059" s="24"/>
      <c r="Y2059" s="15"/>
      <c r="Z2059" s="15"/>
      <c r="AA2059" s="24"/>
      <c r="AB2059" s="24"/>
      <c r="AC2059" s="24"/>
      <c r="AD2059" s="24"/>
      <c r="AE2059" s="24"/>
      <c r="AF2059" s="24"/>
      <c r="AG2059" s="24"/>
      <c r="AH2059" s="24"/>
    </row>
    <row r="2060" spans="1:34" ht="90" x14ac:dyDescent="0.25">
      <c r="A2060" s="24" t="str">
        <f>HYPERLINK("https://www.cpso.on.ca/DoctorDetails/Sahar-Safwat-Fahim-Kamel/0049158-63136","Kamel, Sahar Safwat Fahim")</f>
        <v>Kamel, Sahar Safwat Fahim</v>
      </c>
      <c r="B2060" s="25" t="s">
        <v>19316</v>
      </c>
      <c r="C2060" s="24" t="s">
        <v>19317</v>
      </c>
      <c r="D2060" s="24" t="s">
        <v>19318</v>
      </c>
      <c r="E2060" s="24" t="s">
        <v>29</v>
      </c>
      <c r="F2060" s="24" t="s">
        <v>47</v>
      </c>
      <c r="G2060" s="24" t="s">
        <v>31</v>
      </c>
      <c r="H2060" s="24" t="s">
        <v>19319</v>
      </c>
      <c r="I2060" s="24" t="s">
        <v>107</v>
      </c>
      <c r="J2060" s="24"/>
      <c r="K2060" s="24"/>
      <c r="L2060" s="24"/>
      <c r="M2060" s="15"/>
      <c r="N2060" s="15"/>
      <c r="O2060" s="15"/>
      <c r="P2060" s="15" t="s">
        <v>19320</v>
      </c>
      <c r="Q2060" s="15" t="s">
        <v>19321</v>
      </c>
      <c r="R2060" s="15" t="s">
        <v>19322</v>
      </c>
      <c r="S2060" s="24" t="s">
        <v>39</v>
      </c>
      <c r="T2060" s="24" t="s">
        <v>39</v>
      </c>
      <c r="U2060" s="24" t="s">
        <v>71</v>
      </c>
      <c r="V2060" s="24" t="s">
        <v>39</v>
      </c>
      <c r="W2060" s="24"/>
      <c r="X2060" s="24"/>
      <c r="Y2060" s="15"/>
      <c r="Z2060" s="15"/>
      <c r="AA2060" s="24"/>
      <c r="AB2060" s="24"/>
      <c r="AC2060" s="24"/>
      <c r="AD2060" s="24"/>
      <c r="AE2060" s="24"/>
      <c r="AF2060" s="24"/>
      <c r="AG2060" s="24"/>
      <c r="AH2060" s="24"/>
    </row>
    <row r="2061" spans="1:34" ht="90" x14ac:dyDescent="0.25">
      <c r="A2061" s="24" t="str">
        <f>HYPERLINK("https://www.cpso.on.ca/DoctorDetails/Saima-Nadeem/0312025-110150","Nadeem, Saima")</f>
        <v>Nadeem, Saima</v>
      </c>
      <c r="B2061" s="25" t="s">
        <v>19323</v>
      </c>
      <c r="C2061" s="24" t="s">
        <v>323</v>
      </c>
      <c r="D2061" s="24" t="s">
        <v>324</v>
      </c>
      <c r="E2061" s="24" t="s">
        <v>29</v>
      </c>
      <c r="F2061" s="24" t="s">
        <v>47</v>
      </c>
      <c r="G2061" s="24" t="s">
        <v>31</v>
      </c>
      <c r="H2061" s="24" t="s">
        <v>19324</v>
      </c>
      <c r="I2061" s="24" t="s">
        <v>13314</v>
      </c>
      <c r="J2061" s="24" t="s">
        <v>19325</v>
      </c>
      <c r="K2061" s="24"/>
      <c r="L2061" s="24" t="s">
        <v>184</v>
      </c>
      <c r="M2061" s="15"/>
      <c r="N2061" s="15"/>
      <c r="O2061" s="15"/>
      <c r="P2061" s="15" t="s">
        <v>330</v>
      </c>
      <c r="Q2061" s="15" t="s">
        <v>19326</v>
      </c>
      <c r="R2061" s="15" t="s">
        <v>19327</v>
      </c>
      <c r="S2061" s="24" t="s">
        <v>71</v>
      </c>
      <c r="T2061" s="24" t="s">
        <v>39</v>
      </c>
      <c r="U2061" s="24" t="s">
        <v>39</v>
      </c>
      <c r="V2061" s="24" t="s">
        <v>39</v>
      </c>
      <c r="W2061" s="24"/>
      <c r="X2061" s="24"/>
      <c r="Y2061" s="15"/>
      <c r="Z2061" s="15"/>
      <c r="AA2061" s="24"/>
      <c r="AB2061" s="24"/>
      <c r="AC2061" s="24"/>
      <c r="AD2061" s="24"/>
      <c r="AE2061" s="24"/>
      <c r="AF2061" s="24"/>
      <c r="AG2061" s="24"/>
      <c r="AH2061" s="24"/>
    </row>
    <row r="2062" spans="1:34" ht="75" x14ac:dyDescent="0.25">
      <c r="A2062" s="24" t="str">
        <f>HYPERLINK("https://www.cpso.on.ca/DoctorDetails/Saima-Waheed-Ahmad/0233600-85752","Ahmad, Saima Waheed")</f>
        <v>Ahmad, Saima Waheed</v>
      </c>
      <c r="B2062" s="25" t="s">
        <v>19328</v>
      </c>
      <c r="C2062" s="24" t="s">
        <v>19329</v>
      </c>
      <c r="D2062" s="24" t="s">
        <v>19330</v>
      </c>
      <c r="E2062" s="24" t="s">
        <v>29</v>
      </c>
      <c r="F2062" s="24" t="s">
        <v>47</v>
      </c>
      <c r="G2062" s="24" t="s">
        <v>2425</v>
      </c>
      <c r="H2062" s="24" t="s">
        <v>19331</v>
      </c>
      <c r="I2062" s="24" t="s">
        <v>2070</v>
      </c>
      <c r="J2062" s="24" t="s">
        <v>378</v>
      </c>
      <c r="K2062" s="24" t="s">
        <v>8862</v>
      </c>
      <c r="L2062" s="24" t="s">
        <v>65</v>
      </c>
      <c r="M2062" s="15"/>
      <c r="N2062" s="15"/>
      <c r="O2062" s="15" t="s">
        <v>19332</v>
      </c>
      <c r="P2062" s="15" t="s">
        <v>10411</v>
      </c>
      <c r="Q2062" s="15"/>
      <c r="R2062" s="15" t="s">
        <v>19333</v>
      </c>
      <c r="S2062" s="24" t="s">
        <v>39</v>
      </c>
      <c r="T2062" s="24" t="s">
        <v>39</v>
      </c>
      <c r="U2062" s="24" t="s">
        <v>39</v>
      </c>
      <c r="V2062" s="24" t="s">
        <v>39</v>
      </c>
      <c r="W2062" s="24"/>
      <c r="X2062" s="24"/>
      <c r="Y2062" s="15"/>
      <c r="Z2062" s="15"/>
      <c r="AA2062" s="24"/>
      <c r="AB2062" s="24"/>
      <c r="AC2062" s="24"/>
      <c r="AD2062" s="24"/>
      <c r="AE2062" s="24"/>
      <c r="AF2062" s="24"/>
      <c r="AG2062" s="24"/>
      <c r="AH2062" s="24"/>
    </row>
    <row r="2063" spans="1:34" ht="90" x14ac:dyDescent="0.25">
      <c r="A2063" s="24" t="str">
        <f>HYPERLINK("https://www.cpso.on.ca/DoctorDetails/Sajida-Mathew/0262965-92542","Mathew, Sajida")</f>
        <v>Mathew, Sajida</v>
      </c>
      <c r="B2063" s="25" t="s">
        <v>19334</v>
      </c>
      <c r="C2063" s="24" t="s">
        <v>19335</v>
      </c>
      <c r="D2063" s="24" t="s">
        <v>19336</v>
      </c>
      <c r="E2063" s="24" t="s">
        <v>29</v>
      </c>
      <c r="F2063" s="24" t="s">
        <v>47</v>
      </c>
      <c r="G2063" s="24" t="s">
        <v>31</v>
      </c>
      <c r="H2063" s="24" t="s">
        <v>19337</v>
      </c>
      <c r="I2063" s="24" t="s">
        <v>107</v>
      </c>
      <c r="J2063" s="24"/>
      <c r="K2063" s="24"/>
      <c r="L2063" s="24"/>
      <c r="M2063" s="15"/>
      <c r="N2063" s="15" t="s">
        <v>5167</v>
      </c>
      <c r="O2063" s="15"/>
      <c r="P2063" s="15" t="s">
        <v>19338</v>
      </c>
      <c r="Q2063" s="15"/>
      <c r="R2063" s="15" t="s">
        <v>19339</v>
      </c>
      <c r="S2063" s="24" t="s">
        <v>71</v>
      </c>
      <c r="T2063" s="24" t="s">
        <v>39</v>
      </c>
      <c r="U2063" s="24" t="s">
        <v>39</v>
      </c>
      <c r="V2063" s="24" t="s">
        <v>39</v>
      </c>
      <c r="W2063" s="24"/>
      <c r="X2063" s="24"/>
      <c r="Y2063" s="15"/>
      <c r="Z2063" s="15"/>
      <c r="AA2063" s="24"/>
      <c r="AB2063" s="24"/>
      <c r="AC2063" s="24"/>
      <c r="AD2063" s="24"/>
      <c r="AE2063" s="24"/>
      <c r="AF2063" s="24"/>
      <c r="AG2063" s="24"/>
      <c r="AH2063" s="24"/>
    </row>
    <row r="2064" spans="1:34" ht="45" x14ac:dyDescent="0.25">
      <c r="A2064" s="24" t="str">
        <f>HYPERLINK("https://www.cpso.on.ca/DoctorDetails/Sally-Ann-Schofield/0048858-62836","Schofield, Sally Ann")</f>
        <v>Schofield, Sally Ann</v>
      </c>
      <c r="B2064" s="25" t="s">
        <v>19340</v>
      </c>
      <c r="C2064" s="24" t="s">
        <v>19341</v>
      </c>
      <c r="D2064" s="24" t="s">
        <v>19342</v>
      </c>
      <c r="E2064" s="24" t="s">
        <v>29</v>
      </c>
      <c r="F2064" s="24" t="s">
        <v>47</v>
      </c>
      <c r="G2064" s="24" t="s">
        <v>31</v>
      </c>
      <c r="H2064" s="24" t="s">
        <v>19343</v>
      </c>
      <c r="I2064" s="24" t="s">
        <v>19344</v>
      </c>
      <c r="J2064" s="24" t="s">
        <v>19345</v>
      </c>
      <c r="K2064" s="24" t="s">
        <v>19346</v>
      </c>
      <c r="L2064" s="24" t="s">
        <v>52</v>
      </c>
      <c r="M2064" s="15"/>
      <c r="N2064" s="15"/>
      <c r="O2064" s="15" t="s">
        <v>3112</v>
      </c>
      <c r="P2064" s="15" t="s">
        <v>169</v>
      </c>
      <c r="Q2064" s="15"/>
      <c r="R2064" s="15" t="s">
        <v>19347</v>
      </c>
      <c r="S2064" s="24" t="s">
        <v>39</v>
      </c>
      <c r="T2064" s="24" t="s">
        <v>39</v>
      </c>
      <c r="U2064" s="24" t="s">
        <v>39</v>
      </c>
      <c r="V2064" s="24" t="s">
        <v>39</v>
      </c>
      <c r="W2064" s="24" t="s">
        <v>19348</v>
      </c>
      <c r="X2064" s="24" t="s">
        <v>19349</v>
      </c>
      <c r="Y2064" s="15" t="s">
        <v>19350</v>
      </c>
      <c r="Z2064" s="15" t="s">
        <v>19351</v>
      </c>
      <c r="AA2064" s="24"/>
      <c r="AB2064" s="24"/>
      <c r="AC2064" s="24"/>
      <c r="AD2064" s="24"/>
      <c r="AE2064" s="24"/>
      <c r="AF2064" s="24"/>
      <c r="AG2064" s="24"/>
      <c r="AH2064" s="24"/>
    </row>
    <row r="2065" spans="1:34" ht="75" x14ac:dyDescent="0.25">
      <c r="A2065" s="24" t="str">
        <f>HYPERLINK("https://www.cpso.on.ca/DoctorDetails/Salman-Wahid/0275057-96900","Wahid, Salman")</f>
        <v>Wahid, Salman</v>
      </c>
      <c r="B2065" s="25" t="s">
        <v>19352</v>
      </c>
      <c r="C2065" s="24" t="s">
        <v>19353</v>
      </c>
      <c r="D2065" s="24" t="s">
        <v>19354</v>
      </c>
      <c r="E2065" s="24" t="s">
        <v>29</v>
      </c>
      <c r="F2065" s="24" t="s">
        <v>30</v>
      </c>
      <c r="G2065" s="24" t="s">
        <v>79</v>
      </c>
      <c r="H2065" s="24" t="s">
        <v>19355</v>
      </c>
      <c r="I2065" s="24" t="s">
        <v>19356</v>
      </c>
      <c r="J2065" s="24" t="s">
        <v>19357</v>
      </c>
      <c r="K2065" s="24" t="s">
        <v>19358</v>
      </c>
      <c r="L2065" s="24" t="s">
        <v>184</v>
      </c>
      <c r="M2065" s="15"/>
      <c r="N2065" s="15" t="s">
        <v>1449</v>
      </c>
      <c r="O2065" s="15"/>
      <c r="P2065" s="15" t="s">
        <v>19359</v>
      </c>
      <c r="Q2065" s="15"/>
      <c r="R2065" s="15" t="s">
        <v>19360</v>
      </c>
      <c r="S2065" s="24" t="s">
        <v>71</v>
      </c>
      <c r="T2065" s="24" t="s">
        <v>39</v>
      </c>
      <c r="U2065" s="24" t="s">
        <v>39</v>
      </c>
      <c r="V2065" s="24" t="s">
        <v>39</v>
      </c>
      <c r="W2065" s="24" t="s">
        <v>19361</v>
      </c>
      <c r="X2065" s="24" t="s">
        <v>19362</v>
      </c>
      <c r="Y2065" s="15" t="s">
        <v>19363</v>
      </c>
      <c r="Z2065" s="15" t="s">
        <v>19364</v>
      </c>
      <c r="AA2065" s="24"/>
      <c r="AB2065" s="24"/>
      <c r="AC2065" s="24"/>
      <c r="AD2065" s="24"/>
      <c r="AE2065" s="24"/>
      <c r="AF2065" s="24"/>
      <c r="AG2065" s="24"/>
      <c r="AH2065" s="24"/>
    </row>
    <row r="2066" spans="1:34" ht="30" x14ac:dyDescent="0.25">
      <c r="A2066" s="24" t="str">
        <f>HYPERLINK("https://www.cpso.on.ca/DoctorDetails/Salvatore-Mallia/0044635-58613","Mallia, Salvatore")</f>
        <v>Mallia, Salvatore</v>
      </c>
      <c r="B2066" s="25" t="s">
        <v>19365</v>
      </c>
      <c r="C2066" s="24" t="s">
        <v>3161</v>
      </c>
      <c r="D2066" s="24" t="s">
        <v>10223</v>
      </c>
      <c r="E2066" s="24" t="s">
        <v>29</v>
      </c>
      <c r="F2066" s="24" t="s">
        <v>30</v>
      </c>
      <c r="G2066" s="24" t="s">
        <v>2188</v>
      </c>
      <c r="H2066" s="24" t="s">
        <v>19366</v>
      </c>
      <c r="I2066" s="24" t="s">
        <v>19367</v>
      </c>
      <c r="J2066" s="24" t="s">
        <v>19368</v>
      </c>
      <c r="K2066" s="24" t="s">
        <v>19369</v>
      </c>
      <c r="L2066" s="24" t="s">
        <v>52</v>
      </c>
      <c r="M2066" s="15"/>
      <c r="N2066" s="15"/>
      <c r="O2066" s="15"/>
      <c r="P2066" s="15" t="s">
        <v>1984</v>
      </c>
      <c r="Q2066" s="15" t="s">
        <v>6291</v>
      </c>
      <c r="R2066" s="15" t="s">
        <v>19370</v>
      </c>
      <c r="S2066" s="24" t="s">
        <v>39</v>
      </c>
      <c r="T2066" s="24" t="s">
        <v>39</v>
      </c>
      <c r="U2066" s="24" t="s">
        <v>39</v>
      </c>
      <c r="V2066" s="24" t="s">
        <v>39</v>
      </c>
      <c r="W2066" s="24"/>
      <c r="X2066" s="24"/>
      <c r="Y2066" s="15"/>
      <c r="Z2066" s="15"/>
      <c r="AA2066" s="24"/>
      <c r="AB2066" s="24"/>
      <c r="AC2066" s="24"/>
      <c r="AD2066" s="24"/>
      <c r="AE2066" s="24"/>
      <c r="AF2066" s="24"/>
      <c r="AG2066" s="24"/>
      <c r="AH2066" s="24"/>
    </row>
    <row r="2067" spans="1:34" ht="90" x14ac:dyDescent="0.25">
      <c r="A2067" s="24" t="str">
        <f>HYPERLINK("https://www.cpso.on.ca/DoctorDetails/Sam-Donald-Krane/0028327-33150","Krane, Sam Donald")</f>
        <v>Krane, Sam Donald</v>
      </c>
      <c r="B2067" s="25" t="s">
        <v>19371</v>
      </c>
      <c r="C2067" s="24" t="s">
        <v>7148</v>
      </c>
      <c r="D2067" s="24" t="s">
        <v>19372</v>
      </c>
      <c r="E2067" s="24" t="s">
        <v>29</v>
      </c>
      <c r="F2067" s="24" t="s">
        <v>30</v>
      </c>
      <c r="G2067" s="24" t="s">
        <v>31</v>
      </c>
      <c r="H2067" s="24" t="s">
        <v>9945</v>
      </c>
      <c r="I2067" s="24" t="s">
        <v>19373</v>
      </c>
      <c r="J2067" s="24" t="s">
        <v>19374</v>
      </c>
      <c r="K2067" s="24"/>
      <c r="L2067" s="24" t="s">
        <v>84</v>
      </c>
      <c r="M2067" s="15"/>
      <c r="N2067" s="15"/>
      <c r="O2067" s="15"/>
      <c r="P2067" s="15" t="s">
        <v>3954</v>
      </c>
      <c r="Q2067" s="15" t="s">
        <v>19375</v>
      </c>
      <c r="R2067" s="15" t="s">
        <v>19376</v>
      </c>
      <c r="S2067" s="24" t="s">
        <v>39</v>
      </c>
      <c r="T2067" s="24" t="s">
        <v>39</v>
      </c>
      <c r="U2067" s="24" t="s">
        <v>39</v>
      </c>
      <c r="V2067" s="24" t="s">
        <v>39</v>
      </c>
      <c r="W2067" s="24"/>
      <c r="X2067" s="24"/>
      <c r="Y2067" s="15"/>
      <c r="Z2067" s="15"/>
      <c r="AA2067" s="24"/>
      <c r="AB2067" s="24"/>
      <c r="AC2067" s="24"/>
      <c r="AD2067" s="24"/>
      <c r="AE2067" s="24"/>
      <c r="AF2067" s="24"/>
      <c r="AG2067" s="24"/>
      <c r="AH2067" s="24"/>
    </row>
    <row r="2068" spans="1:34" ht="150" x14ac:dyDescent="0.25">
      <c r="A2068" s="24" t="str">
        <f>HYPERLINK("https://www.cpso.on.ca/DoctorDetails/Sam-Masri/0051674-65653","Masri, Sam")</f>
        <v>Masri, Sam</v>
      </c>
      <c r="B2068" s="25" t="s">
        <v>19377</v>
      </c>
      <c r="C2068" s="24" t="s">
        <v>16923</v>
      </c>
      <c r="D2068" s="24" t="s">
        <v>16924</v>
      </c>
      <c r="E2068" s="24" t="s">
        <v>29</v>
      </c>
      <c r="F2068" s="24" t="s">
        <v>30</v>
      </c>
      <c r="G2068" s="24" t="s">
        <v>19378</v>
      </c>
      <c r="H2068" s="24" t="s">
        <v>19379</v>
      </c>
      <c r="I2068" s="24" t="s">
        <v>8644</v>
      </c>
      <c r="J2068" s="24" t="s">
        <v>8645</v>
      </c>
      <c r="K2068" s="24" t="s">
        <v>8646</v>
      </c>
      <c r="L2068" s="24" t="s">
        <v>52</v>
      </c>
      <c r="M2068" s="15"/>
      <c r="N2068" s="15"/>
      <c r="O2068" s="15"/>
      <c r="P2068" s="15" t="s">
        <v>1398</v>
      </c>
      <c r="Q2068" s="15" t="s">
        <v>19380</v>
      </c>
      <c r="R2068" s="15" t="s">
        <v>19381</v>
      </c>
      <c r="S2068" s="24" t="s">
        <v>39</v>
      </c>
      <c r="T2068" s="24" t="s">
        <v>39</v>
      </c>
      <c r="U2068" s="24" t="s">
        <v>39</v>
      </c>
      <c r="V2068" s="24" t="s">
        <v>39</v>
      </c>
      <c r="W2068" s="24" t="s">
        <v>19382</v>
      </c>
      <c r="X2068" s="24" t="s">
        <v>6217</v>
      </c>
      <c r="Y2068" s="15" t="s">
        <v>19383</v>
      </c>
      <c r="Z2068" s="15" t="s">
        <v>8651</v>
      </c>
      <c r="AA2068" s="24"/>
      <c r="AB2068" s="24"/>
      <c r="AC2068" s="24"/>
      <c r="AD2068" s="24"/>
      <c r="AE2068" s="24"/>
      <c r="AF2068" s="24"/>
      <c r="AG2068" s="24"/>
      <c r="AH2068" s="24"/>
    </row>
    <row r="2069" spans="1:34" x14ac:dyDescent="0.25">
      <c r="A2069" s="24" t="str">
        <f>HYPERLINK("https://www.cpso.on.ca/DoctorDetails/Sam-Ozersky/0026855-31678","Ozersky, Sam")</f>
        <v>Ozersky, Sam</v>
      </c>
      <c r="B2069" s="25" t="s">
        <v>19384</v>
      </c>
      <c r="C2069" s="24" t="s">
        <v>19385</v>
      </c>
      <c r="D2069" s="24" t="s">
        <v>19386</v>
      </c>
      <c r="E2069" s="24" t="s">
        <v>29</v>
      </c>
      <c r="F2069" s="24" t="s">
        <v>30</v>
      </c>
      <c r="G2069" s="24" t="s">
        <v>252</v>
      </c>
      <c r="H2069" s="24" t="s">
        <v>1187</v>
      </c>
      <c r="I2069" s="24" t="s">
        <v>19387</v>
      </c>
      <c r="J2069" s="24" t="s">
        <v>19388</v>
      </c>
      <c r="K2069" s="24" t="s">
        <v>19389</v>
      </c>
      <c r="L2069" s="24" t="s">
        <v>52</v>
      </c>
      <c r="M2069" s="15" t="s">
        <v>19390</v>
      </c>
      <c r="N2069" s="15"/>
      <c r="O2069" s="15"/>
      <c r="P2069" s="15" t="s">
        <v>13469</v>
      </c>
      <c r="Q2069" s="15"/>
      <c r="R2069" s="15" t="s">
        <v>19391</v>
      </c>
      <c r="S2069" s="24" t="s">
        <v>39</v>
      </c>
      <c r="T2069" s="24" t="s">
        <v>39</v>
      </c>
      <c r="U2069" s="24" t="s">
        <v>39</v>
      </c>
      <c r="V2069" s="24" t="s">
        <v>39</v>
      </c>
      <c r="W2069" s="24"/>
      <c r="X2069" s="24"/>
      <c r="Y2069" s="15"/>
      <c r="Z2069" s="15"/>
      <c r="AA2069" s="24"/>
      <c r="AB2069" s="24"/>
      <c r="AC2069" s="24"/>
      <c r="AD2069" s="24"/>
      <c r="AE2069" s="24"/>
      <c r="AF2069" s="24"/>
      <c r="AG2069" s="24"/>
      <c r="AH2069" s="24"/>
    </row>
    <row r="2070" spans="1:34" ht="45" x14ac:dyDescent="0.25">
      <c r="A2070" s="24" t="str">
        <f>HYPERLINK("https://www.cpso.on.ca/DoctorDetails/Sam-Swaminath/0041199-55175","Swaminath, Sam")</f>
        <v>Swaminath, Sam</v>
      </c>
      <c r="B2070" s="25" t="s">
        <v>19392</v>
      </c>
      <c r="C2070" s="24" t="s">
        <v>19393</v>
      </c>
      <c r="D2070" s="24" t="s">
        <v>8235</v>
      </c>
      <c r="E2070" s="24" t="s">
        <v>19394</v>
      </c>
      <c r="F2070" s="24" t="s">
        <v>30</v>
      </c>
      <c r="G2070" s="24" t="s">
        <v>19395</v>
      </c>
      <c r="H2070" s="24" t="s">
        <v>19396</v>
      </c>
      <c r="I2070" s="24" t="s">
        <v>19397</v>
      </c>
      <c r="J2070" s="24" t="s">
        <v>19398</v>
      </c>
      <c r="K2070" s="24" t="s">
        <v>19399</v>
      </c>
      <c r="L2070" s="24" t="s">
        <v>65</v>
      </c>
      <c r="M2070" s="15" t="s">
        <v>19400</v>
      </c>
      <c r="N2070" s="15" t="s">
        <v>695</v>
      </c>
      <c r="O2070" s="15"/>
      <c r="P2070" s="15" t="s">
        <v>2864</v>
      </c>
      <c r="Q2070" s="15"/>
      <c r="R2070" s="15" t="s">
        <v>19401</v>
      </c>
      <c r="S2070" s="24" t="s">
        <v>71</v>
      </c>
      <c r="T2070" s="24" t="s">
        <v>39</v>
      </c>
      <c r="U2070" s="24" t="s">
        <v>39</v>
      </c>
      <c r="V2070" s="24" t="s">
        <v>39</v>
      </c>
      <c r="W2070" s="24" t="s">
        <v>19402</v>
      </c>
      <c r="X2070" s="24" t="s">
        <v>19403</v>
      </c>
      <c r="Y2070" s="15" t="s">
        <v>19404</v>
      </c>
      <c r="Z2070" s="15" t="s">
        <v>19405</v>
      </c>
      <c r="AA2070" s="24"/>
      <c r="AB2070" s="24"/>
      <c r="AC2070" s="24"/>
      <c r="AD2070" s="24"/>
      <c r="AE2070" s="24"/>
      <c r="AF2070" s="24"/>
      <c r="AG2070" s="24"/>
      <c r="AH2070" s="24"/>
    </row>
    <row r="2071" spans="1:34" ht="75" x14ac:dyDescent="0.25">
      <c r="A2071" s="24" t="str">
        <f>HYPERLINK("https://www.cpso.on.ca/DoctorDetails/Samantha-Cook-Wallenius/0201441-79485","Wallenius, Samantha Cook")</f>
        <v>Wallenius, Samantha Cook</v>
      </c>
      <c r="B2071" s="25" t="s">
        <v>19406</v>
      </c>
      <c r="C2071" s="24" t="s">
        <v>871</v>
      </c>
      <c r="D2071" s="24" t="s">
        <v>872</v>
      </c>
      <c r="E2071" s="24" t="s">
        <v>29</v>
      </c>
      <c r="F2071" s="24" t="s">
        <v>47</v>
      </c>
      <c r="G2071" s="24" t="s">
        <v>31</v>
      </c>
      <c r="H2071" s="24" t="s">
        <v>1475</v>
      </c>
      <c r="I2071" s="24" t="s">
        <v>395</v>
      </c>
      <c r="J2071" s="24" t="s">
        <v>1853</v>
      </c>
      <c r="K2071" s="24"/>
      <c r="L2071" s="24" t="s">
        <v>328</v>
      </c>
      <c r="M2071" s="15"/>
      <c r="N2071" s="15"/>
      <c r="O2071" s="15" t="s">
        <v>1855</v>
      </c>
      <c r="P2071" s="15" t="s">
        <v>880</v>
      </c>
      <c r="Q2071" s="15" t="s">
        <v>1607</v>
      </c>
      <c r="R2071" s="15" t="s">
        <v>882</v>
      </c>
      <c r="S2071" s="24" t="s">
        <v>39</v>
      </c>
      <c r="T2071" s="24" t="s">
        <v>39</v>
      </c>
      <c r="U2071" s="24" t="s">
        <v>39</v>
      </c>
      <c r="V2071" s="24" t="s">
        <v>39</v>
      </c>
      <c r="W2071" s="24" t="s">
        <v>19407</v>
      </c>
      <c r="X2071" s="24" t="s">
        <v>19408</v>
      </c>
      <c r="Y2071" s="15" t="s">
        <v>19409</v>
      </c>
      <c r="Z2071" s="15" t="s">
        <v>19410</v>
      </c>
      <c r="AA2071" s="24"/>
      <c r="AB2071" s="24"/>
      <c r="AC2071" s="24"/>
      <c r="AD2071" s="24"/>
      <c r="AE2071" s="24"/>
      <c r="AF2071" s="24"/>
      <c r="AG2071" s="24"/>
      <c r="AH2071" s="24"/>
    </row>
    <row r="2072" spans="1:34" ht="30" x14ac:dyDescent="0.25">
      <c r="A2072" s="24" t="str">
        <f>HYPERLINK("https://www.cpso.on.ca/DoctorDetails/Samantha-Mary-Alexandra-Kelleher/0314899-111191","Kelleher, Samantha Mary Alexandra")</f>
        <v>Kelleher, Samantha Mary Alexandra</v>
      </c>
      <c r="B2072" s="25" t="s">
        <v>19411</v>
      </c>
      <c r="C2072" s="24" t="s">
        <v>19412</v>
      </c>
      <c r="D2072" s="24" t="s">
        <v>19413</v>
      </c>
      <c r="E2072" s="24" t="s">
        <v>29</v>
      </c>
      <c r="F2072" s="24" t="s">
        <v>47</v>
      </c>
      <c r="G2072" s="24" t="s">
        <v>31</v>
      </c>
      <c r="H2072" s="24" t="s">
        <v>5299</v>
      </c>
      <c r="I2072" s="24" t="s">
        <v>19414</v>
      </c>
      <c r="J2072" s="24" t="s">
        <v>19415</v>
      </c>
      <c r="K2072" s="24"/>
      <c r="L2072" s="24" t="s">
        <v>152</v>
      </c>
      <c r="M2072" s="15" t="s">
        <v>19416</v>
      </c>
      <c r="N2072" s="15" t="s">
        <v>302</v>
      </c>
      <c r="O2072" s="15"/>
      <c r="P2072" s="15" t="s">
        <v>2678</v>
      </c>
      <c r="Q2072" s="15"/>
      <c r="R2072" s="15" t="s">
        <v>19417</v>
      </c>
      <c r="S2072" s="24" t="s">
        <v>39</v>
      </c>
      <c r="T2072" s="24" t="s">
        <v>39</v>
      </c>
      <c r="U2072" s="24" t="s">
        <v>39</v>
      </c>
      <c r="V2072" s="24" t="s">
        <v>39</v>
      </c>
      <c r="W2072" s="24"/>
      <c r="X2072" s="24"/>
      <c r="Y2072" s="15"/>
      <c r="Z2072" s="15"/>
      <c r="AA2072" s="24"/>
      <c r="AB2072" s="24"/>
      <c r="AC2072" s="24"/>
      <c r="AD2072" s="24"/>
      <c r="AE2072" s="24"/>
      <c r="AF2072" s="24"/>
      <c r="AG2072" s="24"/>
      <c r="AH2072" s="24"/>
    </row>
    <row r="2073" spans="1:34" ht="105" x14ac:dyDescent="0.25">
      <c r="A2073" s="24" t="str">
        <f>HYPERLINK("https://www.cpso.on.ca/DoctorDetails/Sameer-Kumar/0181764-77817","Kumar, Sameer")</f>
        <v>Kumar, Sameer</v>
      </c>
      <c r="B2073" s="25" t="s">
        <v>19418</v>
      </c>
      <c r="C2073" s="24" t="s">
        <v>19419</v>
      </c>
      <c r="D2073" s="24" t="s">
        <v>19420</v>
      </c>
      <c r="E2073" s="24" t="s">
        <v>29</v>
      </c>
      <c r="F2073" s="24" t="s">
        <v>30</v>
      </c>
      <c r="G2073" s="24" t="s">
        <v>31</v>
      </c>
      <c r="H2073" s="24" t="s">
        <v>10964</v>
      </c>
      <c r="I2073" s="24" t="s">
        <v>19421</v>
      </c>
      <c r="J2073" s="24" t="s">
        <v>1782</v>
      </c>
      <c r="K2073" s="24" t="s">
        <v>1783</v>
      </c>
      <c r="L2073" s="24" t="s">
        <v>52</v>
      </c>
      <c r="M2073" s="15"/>
      <c r="N2073" s="15"/>
      <c r="O2073" s="15" t="s">
        <v>1784</v>
      </c>
      <c r="P2073" s="15" t="s">
        <v>880</v>
      </c>
      <c r="Q2073" s="15" t="s">
        <v>19422</v>
      </c>
      <c r="R2073" s="15" t="s">
        <v>19423</v>
      </c>
      <c r="S2073" s="24" t="s">
        <v>39</v>
      </c>
      <c r="T2073" s="24" t="s">
        <v>39</v>
      </c>
      <c r="U2073" s="24" t="s">
        <v>39</v>
      </c>
      <c r="V2073" s="24" t="s">
        <v>39</v>
      </c>
      <c r="W2073" s="24"/>
      <c r="X2073" s="24"/>
      <c r="Y2073" s="15"/>
      <c r="Z2073" s="15"/>
      <c r="AA2073" s="24"/>
      <c r="AB2073" s="24"/>
      <c r="AC2073" s="24"/>
      <c r="AD2073" s="24"/>
      <c r="AE2073" s="24"/>
      <c r="AF2073" s="24"/>
      <c r="AG2073" s="24"/>
      <c r="AH2073" s="24"/>
    </row>
    <row r="2074" spans="1:34" ht="45" x14ac:dyDescent="0.25">
      <c r="A2074" s="24" t="str">
        <f>HYPERLINK("https://www.cpso.on.ca/DoctorDetails/Sameh-Hassan/0037038-51014","Hassan, Sameh")</f>
        <v>Hassan, Sameh</v>
      </c>
      <c r="B2074" s="25" t="s">
        <v>19424</v>
      </c>
      <c r="C2074" s="24" t="s">
        <v>2947</v>
      </c>
      <c r="D2074" s="24" t="s">
        <v>19425</v>
      </c>
      <c r="E2074" s="24" t="s">
        <v>29</v>
      </c>
      <c r="F2074" s="24" t="s">
        <v>30</v>
      </c>
      <c r="G2074" s="24" t="s">
        <v>105</v>
      </c>
      <c r="H2074" s="24" t="s">
        <v>19426</v>
      </c>
      <c r="I2074" s="24" t="s">
        <v>19427</v>
      </c>
      <c r="J2074" s="24" t="s">
        <v>19428</v>
      </c>
      <c r="K2074" s="24" t="s">
        <v>19429</v>
      </c>
      <c r="L2074" s="24" t="s">
        <v>52</v>
      </c>
      <c r="M2074" s="15"/>
      <c r="N2074" s="15"/>
      <c r="O2074" s="15"/>
      <c r="P2074" s="15" t="s">
        <v>4853</v>
      </c>
      <c r="Q2074" s="15"/>
      <c r="R2074" s="15" t="s">
        <v>19430</v>
      </c>
      <c r="S2074" s="24" t="s">
        <v>39</v>
      </c>
      <c r="T2074" s="24" t="s">
        <v>39</v>
      </c>
      <c r="U2074" s="24" t="s">
        <v>39</v>
      </c>
      <c r="V2074" s="24" t="s">
        <v>39</v>
      </c>
      <c r="W2074" s="24" t="s">
        <v>19431</v>
      </c>
      <c r="X2074" s="24" t="s">
        <v>19432</v>
      </c>
      <c r="Y2074" s="15" t="s">
        <v>19433</v>
      </c>
      <c r="Z2074" s="15" t="s">
        <v>19434</v>
      </c>
      <c r="AA2074" s="24"/>
      <c r="AB2074" s="24"/>
      <c r="AC2074" s="24"/>
      <c r="AD2074" s="24"/>
      <c r="AE2074" s="24"/>
      <c r="AF2074" s="24"/>
      <c r="AG2074" s="24"/>
      <c r="AH2074" s="24"/>
    </row>
    <row r="2075" spans="1:34" ht="75" x14ac:dyDescent="0.25">
      <c r="A2075" s="24" t="str">
        <f>HYPERLINK("https://www.cpso.on.ca/DoctorDetails/Samer-Aldandashi/0249104-88312","Aldandashi, Samer")</f>
        <v>Aldandashi, Samer</v>
      </c>
      <c r="B2075" s="25" t="s">
        <v>19435</v>
      </c>
      <c r="C2075" s="24" t="s">
        <v>2045</v>
      </c>
      <c r="D2075" s="24" t="s">
        <v>2046</v>
      </c>
      <c r="E2075" s="24" t="s">
        <v>29</v>
      </c>
      <c r="F2075" s="24" t="s">
        <v>30</v>
      </c>
      <c r="G2075" s="24" t="s">
        <v>105</v>
      </c>
      <c r="H2075" s="24" t="s">
        <v>19436</v>
      </c>
      <c r="I2075" s="24" t="s">
        <v>19437</v>
      </c>
      <c r="J2075" s="24" t="s">
        <v>19438</v>
      </c>
      <c r="K2075" s="24"/>
      <c r="L2075" s="24"/>
      <c r="M2075" s="15"/>
      <c r="N2075" s="15" t="s">
        <v>258</v>
      </c>
      <c r="O2075" s="15"/>
      <c r="P2075" s="15" t="s">
        <v>7386</v>
      </c>
      <c r="Q2075" s="15" t="s">
        <v>19439</v>
      </c>
      <c r="R2075" s="15" t="s">
        <v>19440</v>
      </c>
      <c r="S2075" s="24" t="s">
        <v>39</v>
      </c>
      <c r="T2075" s="24" t="s">
        <v>39</v>
      </c>
      <c r="U2075" s="24" t="s">
        <v>39</v>
      </c>
      <c r="V2075" s="24" t="s">
        <v>39</v>
      </c>
      <c r="W2075" s="24"/>
      <c r="X2075" s="24"/>
      <c r="Y2075" s="15"/>
      <c r="Z2075" s="15"/>
      <c r="AA2075" s="24"/>
      <c r="AB2075" s="24"/>
      <c r="AC2075" s="24"/>
      <c r="AD2075" s="24"/>
      <c r="AE2075" s="24"/>
      <c r="AF2075" s="24"/>
      <c r="AG2075" s="24"/>
      <c r="AH2075" s="24"/>
    </row>
    <row r="2076" spans="1:34" ht="75" x14ac:dyDescent="0.25">
      <c r="A2076" s="24" t="str">
        <f>HYPERLINK("https://www.cpso.on.ca/DoctorDetails/Samer-Zuhair-Khalil/0307630-110585","Khalil, Samer Zuhair")</f>
        <v>Khalil, Samer Zuhair</v>
      </c>
      <c r="B2076" s="25" t="s">
        <v>19441</v>
      </c>
      <c r="C2076" s="24" t="s">
        <v>16692</v>
      </c>
      <c r="D2076" s="24" t="s">
        <v>19442</v>
      </c>
      <c r="E2076" s="24" t="s">
        <v>29</v>
      </c>
      <c r="F2076" s="24" t="s">
        <v>30</v>
      </c>
      <c r="G2076" s="24" t="s">
        <v>105</v>
      </c>
      <c r="H2076" s="24" t="s">
        <v>19443</v>
      </c>
      <c r="I2076" s="24" t="s">
        <v>19444</v>
      </c>
      <c r="J2076" s="24" t="s">
        <v>19445</v>
      </c>
      <c r="K2076" s="24" t="s">
        <v>12346</v>
      </c>
      <c r="L2076" s="24" t="s">
        <v>3849</v>
      </c>
      <c r="M2076" s="15" t="s">
        <v>19446</v>
      </c>
      <c r="N2076" s="15"/>
      <c r="O2076" s="15" t="s">
        <v>12347</v>
      </c>
      <c r="P2076" s="15" t="s">
        <v>936</v>
      </c>
      <c r="Q2076" s="15"/>
      <c r="R2076" s="15" t="s">
        <v>19447</v>
      </c>
      <c r="S2076" s="24" t="s">
        <v>71</v>
      </c>
      <c r="T2076" s="24" t="s">
        <v>39</v>
      </c>
      <c r="U2076" s="24" t="s">
        <v>39</v>
      </c>
      <c r="V2076" s="24" t="s">
        <v>39</v>
      </c>
      <c r="W2076" s="24" t="s">
        <v>19448</v>
      </c>
      <c r="X2076" s="24" t="s">
        <v>19449</v>
      </c>
      <c r="Y2076" s="15" t="s">
        <v>19450</v>
      </c>
      <c r="Z2076" s="15" t="s">
        <v>19451</v>
      </c>
      <c r="AA2076" s="24"/>
      <c r="AB2076" s="24"/>
      <c r="AC2076" s="24"/>
      <c r="AD2076" s="24"/>
      <c r="AE2076" s="24"/>
      <c r="AF2076" s="24"/>
      <c r="AG2076" s="24"/>
      <c r="AH2076" s="24"/>
    </row>
    <row r="2077" spans="1:34" ht="45" x14ac:dyDescent="0.25">
      <c r="A2077" s="24" t="str">
        <f>HYPERLINK("https://www.cpso.on.ca/DoctorDetails/Samia-Hanna/0047977-61955","Hanna, Samia")</f>
        <v>Hanna, Samia</v>
      </c>
      <c r="B2077" s="25" t="s">
        <v>19452</v>
      </c>
      <c r="C2077" s="24" t="s">
        <v>10984</v>
      </c>
      <c r="D2077" s="24" t="s">
        <v>8676</v>
      </c>
      <c r="E2077" s="24" t="s">
        <v>29</v>
      </c>
      <c r="F2077" s="24" t="s">
        <v>47</v>
      </c>
      <c r="G2077" s="24" t="s">
        <v>31</v>
      </c>
      <c r="H2077" s="24" t="s">
        <v>19453</v>
      </c>
      <c r="I2077" s="24" t="s">
        <v>19454</v>
      </c>
      <c r="J2077" s="24" t="s">
        <v>19455</v>
      </c>
      <c r="K2077" s="24" t="s">
        <v>19456</v>
      </c>
      <c r="L2077" s="24" t="s">
        <v>340</v>
      </c>
      <c r="M2077" s="15" t="s">
        <v>19457</v>
      </c>
      <c r="N2077" s="15"/>
      <c r="O2077" s="15"/>
      <c r="P2077" s="15" t="s">
        <v>2293</v>
      </c>
      <c r="Q2077" s="15"/>
      <c r="R2077" s="15" t="s">
        <v>19458</v>
      </c>
      <c r="S2077" s="24" t="s">
        <v>39</v>
      </c>
      <c r="T2077" s="24" t="s">
        <v>39</v>
      </c>
      <c r="U2077" s="24" t="s">
        <v>39</v>
      </c>
      <c r="V2077" s="24" t="s">
        <v>39</v>
      </c>
      <c r="W2077" s="24" t="s">
        <v>19459</v>
      </c>
      <c r="X2077" s="24" t="s">
        <v>19460</v>
      </c>
      <c r="Y2077" s="15"/>
      <c r="Z2077" s="15"/>
      <c r="AA2077" s="24"/>
      <c r="AB2077" s="24"/>
      <c r="AC2077" s="24"/>
      <c r="AD2077" s="24"/>
      <c r="AE2077" s="24"/>
      <c r="AF2077" s="24"/>
      <c r="AG2077" s="24"/>
      <c r="AH2077" s="24"/>
    </row>
    <row r="2078" spans="1:34" ht="75" x14ac:dyDescent="0.25">
      <c r="A2078" s="24" t="str">
        <f>HYPERLINK("https://www.cpso.on.ca/DoctorDetails/Samir-Prasad/0313238-111641","Prasad, Samir")</f>
        <v>Prasad, Samir</v>
      </c>
      <c r="B2078" s="25" t="s">
        <v>19461</v>
      </c>
      <c r="C2078" s="24" t="s">
        <v>19462</v>
      </c>
      <c r="D2078" s="24" t="s">
        <v>19463</v>
      </c>
      <c r="E2078" s="24" t="s">
        <v>29</v>
      </c>
      <c r="F2078" s="24" t="s">
        <v>30</v>
      </c>
      <c r="G2078" s="24" t="s">
        <v>131</v>
      </c>
      <c r="H2078" s="24" t="s">
        <v>1376</v>
      </c>
      <c r="I2078" s="24" t="s">
        <v>19464</v>
      </c>
      <c r="J2078" s="24" t="s">
        <v>19465</v>
      </c>
      <c r="K2078" s="24" t="s">
        <v>16643</v>
      </c>
      <c r="L2078" s="24" t="s">
        <v>340</v>
      </c>
      <c r="M2078" s="15"/>
      <c r="N2078" s="15" t="s">
        <v>398</v>
      </c>
      <c r="O2078" s="15"/>
      <c r="P2078" s="15" t="s">
        <v>3512</v>
      </c>
      <c r="Q2078" s="15"/>
      <c r="R2078" s="15" t="s">
        <v>19466</v>
      </c>
      <c r="S2078" s="24" t="s">
        <v>39</v>
      </c>
      <c r="T2078" s="24" t="s">
        <v>39</v>
      </c>
      <c r="U2078" s="24" t="s">
        <v>39</v>
      </c>
      <c r="V2078" s="24" t="s">
        <v>39</v>
      </c>
      <c r="W2078" s="24"/>
      <c r="X2078" s="24"/>
      <c r="Y2078" s="15"/>
      <c r="Z2078" s="15"/>
      <c r="AA2078" s="24"/>
      <c r="AB2078" s="24"/>
      <c r="AC2078" s="24"/>
      <c r="AD2078" s="24"/>
      <c r="AE2078" s="24"/>
      <c r="AF2078" s="24"/>
      <c r="AG2078" s="24"/>
      <c r="AH2078" s="24"/>
    </row>
    <row r="2079" spans="1:34" ht="75" x14ac:dyDescent="0.25">
      <c r="A2079" s="24" t="str">
        <f>HYPERLINK("https://www.cpso.on.ca/DoctorDetails/Sammy-Wisam-Barakat/0161949-73539","Barakat, Sammy Wisam")</f>
        <v>Barakat, Sammy Wisam</v>
      </c>
      <c r="B2079" s="25" t="s">
        <v>19467</v>
      </c>
      <c r="C2079" s="24" t="s">
        <v>19468</v>
      </c>
      <c r="D2079" s="24" t="s">
        <v>19469</v>
      </c>
      <c r="E2079" s="24" t="s">
        <v>29</v>
      </c>
      <c r="F2079" s="24" t="s">
        <v>30</v>
      </c>
      <c r="G2079" s="24" t="s">
        <v>31</v>
      </c>
      <c r="H2079" s="24" t="s">
        <v>9832</v>
      </c>
      <c r="I2079" s="24" t="s">
        <v>19470</v>
      </c>
      <c r="J2079" s="24" t="s">
        <v>19471</v>
      </c>
      <c r="K2079" s="24"/>
      <c r="L2079" s="24" t="s">
        <v>184</v>
      </c>
      <c r="M2079" s="15"/>
      <c r="N2079" s="15"/>
      <c r="O2079" s="15" t="s">
        <v>2169</v>
      </c>
      <c r="P2079" s="15" t="s">
        <v>288</v>
      </c>
      <c r="Q2079" s="15" t="s">
        <v>289</v>
      </c>
      <c r="R2079" s="15" t="s">
        <v>19472</v>
      </c>
      <c r="S2079" s="24" t="s">
        <v>39</v>
      </c>
      <c r="T2079" s="24" t="s">
        <v>39</v>
      </c>
      <c r="U2079" s="24" t="s">
        <v>39</v>
      </c>
      <c r="V2079" s="24" t="s">
        <v>39</v>
      </c>
      <c r="W2079" s="24" t="s">
        <v>19473</v>
      </c>
      <c r="X2079" s="24" t="s">
        <v>19474</v>
      </c>
      <c r="Y2079" s="15" t="s">
        <v>19475</v>
      </c>
      <c r="Z2079" s="15" t="s">
        <v>19476</v>
      </c>
      <c r="AA2079" s="24"/>
      <c r="AB2079" s="24"/>
      <c r="AC2079" s="24"/>
      <c r="AD2079" s="24"/>
      <c r="AE2079" s="24"/>
      <c r="AF2079" s="24"/>
      <c r="AG2079" s="24"/>
      <c r="AH2079" s="24"/>
    </row>
    <row r="2080" spans="1:34" ht="30" x14ac:dyDescent="0.25">
      <c r="A2080" s="24" t="str">
        <f>HYPERLINK("https://www.cpso.on.ca/DoctorDetails/Samuel-Auron/0026292-31115","Auron, Samuel")</f>
        <v>Auron, Samuel</v>
      </c>
      <c r="B2080" s="25" t="s">
        <v>19477</v>
      </c>
      <c r="C2080" s="24" t="s">
        <v>19478</v>
      </c>
      <c r="D2080" s="24" t="s">
        <v>19479</v>
      </c>
      <c r="E2080" s="24" t="s">
        <v>29</v>
      </c>
      <c r="F2080" s="24" t="s">
        <v>30</v>
      </c>
      <c r="G2080" s="24" t="s">
        <v>115</v>
      </c>
      <c r="H2080" s="24" t="s">
        <v>19480</v>
      </c>
      <c r="I2080" s="24" t="s">
        <v>2983</v>
      </c>
      <c r="J2080" s="24" t="s">
        <v>19481</v>
      </c>
      <c r="K2080" s="24"/>
      <c r="L2080" s="24" t="s">
        <v>184</v>
      </c>
      <c r="M2080" s="15"/>
      <c r="N2080" s="15"/>
      <c r="O2080" s="15"/>
      <c r="P2080" s="15" t="s">
        <v>6552</v>
      </c>
      <c r="Q2080" s="15"/>
      <c r="R2080" s="15" t="s">
        <v>19482</v>
      </c>
      <c r="S2080" s="24" t="s">
        <v>39</v>
      </c>
      <c r="T2080" s="24" t="s">
        <v>39</v>
      </c>
      <c r="U2080" s="24" t="s">
        <v>39</v>
      </c>
      <c r="V2080" s="24" t="s">
        <v>39</v>
      </c>
      <c r="W2080" s="24" t="s">
        <v>2987</v>
      </c>
      <c r="X2080" s="24" t="s">
        <v>2988</v>
      </c>
      <c r="Y2080" s="15" t="s">
        <v>2989</v>
      </c>
      <c r="Z2080" s="15" t="s">
        <v>2990</v>
      </c>
      <c r="AA2080" s="24"/>
      <c r="AB2080" s="24"/>
      <c r="AC2080" s="24"/>
      <c r="AD2080" s="24"/>
      <c r="AE2080" s="24"/>
      <c r="AF2080" s="24"/>
      <c r="AG2080" s="24"/>
      <c r="AH2080" s="24"/>
    </row>
    <row r="2081" spans="1:34" ht="75" x14ac:dyDescent="0.25">
      <c r="A2081" s="24" t="str">
        <f>HYPERLINK("https://www.cpso.on.ca/DoctorDetails/Samuel-Fai-Law/0056687-68275","Law, Samuel Fai")</f>
        <v>Law, Samuel Fai</v>
      </c>
      <c r="B2081" s="25" t="s">
        <v>19483</v>
      </c>
      <c r="C2081" s="24" t="s">
        <v>1669</v>
      </c>
      <c r="D2081" s="24" t="s">
        <v>1670</v>
      </c>
      <c r="E2081" s="24" t="s">
        <v>29</v>
      </c>
      <c r="F2081" s="24" t="s">
        <v>30</v>
      </c>
      <c r="G2081" s="24" t="s">
        <v>11968</v>
      </c>
      <c r="H2081" s="24" t="s">
        <v>215</v>
      </c>
      <c r="I2081" s="24" t="s">
        <v>19484</v>
      </c>
      <c r="J2081" s="24" t="s">
        <v>19485</v>
      </c>
      <c r="K2081" s="24"/>
      <c r="L2081" s="24" t="s">
        <v>52</v>
      </c>
      <c r="M2081" s="15"/>
      <c r="N2081" s="15" t="s">
        <v>342</v>
      </c>
      <c r="O2081" s="15" t="s">
        <v>1716</v>
      </c>
      <c r="P2081" s="15" t="s">
        <v>1677</v>
      </c>
      <c r="Q2081" s="15" t="s">
        <v>1678</v>
      </c>
      <c r="R2081" s="15" t="s">
        <v>1679</v>
      </c>
      <c r="S2081" s="24" t="s">
        <v>39</v>
      </c>
      <c r="T2081" s="24" t="s">
        <v>39</v>
      </c>
      <c r="U2081" s="24" t="s">
        <v>39</v>
      </c>
      <c r="V2081" s="24" t="s">
        <v>39</v>
      </c>
      <c r="W2081" s="24" t="s">
        <v>19486</v>
      </c>
      <c r="X2081" s="24" t="s">
        <v>19487</v>
      </c>
      <c r="Y2081" s="15" t="s">
        <v>19488</v>
      </c>
      <c r="Z2081" s="15" t="s">
        <v>19489</v>
      </c>
      <c r="AA2081" s="24"/>
      <c r="AB2081" s="24"/>
      <c r="AC2081" s="24"/>
      <c r="AD2081" s="24"/>
      <c r="AE2081" s="24"/>
      <c r="AF2081" s="24"/>
      <c r="AG2081" s="24"/>
      <c r="AH2081" s="24"/>
    </row>
    <row r="2082" spans="1:34" ht="30" x14ac:dyDescent="0.25">
      <c r="A2082" s="24" t="str">
        <f>HYPERLINK("https://www.cpso.on.ca/DoctorDetails/Samuel-Packer/0038355-52331","Packer, Samuel")</f>
        <v>Packer, Samuel</v>
      </c>
      <c r="B2082" s="25" t="s">
        <v>19490</v>
      </c>
      <c r="C2082" s="24" t="s">
        <v>19491</v>
      </c>
      <c r="D2082" s="24" t="s">
        <v>19492</v>
      </c>
      <c r="E2082" s="24" t="s">
        <v>29</v>
      </c>
      <c r="F2082" s="24" t="s">
        <v>30</v>
      </c>
      <c r="G2082" s="24" t="s">
        <v>31</v>
      </c>
      <c r="H2082" s="24" t="s">
        <v>19493</v>
      </c>
      <c r="I2082" s="24" t="s">
        <v>19494</v>
      </c>
      <c r="J2082" s="24" t="s">
        <v>19495</v>
      </c>
      <c r="K2082" s="24" t="s">
        <v>1783</v>
      </c>
      <c r="L2082" s="24" t="s">
        <v>52</v>
      </c>
      <c r="M2082" s="15"/>
      <c r="N2082" s="15"/>
      <c r="O2082" s="15" t="s">
        <v>19496</v>
      </c>
      <c r="P2082" s="15" t="s">
        <v>6170</v>
      </c>
      <c r="Q2082" s="15"/>
      <c r="R2082" s="15" t="s">
        <v>19497</v>
      </c>
      <c r="S2082" s="24" t="s">
        <v>39</v>
      </c>
      <c r="T2082" s="24" t="s">
        <v>39</v>
      </c>
      <c r="U2082" s="24" t="s">
        <v>39</v>
      </c>
      <c r="V2082" s="24" t="s">
        <v>39</v>
      </c>
      <c r="W2082" s="24"/>
      <c r="X2082" s="24"/>
      <c r="Y2082" s="15"/>
      <c r="Z2082" s="15"/>
      <c r="AA2082" s="24"/>
      <c r="AB2082" s="24"/>
      <c r="AC2082" s="24"/>
      <c r="AD2082" s="24"/>
      <c r="AE2082" s="24"/>
      <c r="AF2082" s="24"/>
      <c r="AG2082" s="24"/>
      <c r="AH2082" s="24"/>
    </row>
    <row r="2083" spans="1:34" x14ac:dyDescent="0.25">
      <c r="A2083" s="24" t="str">
        <f>HYPERLINK("https://www.cpso.on.ca/DoctorDetails/Samuel-Stuart-Anthony-Waldenberg/0022064-26853","Waldenberg, Samuel Stuart Anthony")</f>
        <v>Waldenberg, Samuel Stuart Anthony</v>
      </c>
      <c r="B2083" s="25" t="s">
        <v>19498</v>
      </c>
      <c r="C2083" s="24" t="s">
        <v>19499</v>
      </c>
      <c r="D2083" s="24" t="s">
        <v>19500</v>
      </c>
      <c r="E2083" s="24" t="s">
        <v>29</v>
      </c>
      <c r="F2083" s="24" t="s">
        <v>30</v>
      </c>
      <c r="G2083" s="24" t="s">
        <v>31</v>
      </c>
      <c r="H2083" s="24" t="s">
        <v>19501</v>
      </c>
      <c r="I2083" s="24" t="s">
        <v>107</v>
      </c>
      <c r="J2083" s="24"/>
      <c r="K2083" s="24"/>
      <c r="L2083" s="24"/>
      <c r="M2083" s="15"/>
      <c r="N2083" s="15"/>
      <c r="O2083" s="15"/>
      <c r="P2083" s="15" t="s">
        <v>2400</v>
      </c>
      <c r="Q2083" s="15"/>
      <c r="R2083" s="15" t="s">
        <v>19502</v>
      </c>
      <c r="S2083" s="24" t="s">
        <v>39</v>
      </c>
      <c r="T2083" s="24" t="s">
        <v>39</v>
      </c>
      <c r="U2083" s="24" t="s">
        <v>39</v>
      </c>
      <c r="V2083" s="24" t="s">
        <v>39</v>
      </c>
      <c r="W2083" s="24" t="s">
        <v>19503</v>
      </c>
      <c r="X2083" s="24" t="s">
        <v>19504</v>
      </c>
      <c r="Y2083" s="15"/>
      <c r="Z2083" s="15"/>
      <c r="AA2083" s="24"/>
      <c r="AB2083" s="24"/>
      <c r="AC2083" s="24"/>
      <c r="AD2083" s="24"/>
      <c r="AE2083" s="24"/>
      <c r="AF2083" s="24"/>
      <c r="AG2083" s="24"/>
      <c r="AH2083" s="24"/>
    </row>
    <row r="2084" spans="1:34" x14ac:dyDescent="0.25">
      <c r="A2084" s="24" t="str">
        <f>HYPERLINK("https://www.cpso.on.ca/DoctorDetails/San-Duy-Nguyen/0022107-26897","Nguyen, San Duy")</f>
        <v>Nguyen, San Duy</v>
      </c>
      <c r="B2084" s="25" t="s">
        <v>19505</v>
      </c>
      <c r="C2084" s="24" t="s">
        <v>19506</v>
      </c>
      <c r="D2084" s="24" t="s">
        <v>19507</v>
      </c>
      <c r="E2084" s="24" t="s">
        <v>29</v>
      </c>
      <c r="F2084" s="24" t="s">
        <v>30</v>
      </c>
      <c r="G2084" s="24" t="s">
        <v>17424</v>
      </c>
      <c r="H2084" s="24" t="s">
        <v>19508</v>
      </c>
      <c r="I2084" s="24" t="s">
        <v>19509</v>
      </c>
      <c r="J2084" s="24" t="s">
        <v>19510</v>
      </c>
      <c r="K2084" s="24" t="s">
        <v>19511</v>
      </c>
      <c r="L2084" s="24" t="s">
        <v>52</v>
      </c>
      <c r="M2084" s="15" t="s">
        <v>19512</v>
      </c>
      <c r="N2084" s="15"/>
      <c r="O2084" s="15"/>
      <c r="P2084" s="15" t="s">
        <v>5785</v>
      </c>
      <c r="Q2084" s="15"/>
      <c r="R2084" s="15" t="s">
        <v>19513</v>
      </c>
      <c r="S2084" s="24" t="s">
        <v>39</v>
      </c>
      <c r="T2084" s="24" t="s">
        <v>39</v>
      </c>
      <c r="U2084" s="24" t="s">
        <v>39</v>
      </c>
      <c r="V2084" s="24" t="s">
        <v>39</v>
      </c>
      <c r="W2084" s="24" t="s">
        <v>19514</v>
      </c>
      <c r="X2084" s="24" t="s">
        <v>19515</v>
      </c>
      <c r="Y2084" s="15" t="s">
        <v>19516</v>
      </c>
      <c r="Z2084" s="15" t="s">
        <v>19517</v>
      </c>
      <c r="AA2084" s="24"/>
      <c r="AB2084" s="24"/>
      <c r="AC2084" s="24"/>
      <c r="AD2084" s="24"/>
      <c r="AE2084" s="24"/>
      <c r="AF2084" s="24"/>
      <c r="AG2084" s="24"/>
      <c r="AH2084" s="24"/>
    </row>
    <row r="2085" spans="1:34" ht="75" x14ac:dyDescent="0.25">
      <c r="A2085" s="24" t="str">
        <f>HYPERLINK("https://www.cpso.on.ca/DoctorDetails/Sanaa-Talat-Helmi-Ahmed-Helmi/0240328-87164","Helmi, Sanaa Talat Helmi Ahmed")</f>
        <v>Helmi, Sanaa Talat Helmi Ahmed</v>
      </c>
      <c r="B2085" s="25" t="s">
        <v>19518</v>
      </c>
      <c r="C2085" s="24" t="s">
        <v>11324</v>
      </c>
      <c r="D2085" s="24" t="s">
        <v>11325</v>
      </c>
      <c r="E2085" s="24" t="s">
        <v>29</v>
      </c>
      <c r="F2085" s="24" t="s">
        <v>47</v>
      </c>
      <c r="G2085" s="24" t="s">
        <v>105</v>
      </c>
      <c r="H2085" s="24" t="s">
        <v>19519</v>
      </c>
      <c r="I2085" s="24" t="s">
        <v>19520</v>
      </c>
      <c r="J2085" s="24" t="s">
        <v>1378</v>
      </c>
      <c r="K2085" s="24" t="s">
        <v>7234</v>
      </c>
      <c r="L2085" s="24" t="s">
        <v>36</v>
      </c>
      <c r="M2085" s="15" t="s">
        <v>19521</v>
      </c>
      <c r="N2085" s="15"/>
      <c r="O2085" s="15" t="s">
        <v>9430</v>
      </c>
      <c r="P2085" s="15" t="s">
        <v>10411</v>
      </c>
      <c r="Q2085" s="15"/>
      <c r="R2085" s="15" t="s">
        <v>19522</v>
      </c>
      <c r="S2085" s="24" t="s">
        <v>39</v>
      </c>
      <c r="T2085" s="24" t="s">
        <v>39</v>
      </c>
      <c r="U2085" s="24" t="s">
        <v>39</v>
      </c>
      <c r="V2085" s="24" t="s">
        <v>39</v>
      </c>
      <c r="W2085" s="24"/>
      <c r="X2085" s="24"/>
      <c r="Y2085" s="15"/>
      <c r="Z2085" s="15"/>
      <c r="AA2085" s="24"/>
      <c r="AB2085" s="24"/>
      <c r="AC2085" s="24"/>
      <c r="AD2085" s="24"/>
      <c r="AE2085" s="24"/>
      <c r="AF2085" s="24"/>
      <c r="AG2085" s="24"/>
      <c r="AH2085" s="24"/>
    </row>
    <row r="2086" spans="1:34" ht="90" x14ac:dyDescent="0.25">
      <c r="A2086" s="24" t="str">
        <f>HYPERLINK("https://www.cpso.on.ca/DoctorDetails/Sandhaya-Norris/0193809-77879","Norris, Sandhaya")</f>
        <v>Norris, Sandhaya</v>
      </c>
      <c r="B2086" s="25" t="s">
        <v>19523</v>
      </c>
      <c r="C2086" s="24" t="s">
        <v>19524</v>
      </c>
      <c r="D2086" s="24" t="s">
        <v>19525</v>
      </c>
      <c r="E2086" s="24" t="s">
        <v>19526</v>
      </c>
      <c r="F2086" s="24" t="s">
        <v>47</v>
      </c>
      <c r="G2086" s="24" t="s">
        <v>31</v>
      </c>
      <c r="H2086" s="24" t="s">
        <v>12520</v>
      </c>
      <c r="I2086" s="24" t="s">
        <v>19527</v>
      </c>
      <c r="J2086" s="24" t="s">
        <v>19528</v>
      </c>
      <c r="K2086" s="24"/>
      <c r="L2086" s="24" t="s">
        <v>84</v>
      </c>
      <c r="M2086" s="15"/>
      <c r="N2086" s="15"/>
      <c r="O2086" s="15" t="s">
        <v>1309</v>
      </c>
      <c r="P2086" s="15" t="s">
        <v>19529</v>
      </c>
      <c r="Q2086" s="15" t="s">
        <v>19530</v>
      </c>
      <c r="R2086" s="15" t="s">
        <v>19531</v>
      </c>
      <c r="S2086" s="24" t="s">
        <v>39</v>
      </c>
      <c r="T2086" s="24" t="s">
        <v>39</v>
      </c>
      <c r="U2086" s="24" t="s">
        <v>39</v>
      </c>
      <c r="V2086" s="24" t="s">
        <v>39</v>
      </c>
      <c r="W2086" s="24" t="s">
        <v>19532</v>
      </c>
      <c r="X2086" s="24" t="s">
        <v>19533</v>
      </c>
      <c r="Y2086" s="15" t="s">
        <v>19534</v>
      </c>
      <c r="Z2086" s="15" t="s">
        <v>19535</v>
      </c>
      <c r="AA2086" s="24"/>
      <c r="AB2086" s="24"/>
      <c r="AC2086" s="24"/>
      <c r="AD2086" s="24"/>
      <c r="AE2086" s="24"/>
      <c r="AF2086" s="24"/>
      <c r="AG2086" s="24"/>
      <c r="AH2086" s="24"/>
    </row>
    <row r="2087" spans="1:34" ht="75" x14ac:dyDescent="0.25">
      <c r="A2087" s="24" t="str">
        <f>HYPERLINK("https://www.cpso.on.ca/DoctorDetails/Sandra-Joan-Hazan/0045397-59375","Hazan, Sandra Joan")</f>
        <v>Hazan, Sandra Joan</v>
      </c>
      <c r="B2087" s="25" t="s">
        <v>19536</v>
      </c>
      <c r="C2087" s="24" t="s">
        <v>2286</v>
      </c>
      <c r="D2087" s="24" t="s">
        <v>5175</v>
      </c>
      <c r="E2087" s="24" t="s">
        <v>29</v>
      </c>
      <c r="F2087" s="24" t="s">
        <v>47</v>
      </c>
      <c r="G2087" s="24" t="s">
        <v>31</v>
      </c>
      <c r="H2087" s="24" t="s">
        <v>6839</v>
      </c>
      <c r="I2087" s="24" t="s">
        <v>19537</v>
      </c>
      <c r="J2087" s="24" t="s">
        <v>19538</v>
      </c>
      <c r="K2087" s="24"/>
      <c r="L2087" s="24" t="s">
        <v>52</v>
      </c>
      <c r="M2087" s="15"/>
      <c r="N2087" s="15"/>
      <c r="O2087" s="15"/>
      <c r="P2087" s="15" t="s">
        <v>2293</v>
      </c>
      <c r="Q2087" s="15" t="s">
        <v>3027</v>
      </c>
      <c r="R2087" s="15" t="s">
        <v>19539</v>
      </c>
      <c r="S2087" s="24" t="s">
        <v>39</v>
      </c>
      <c r="T2087" s="24" t="s">
        <v>39</v>
      </c>
      <c r="U2087" s="24" t="s">
        <v>39</v>
      </c>
      <c r="V2087" s="24" t="s">
        <v>39</v>
      </c>
      <c r="W2087" s="24"/>
      <c r="X2087" s="24"/>
      <c r="Y2087" s="15"/>
      <c r="Z2087" s="15"/>
      <c r="AA2087" s="24"/>
      <c r="AB2087" s="24"/>
      <c r="AC2087" s="24"/>
      <c r="AD2087" s="24"/>
      <c r="AE2087" s="24"/>
      <c r="AF2087" s="24"/>
      <c r="AG2087" s="24"/>
      <c r="AH2087" s="24"/>
    </row>
    <row r="2088" spans="1:34" ht="105" x14ac:dyDescent="0.25">
      <c r="A2088" s="24" t="str">
        <f>HYPERLINK("https://www.cpso.on.ca/DoctorDetails/Sandra-Joy-Northcott/0056329-67917","Northcott, Sandra Joy")</f>
        <v>Northcott, Sandra Joy</v>
      </c>
      <c r="B2088" s="25" t="s">
        <v>19540</v>
      </c>
      <c r="C2088" s="24" t="s">
        <v>1669</v>
      </c>
      <c r="D2088" s="24" t="s">
        <v>19541</v>
      </c>
      <c r="E2088" s="24" t="s">
        <v>29</v>
      </c>
      <c r="F2088" s="24" t="s">
        <v>47</v>
      </c>
      <c r="G2088" s="24" t="s">
        <v>31</v>
      </c>
      <c r="H2088" s="24" t="s">
        <v>4194</v>
      </c>
      <c r="I2088" s="24" t="s">
        <v>19542</v>
      </c>
      <c r="J2088" s="24" t="s">
        <v>19543</v>
      </c>
      <c r="K2088" s="24" t="s">
        <v>19544</v>
      </c>
      <c r="L2088" s="24" t="s">
        <v>135</v>
      </c>
      <c r="M2088" s="15"/>
      <c r="N2088" s="15"/>
      <c r="O2088" s="15" t="s">
        <v>4950</v>
      </c>
      <c r="P2088" s="15" t="s">
        <v>19545</v>
      </c>
      <c r="Q2088" s="15" t="s">
        <v>19546</v>
      </c>
      <c r="R2088" s="15" t="s">
        <v>19547</v>
      </c>
      <c r="S2088" s="24" t="s">
        <v>39</v>
      </c>
      <c r="T2088" s="24" t="s">
        <v>39</v>
      </c>
      <c r="U2088" s="24" t="s">
        <v>39</v>
      </c>
      <c r="V2088" s="24" t="s">
        <v>39</v>
      </c>
      <c r="W2088" s="24"/>
      <c r="X2088" s="24"/>
      <c r="Y2088" s="15"/>
      <c r="Z2088" s="15"/>
      <c r="AA2088" s="24"/>
      <c r="AB2088" s="24"/>
      <c r="AC2088" s="24"/>
      <c r="AD2088" s="24"/>
      <c r="AE2088" s="24"/>
      <c r="AF2088" s="24"/>
      <c r="AG2088" s="24"/>
      <c r="AH2088" s="24"/>
    </row>
    <row r="2089" spans="1:34" ht="30" x14ac:dyDescent="0.25">
      <c r="A2089" s="24" t="str">
        <f>HYPERLINK("https://www.cpso.on.ca/DoctorDetails/Sandra-Norma-Fisman/0025542-30365","Fisman, Sandra Norma")</f>
        <v>Fisman, Sandra Norma</v>
      </c>
      <c r="B2089" s="25" t="s">
        <v>19548</v>
      </c>
      <c r="C2089" s="24" t="s">
        <v>19549</v>
      </c>
      <c r="D2089" s="24" t="s">
        <v>19550</v>
      </c>
      <c r="E2089" s="24" t="s">
        <v>29</v>
      </c>
      <c r="F2089" s="24" t="s">
        <v>47</v>
      </c>
      <c r="G2089" s="24" t="s">
        <v>31</v>
      </c>
      <c r="H2089" s="24" t="s">
        <v>19551</v>
      </c>
      <c r="I2089" s="24" t="s">
        <v>19552</v>
      </c>
      <c r="J2089" s="24" t="s">
        <v>19553</v>
      </c>
      <c r="K2089" s="24"/>
      <c r="L2089" s="24" t="s">
        <v>135</v>
      </c>
      <c r="M2089" s="15" t="s">
        <v>19554</v>
      </c>
      <c r="N2089" s="15"/>
      <c r="O2089" s="15" t="s">
        <v>19555</v>
      </c>
      <c r="P2089" s="15" t="s">
        <v>8792</v>
      </c>
      <c r="Q2089" s="15"/>
      <c r="R2089" s="15" t="s">
        <v>19556</v>
      </c>
      <c r="S2089" s="24" t="s">
        <v>39</v>
      </c>
      <c r="T2089" s="24" t="s">
        <v>39</v>
      </c>
      <c r="U2089" s="24" t="s">
        <v>39</v>
      </c>
      <c r="V2089" s="24" t="s">
        <v>39</v>
      </c>
      <c r="W2089" s="24" t="s">
        <v>19557</v>
      </c>
      <c r="X2089" s="24" t="s">
        <v>19558</v>
      </c>
      <c r="Y2089" s="15" t="s">
        <v>19559</v>
      </c>
      <c r="Z2089" s="15" t="s">
        <v>19560</v>
      </c>
      <c r="AA2089" s="24"/>
      <c r="AB2089" s="24"/>
      <c r="AC2089" s="24"/>
      <c r="AD2089" s="24"/>
      <c r="AE2089" s="24"/>
      <c r="AF2089" s="24"/>
      <c r="AG2089" s="24"/>
      <c r="AH2089" s="24"/>
    </row>
    <row r="2090" spans="1:34" ht="105" x14ac:dyDescent="0.25">
      <c r="A2090" s="24" t="str">
        <f>HYPERLINK("https://www.cpso.on.ca/DoctorDetails/Sanjeev-Kumar/0287771-102066","Kumar, Sanjeev")</f>
        <v>Kumar, Sanjeev</v>
      </c>
      <c r="B2090" s="25" t="s">
        <v>19561</v>
      </c>
      <c r="C2090" s="24" t="s">
        <v>19562</v>
      </c>
      <c r="D2090" s="24" t="s">
        <v>19563</v>
      </c>
      <c r="E2090" s="24" t="s">
        <v>29</v>
      </c>
      <c r="F2090" s="24" t="s">
        <v>30</v>
      </c>
      <c r="G2090" s="24" t="s">
        <v>691</v>
      </c>
      <c r="H2090" s="24" t="s">
        <v>19564</v>
      </c>
      <c r="I2090" s="24" t="s">
        <v>19565</v>
      </c>
      <c r="J2090" s="24" t="s">
        <v>19566</v>
      </c>
      <c r="K2090" s="24" t="s">
        <v>6251</v>
      </c>
      <c r="L2090" s="24" t="s">
        <v>52</v>
      </c>
      <c r="M2090" s="15"/>
      <c r="N2090" s="15" t="s">
        <v>19567</v>
      </c>
      <c r="O2090" s="15" t="s">
        <v>981</v>
      </c>
      <c r="P2090" s="15" t="s">
        <v>195</v>
      </c>
      <c r="Q2090" s="15" t="s">
        <v>19568</v>
      </c>
      <c r="R2090" s="15" t="s">
        <v>19569</v>
      </c>
      <c r="S2090" s="24" t="s">
        <v>71</v>
      </c>
      <c r="T2090" s="24" t="s">
        <v>39</v>
      </c>
      <c r="U2090" s="24" t="s">
        <v>39</v>
      </c>
      <c r="V2090" s="24" t="s">
        <v>39</v>
      </c>
      <c r="W2090" s="24" t="s">
        <v>19570</v>
      </c>
      <c r="X2090" s="24" t="s">
        <v>13791</v>
      </c>
      <c r="Y2090" s="15" t="s">
        <v>19571</v>
      </c>
      <c r="Z2090" s="15" t="s">
        <v>19572</v>
      </c>
      <c r="AA2090" s="24"/>
      <c r="AB2090" s="24"/>
      <c r="AC2090" s="24"/>
      <c r="AD2090" s="24"/>
      <c r="AE2090" s="24"/>
      <c r="AF2090" s="24"/>
      <c r="AG2090" s="24"/>
      <c r="AH2090" s="24"/>
    </row>
    <row r="2091" spans="1:34" ht="45" x14ac:dyDescent="0.25">
      <c r="A2091" s="24" t="str">
        <f>HYPERLINK("https://www.cpso.on.ca/DoctorDetails/Sanjeev-Sharma/0321683-114561","Sharma, Sanjeev")</f>
        <v>Sharma, Sanjeev</v>
      </c>
      <c r="B2091" s="25" t="s">
        <v>19573</v>
      </c>
      <c r="C2091" s="24" t="s">
        <v>19574</v>
      </c>
      <c r="D2091" s="24" t="s">
        <v>19575</v>
      </c>
      <c r="E2091" s="24" t="s">
        <v>29</v>
      </c>
      <c r="F2091" s="24" t="s">
        <v>30</v>
      </c>
      <c r="G2091" s="24" t="s">
        <v>31</v>
      </c>
      <c r="H2091" s="24" t="s">
        <v>19576</v>
      </c>
      <c r="I2091" s="24" t="s">
        <v>19577</v>
      </c>
      <c r="J2091" s="24"/>
      <c r="K2091" s="24"/>
      <c r="L2091" s="24" t="s">
        <v>340</v>
      </c>
      <c r="M2091" s="15"/>
      <c r="N2091" s="15"/>
      <c r="O2091" s="15"/>
      <c r="P2091" s="15" t="s">
        <v>19578</v>
      </c>
      <c r="Q2091" s="15"/>
      <c r="R2091" s="15" t="s">
        <v>19579</v>
      </c>
      <c r="S2091" s="24" t="s">
        <v>71</v>
      </c>
      <c r="T2091" s="24" t="s">
        <v>39</v>
      </c>
      <c r="U2091" s="24" t="s">
        <v>39</v>
      </c>
      <c r="V2091" s="24" t="s">
        <v>39</v>
      </c>
      <c r="W2091" s="24"/>
      <c r="X2091" s="24"/>
      <c r="Y2091" s="15"/>
      <c r="Z2091" s="15"/>
      <c r="AA2091" s="24"/>
      <c r="AB2091" s="24"/>
      <c r="AC2091" s="24"/>
      <c r="AD2091" s="24"/>
      <c r="AE2091" s="24"/>
      <c r="AF2091" s="24"/>
      <c r="AG2091" s="24"/>
      <c r="AH2091" s="24"/>
    </row>
    <row r="2092" spans="1:34" ht="105" x14ac:dyDescent="0.25">
      <c r="A2092" s="24" t="str">
        <f>HYPERLINK("https://www.cpso.on.ca/DoctorDetails/Sanjeev-Sockalingam/0203402-79231","Sockalingam, Sanjeev")</f>
        <v>Sockalingam, Sanjeev</v>
      </c>
      <c r="B2092" s="25" t="s">
        <v>19580</v>
      </c>
      <c r="C2092" s="24" t="s">
        <v>871</v>
      </c>
      <c r="D2092" s="24" t="s">
        <v>872</v>
      </c>
      <c r="E2092" s="24" t="s">
        <v>29</v>
      </c>
      <c r="F2092" s="24" t="s">
        <v>30</v>
      </c>
      <c r="G2092" s="24" t="s">
        <v>31</v>
      </c>
      <c r="H2092" s="24" t="s">
        <v>19581</v>
      </c>
      <c r="I2092" s="24" t="s">
        <v>19582</v>
      </c>
      <c r="J2092" s="24" t="s">
        <v>19583</v>
      </c>
      <c r="K2092" s="24" t="s">
        <v>486</v>
      </c>
      <c r="L2092" s="24" t="s">
        <v>52</v>
      </c>
      <c r="M2092" s="15"/>
      <c r="N2092" s="15"/>
      <c r="O2092" s="15" t="s">
        <v>19584</v>
      </c>
      <c r="P2092" s="15" t="s">
        <v>880</v>
      </c>
      <c r="Q2092" s="15" t="s">
        <v>1607</v>
      </c>
      <c r="R2092" s="15" t="s">
        <v>882</v>
      </c>
      <c r="S2092" s="24" t="s">
        <v>39</v>
      </c>
      <c r="T2092" s="24" t="s">
        <v>39</v>
      </c>
      <c r="U2092" s="24" t="s">
        <v>39</v>
      </c>
      <c r="V2092" s="24" t="s">
        <v>39</v>
      </c>
      <c r="W2092" s="24" t="s">
        <v>19585</v>
      </c>
      <c r="X2092" s="24" t="s">
        <v>12324</v>
      </c>
      <c r="Y2092" s="15" t="s">
        <v>19586</v>
      </c>
      <c r="Z2092" s="15" t="s">
        <v>19587</v>
      </c>
      <c r="AA2092" s="24"/>
      <c r="AB2092" s="24"/>
      <c r="AC2092" s="24"/>
      <c r="AD2092" s="24"/>
      <c r="AE2092" s="24"/>
      <c r="AF2092" s="24"/>
      <c r="AG2092" s="24"/>
      <c r="AH2092" s="24"/>
    </row>
    <row r="2093" spans="1:34" ht="90" x14ac:dyDescent="0.25">
      <c r="A2093" s="24" t="str">
        <f>HYPERLINK("https://www.cpso.on.ca/DoctorDetails/Sanjiv-Kumar-Gulati/0256441-92682","Gulati, Sanjiv Kumar")</f>
        <v>Gulati, Sanjiv Kumar</v>
      </c>
      <c r="B2093" s="25" t="s">
        <v>19588</v>
      </c>
      <c r="C2093" s="24" t="s">
        <v>19589</v>
      </c>
      <c r="D2093" s="24" t="s">
        <v>19590</v>
      </c>
      <c r="E2093" s="24" t="s">
        <v>29</v>
      </c>
      <c r="F2093" s="24" t="s">
        <v>30</v>
      </c>
      <c r="G2093" s="24" t="s">
        <v>691</v>
      </c>
      <c r="H2093" s="24" t="s">
        <v>19591</v>
      </c>
      <c r="I2093" s="24" t="s">
        <v>19592</v>
      </c>
      <c r="J2093" s="24" t="s">
        <v>19593</v>
      </c>
      <c r="K2093" s="24" t="s">
        <v>19594</v>
      </c>
      <c r="L2093" s="24" t="s">
        <v>340</v>
      </c>
      <c r="M2093" s="15"/>
      <c r="N2093" s="15" t="s">
        <v>398</v>
      </c>
      <c r="O2093" s="15" t="s">
        <v>3338</v>
      </c>
      <c r="P2093" s="15" t="s">
        <v>19595</v>
      </c>
      <c r="Q2093" s="15"/>
      <c r="R2093" s="15" t="s">
        <v>19596</v>
      </c>
      <c r="S2093" s="24" t="s">
        <v>71</v>
      </c>
      <c r="T2093" s="24" t="s">
        <v>39</v>
      </c>
      <c r="U2093" s="24" t="s">
        <v>39</v>
      </c>
      <c r="V2093" s="24" t="s">
        <v>39</v>
      </c>
      <c r="W2093" s="24" t="s">
        <v>19597</v>
      </c>
      <c r="X2093" s="24" t="s">
        <v>19598</v>
      </c>
      <c r="Y2093" s="15" t="s">
        <v>19599</v>
      </c>
      <c r="Z2093" s="15" t="s">
        <v>19600</v>
      </c>
      <c r="AA2093" s="24"/>
      <c r="AB2093" s="24"/>
      <c r="AC2093" s="24"/>
      <c r="AD2093" s="24"/>
      <c r="AE2093" s="24"/>
      <c r="AF2093" s="24"/>
      <c r="AG2093" s="24"/>
      <c r="AH2093" s="24"/>
    </row>
    <row r="2094" spans="1:34" ht="90" x14ac:dyDescent="0.25">
      <c r="A2094" s="24" t="str">
        <f>HYPERLINK("https://www.cpso.on.ca/DoctorDetails/Sarah-Alice-Armstrong/0257026-91773","Armstrong, Sarah Alice")</f>
        <v>Armstrong, Sarah Alice</v>
      </c>
      <c r="B2094" s="25" t="s">
        <v>19601</v>
      </c>
      <c r="C2094" s="24" t="s">
        <v>19602</v>
      </c>
      <c r="D2094" s="24" t="s">
        <v>19603</v>
      </c>
      <c r="E2094" s="24" t="s">
        <v>29</v>
      </c>
      <c r="F2094" s="24" t="s">
        <v>47</v>
      </c>
      <c r="G2094" s="24" t="s">
        <v>31</v>
      </c>
      <c r="H2094" s="24" t="s">
        <v>19604</v>
      </c>
      <c r="I2094" s="24" t="s">
        <v>19605</v>
      </c>
      <c r="J2094" s="24" t="s">
        <v>18459</v>
      </c>
      <c r="K2094" s="24"/>
      <c r="L2094" s="24" t="s">
        <v>135</v>
      </c>
      <c r="M2094" s="15" t="s">
        <v>19606</v>
      </c>
      <c r="N2094" s="15"/>
      <c r="O2094" s="15" t="s">
        <v>913</v>
      </c>
      <c r="P2094" s="15" t="s">
        <v>19607</v>
      </c>
      <c r="Q2094" s="15"/>
      <c r="R2094" s="15" t="s">
        <v>19608</v>
      </c>
      <c r="S2094" s="24" t="s">
        <v>39</v>
      </c>
      <c r="T2094" s="24" t="s">
        <v>39</v>
      </c>
      <c r="U2094" s="24" t="s">
        <v>39</v>
      </c>
      <c r="V2094" s="24" t="s">
        <v>39</v>
      </c>
      <c r="W2094" s="24"/>
      <c r="X2094" s="24"/>
      <c r="Y2094" s="15"/>
      <c r="Z2094" s="15"/>
      <c r="AA2094" s="24"/>
      <c r="AB2094" s="24"/>
      <c r="AC2094" s="24"/>
      <c r="AD2094" s="24"/>
      <c r="AE2094" s="24"/>
      <c r="AF2094" s="24"/>
      <c r="AG2094" s="24"/>
      <c r="AH2094" s="24"/>
    </row>
    <row r="2095" spans="1:34" ht="135" x14ac:dyDescent="0.25">
      <c r="A2095" s="24" t="str">
        <f>HYPERLINK("https://www.cpso.on.ca/DoctorDetails/Sarah-Anne-Colman/0232772-84644","Colman, Sarah Anne")</f>
        <v>Colman, Sarah Anne</v>
      </c>
      <c r="B2095" s="25" t="s">
        <v>19609</v>
      </c>
      <c r="C2095" s="24" t="s">
        <v>647</v>
      </c>
      <c r="D2095" s="24" t="s">
        <v>600</v>
      </c>
      <c r="E2095" s="24" t="s">
        <v>29</v>
      </c>
      <c r="F2095" s="24" t="s">
        <v>47</v>
      </c>
      <c r="G2095" s="24" t="s">
        <v>31</v>
      </c>
      <c r="H2095" s="24" t="s">
        <v>649</v>
      </c>
      <c r="I2095" s="24" t="s">
        <v>2651</v>
      </c>
      <c r="J2095" s="24" t="s">
        <v>1262</v>
      </c>
      <c r="K2095" s="24"/>
      <c r="L2095" s="24" t="s">
        <v>52</v>
      </c>
      <c r="M2095" s="15"/>
      <c r="N2095" s="15"/>
      <c r="O2095" s="15" t="s">
        <v>842</v>
      </c>
      <c r="P2095" s="15" t="s">
        <v>19610</v>
      </c>
      <c r="Q2095" s="15" t="s">
        <v>19611</v>
      </c>
      <c r="R2095" s="15" t="s">
        <v>3620</v>
      </c>
      <c r="S2095" s="24" t="s">
        <v>39</v>
      </c>
      <c r="T2095" s="24" t="s">
        <v>39</v>
      </c>
      <c r="U2095" s="24" t="s">
        <v>39</v>
      </c>
      <c r="V2095" s="24" t="s">
        <v>39</v>
      </c>
      <c r="W2095" s="24"/>
      <c r="X2095" s="24"/>
      <c r="Y2095" s="15"/>
      <c r="Z2095" s="15"/>
      <c r="AA2095" s="24"/>
      <c r="AB2095" s="24"/>
      <c r="AC2095" s="24"/>
      <c r="AD2095" s="24"/>
      <c r="AE2095" s="24"/>
      <c r="AF2095" s="24"/>
      <c r="AG2095" s="24"/>
      <c r="AH2095" s="24"/>
    </row>
    <row r="2096" spans="1:34" ht="120" x14ac:dyDescent="0.25">
      <c r="A2096" s="24" t="str">
        <f>HYPERLINK("https://www.cpso.on.ca/DoctorDetails/Sarah-Anne-Hales/0168982-75297","Hales, Sarah Anne")</f>
        <v>Hales, Sarah Anne</v>
      </c>
      <c r="B2096" s="25" t="s">
        <v>19612</v>
      </c>
      <c r="C2096" s="24" t="s">
        <v>3642</v>
      </c>
      <c r="D2096" s="24" t="s">
        <v>1234</v>
      </c>
      <c r="E2096" s="24" t="s">
        <v>29</v>
      </c>
      <c r="F2096" s="24" t="s">
        <v>47</v>
      </c>
      <c r="G2096" s="24" t="s">
        <v>31</v>
      </c>
      <c r="H2096" s="24" t="s">
        <v>3333</v>
      </c>
      <c r="I2096" s="24" t="s">
        <v>19613</v>
      </c>
      <c r="J2096" s="24" t="s">
        <v>19614</v>
      </c>
      <c r="K2096" s="24" t="s">
        <v>7631</v>
      </c>
      <c r="L2096" s="24" t="s">
        <v>52</v>
      </c>
      <c r="M2096" s="15"/>
      <c r="N2096" s="15"/>
      <c r="O2096" s="15" t="s">
        <v>5784</v>
      </c>
      <c r="P2096" s="15" t="s">
        <v>1239</v>
      </c>
      <c r="Q2096" s="15" t="s">
        <v>19615</v>
      </c>
      <c r="R2096" s="15" t="s">
        <v>3649</v>
      </c>
      <c r="S2096" s="24" t="s">
        <v>39</v>
      </c>
      <c r="T2096" s="24" t="s">
        <v>39</v>
      </c>
      <c r="U2096" s="24" t="s">
        <v>39</v>
      </c>
      <c r="V2096" s="24" t="s">
        <v>39</v>
      </c>
      <c r="W2096" s="24"/>
      <c r="X2096" s="24"/>
      <c r="Y2096" s="15"/>
      <c r="Z2096" s="15"/>
      <c r="AA2096" s="24"/>
      <c r="AB2096" s="24"/>
      <c r="AC2096" s="24"/>
      <c r="AD2096" s="24"/>
      <c r="AE2096" s="24"/>
      <c r="AF2096" s="24"/>
      <c r="AG2096" s="24"/>
      <c r="AH2096" s="24"/>
    </row>
    <row r="2097" spans="1:34" ht="90" x14ac:dyDescent="0.25">
      <c r="A2097" s="24" t="str">
        <f>HYPERLINK("https://www.cpso.on.ca/DoctorDetails/Sarah-Ashley-Russell/0288313-101101","Russell, Sarah Ashley")</f>
        <v>Russell, Sarah Ashley</v>
      </c>
      <c r="B2097" s="25" t="s">
        <v>19616</v>
      </c>
      <c r="C2097" s="24" t="s">
        <v>199</v>
      </c>
      <c r="D2097" s="24" t="s">
        <v>200</v>
      </c>
      <c r="E2097" s="24" t="s">
        <v>29</v>
      </c>
      <c r="F2097" s="24" t="s">
        <v>47</v>
      </c>
      <c r="G2097" s="24" t="s">
        <v>31</v>
      </c>
      <c r="H2097" s="24" t="s">
        <v>19617</v>
      </c>
      <c r="I2097" s="24" t="s">
        <v>11662</v>
      </c>
      <c r="J2097" s="24" t="s">
        <v>992</v>
      </c>
      <c r="K2097" s="24"/>
      <c r="L2097" s="24" t="s">
        <v>84</v>
      </c>
      <c r="M2097" s="15"/>
      <c r="N2097" s="15"/>
      <c r="O2097" s="15"/>
      <c r="P2097" s="15" t="s">
        <v>205</v>
      </c>
      <c r="Q2097" s="15" t="s">
        <v>13762</v>
      </c>
      <c r="R2097" s="15" t="s">
        <v>207</v>
      </c>
      <c r="S2097" s="24" t="s">
        <v>39</v>
      </c>
      <c r="T2097" s="24" t="s">
        <v>39</v>
      </c>
      <c r="U2097" s="24" t="s">
        <v>39</v>
      </c>
      <c r="V2097" s="24" t="s">
        <v>39</v>
      </c>
      <c r="W2097" s="24"/>
      <c r="X2097" s="24"/>
      <c r="Y2097" s="15"/>
      <c r="Z2097" s="15"/>
      <c r="AA2097" s="24"/>
      <c r="AB2097" s="24"/>
      <c r="AC2097" s="24"/>
      <c r="AD2097" s="24"/>
      <c r="AE2097" s="24"/>
      <c r="AF2097" s="24"/>
      <c r="AG2097" s="24"/>
      <c r="AH2097" s="24"/>
    </row>
    <row r="2098" spans="1:34" ht="90" x14ac:dyDescent="0.25">
      <c r="A2098" s="24" t="str">
        <f>HYPERLINK("https://www.cpso.on.ca/DoctorDetails/Sarah-Badar-Danial/0051791-65770","Danial, Sarah Badar")</f>
        <v>Danial, Sarah Badar</v>
      </c>
      <c r="B2098" s="25" t="s">
        <v>19618</v>
      </c>
      <c r="C2098" s="24" t="s">
        <v>9864</v>
      </c>
      <c r="D2098" s="24" t="s">
        <v>12898</v>
      </c>
      <c r="E2098" s="15" t="s">
        <v>19619</v>
      </c>
      <c r="F2098" s="24" t="s">
        <v>47</v>
      </c>
      <c r="G2098" s="24" t="s">
        <v>31</v>
      </c>
      <c r="H2098" s="24" t="s">
        <v>10656</v>
      </c>
      <c r="I2098" s="24" t="s">
        <v>19620</v>
      </c>
      <c r="J2098" s="24" t="s">
        <v>19621</v>
      </c>
      <c r="K2098" s="24" t="s">
        <v>19622</v>
      </c>
      <c r="L2098" s="24" t="s">
        <v>184</v>
      </c>
      <c r="M2098" s="15" t="s">
        <v>19623</v>
      </c>
      <c r="N2098" s="15" t="s">
        <v>16284</v>
      </c>
      <c r="O2098" s="15"/>
      <c r="P2098" s="15" t="s">
        <v>303</v>
      </c>
      <c r="Q2098" s="15" t="s">
        <v>19624</v>
      </c>
      <c r="R2098" s="15" t="s">
        <v>12902</v>
      </c>
      <c r="S2098" s="24" t="s">
        <v>39</v>
      </c>
      <c r="T2098" s="24" t="s">
        <v>39</v>
      </c>
      <c r="U2098" s="24" t="s">
        <v>39</v>
      </c>
      <c r="V2098" s="24" t="s">
        <v>39</v>
      </c>
      <c r="W2098" s="24" t="s">
        <v>19625</v>
      </c>
      <c r="X2098" s="24" t="s">
        <v>19626</v>
      </c>
      <c r="Y2098" s="15"/>
      <c r="Z2098" s="15"/>
      <c r="AA2098" s="24"/>
      <c r="AB2098" s="24"/>
      <c r="AC2098" s="24"/>
      <c r="AD2098" s="24"/>
      <c r="AE2098" s="24"/>
      <c r="AF2098" s="24"/>
      <c r="AG2098" s="24"/>
      <c r="AH2098" s="24"/>
    </row>
    <row r="2099" spans="1:34" ht="75" x14ac:dyDescent="0.25">
      <c r="A2099" s="24" t="str">
        <f>HYPERLINK("https://www.cpso.on.ca/DoctorDetails/Sarah-Beverly-Jean-Penfold/0281374-97974","Penfold, Sarah Beverly Jean")</f>
        <v>Penfold, Sarah Beverly Jean</v>
      </c>
      <c r="B2099" s="25" t="s">
        <v>19627</v>
      </c>
      <c r="C2099" s="24" t="s">
        <v>544</v>
      </c>
      <c r="D2099" s="24" t="s">
        <v>545</v>
      </c>
      <c r="E2099" s="24" t="s">
        <v>29</v>
      </c>
      <c r="F2099" s="24" t="s">
        <v>47</v>
      </c>
      <c r="G2099" s="24" t="s">
        <v>31</v>
      </c>
      <c r="H2099" s="24" t="s">
        <v>11771</v>
      </c>
      <c r="I2099" s="24" t="s">
        <v>19628</v>
      </c>
      <c r="J2099" s="24" t="s">
        <v>6099</v>
      </c>
      <c r="K2099" s="24" t="s">
        <v>5365</v>
      </c>
      <c r="L2099" s="24" t="s">
        <v>328</v>
      </c>
      <c r="M2099" s="15"/>
      <c r="N2099" s="15"/>
      <c r="O2099" s="15" t="s">
        <v>329</v>
      </c>
      <c r="P2099" s="15" t="s">
        <v>550</v>
      </c>
      <c r="Q2099" s="15" t="s">
        <v>19629</v>
      </c>
      <c r="R2099" s="15" t="s">
        <v>552</v>
      </c>
      <c r="S2099" s="24" t="s">
        <v>39</v>
      </c>
      <c r="T2099" s="24" t="s">
        <v>39</v>
      </c>
      <c r="U2099" s="24" t="s">
        <v>39</v>
      </c>
      <c r="V2099" s="24" t="s">
        <v>39</v>
      </c>
      <c r="W2099" s="24"/>
      <c r="X2099" s="24"/>
      <c r="Y2099" s="15"/>
      <c r="Z2099" s="15"/>
      <c r="AA2099" s="24"/>
      <c r="AB2099" s="24"/>
      <c r="AC2099" s="24"/>
      <c r="AD2099" s="24"/>
      <c r="AE2099" s="24"/>
      <c r="AF2099" s="24"/>
      <c r="AG2099" s="24"/>
      <c r="AH2099" s="24"/>
    </row>
    <row r="2100" spans="1:34" ht="75" x14ac:dyDescent="0.25">
      <c r="A2100" s="24" t="str">
        <f>HYPERLINK("https://www.cpso.on.ca/DoctorDetails/Sarah-Helen-Jarmain/0052720-66684","Jarmain, Sarah Helen")</f>
        <v>Jarmain, Sarah Helen</v>
      </c>
      <c r="B2100" s="25" t="s">
        <v>19630</v>
      </c>
      <c r="C2100" s="24" t="s">
        <v>836</v>
      </c>
      <c r="D2100" s="24" t="s">
        <v>837</v>
      </c>
      <c r="E2100" s="24" t="s">
        <v>29</v>
      </c>
      <c r="F2100" s="24" t="s">
        <v>47</v>
      </c>
      <c r="G2100" s="24" t="s">
        <v>31</v>
      </c>
      <c r="H2100" s="24" t="s">
        <v>4768</v>
      </c>
      <c r="I2100" s="24" t="s">
        <v>19631</v>
      </c>
      <c r="J2100" s="24" t="s">
        <v>19632</v>
      </c>
      <c r="K2100" s="24" t="s">
        <v>19633</v>
      </c>
      <c r="L2100" s="24" t="s">
        <v>135</v>
      </c>
      <c r="M2100" s="15" t="s">
        <v>19634</v>
      </c>
      <c r="N2100" s="15"/>
      <c r="O2100" s="15" t="s">
        <v>19635</v>
      </c>
      <c r="P2100" s="15" t="s">
        <v>303</v>
      </c>
      <c r="Q2100" s="15" t="s">
        <v>1937</v>
      </c>
      <c r="R2100" s="15" t="s">
        <v>844</v>
      </c>
      <c r="S2100" s="24" t="s">
        <v>39</v>
      </c>
      <c r="T2100" s="24" t="s">
        <v>39</v>
      </c>
      <c r="U2100" s="24" t="s">
        <v>39</v>
      </c>
      <c r="V2100" s="24" t="s">
        <v>39</v>
      </c>
      <c r="W2100" s="24"/>
      <c r="X2100" s="24"/>
      <c r="Y2100" s="15"/>
      <c r="Z2100" s="15"/>
      <c r="AA2100" s="24"/>
      <c r="AB2100" s="24"/>
      <c r="AC2100" s="24"/>
      <c r="AD2100" s="24"/>
      <c r="AE2100" s="24"/>
      <c r="AF2100" s="24"/>
      <c r="AG2100" s="24"/>
      <c r="AH2100" s="24"/>
    </row>
    <row r="2101" spans="1:34" ht="120" x14ac:dyDescent="0.25">
      <c r="A2101" s="24" t="str">
        <f>HYPERLINK("https://www.cpso.on.ca/DoctorDetails/Sarah-Louise-Garside/0057745-69333","Garside, Sarah Louise")</f>
        <v>Garside, Sarah Louise</v>
      </c>
      <c r="B2101" s="25" t="s">
        <v>19636</v>
      </c>
      <c r="C2101" s="24" t="s">
        <v>9044</v>
      </c>
      <c r="D2101" s="24" t="s">
        <v>9045</v>
      </c>
      <c r="E2101" s="24" t="s">
        <v>29</v>
      </c>
      <c r="F2101" s="24" t="s">
        <v>47</v>
      </c>
      <c r="G2101" s="24" t="s">
        <v>31</v>
      </c>
      <c r="H2101" s="24" t="s">
        <v>3932</v>
      </c>
      <c r="I2101" s="24" t="s">
        <v>19637</v>
      </c>
      <c r="J2101" s="24" t="s">
        <v>19638</v>
      </c>
      <c r="K2101" s="24" t="s">
        <v>19639</v>
      </c>
      <c r="L2101" s="24" t="s">
        <v>184</v>
      </c>
      <c r="M2101" s="15" t="s">
        <v>19640</v>
      </c>
      <c r="N2101" s="15"/>
      <c r="O2101" s="15" t="s">
        <v>19641</v>
      </c>
      <c r="P2101" s="15" t="s">
        <v>1111</v>
      </c>
      <c r="Q2101" s="15" t="s">
        <v>19642</v>
      </c>
      <c r="R2101" s="15" t="s">
        <v>19643</v>
      </c>
      <c r="S2101" s="24" t="s">
        <v>39</v>
      </c>
      <c r="T2101" s="24" t="s">
        <v>39</v>
      </c>
      <c r="U2101" s="24" t="s">
        <v>39</v>
      </c>
      <c r="V2101" s="24" t="s">
        <v>39</v>
      </c>
      <c r="W2101" s="24" t="s">
        <v>19644</v>
      </c>
      <c r="X2101" s="24" t="s">
        <v>276</v>
      </c>
      <c r="Y2101" s="15" t="s">
        <v>19645</v>
      </c>
      <c r="Z2101" s="15" t="s">
        <v>19646</v>
      </c>
      <c r="AA2101" s="24"/>
      <c r="AB2101" s="24"/>
      <c r="AC2101" s="24"/>
      <c r="AD2101" s="24"/>
      <c r="AE2101" s="24"/>
      <c r="AF2101" s="24"/>
      <c r="AG2101" s="24"/>
      <c r="AH2101" s="24"/>
    </row>
    <row r="2102" spans="1:34" ht="210" x14ac:dyDescent="0.25">
      <c r="A2102" s="24" t="str">
        <f>HYPERLINK("https://www.cpso.on.ca/DoctorDetails/Sarah-M-Y-J-D-J-Alderbas/0278735-97492","Alderbas, Sarah M Y J D J")</f>
        <v>Alderbas, Sarah M Y J D J</v>
      </c>
      <c r="B2102" s="25" t="s">
        <v>19647</v>
      </c>
      <c r="C2102" s="24" t="s">
        <v>19648</v>
      </c>
      <c r="D2102" s="24" t="s">
        <v>19649</v>
      </c>
      <c r="E2102" s="24" t="s">
        <v>29</v>
      </c>
      <c r="F2102" s="24" t="s">
        <v>47</v>
      </c>
      <c r="G2102" s="24" t="s">
        <v>31</v>
      </c>
      <c r="H2102" s="24" t="s">
        <v>19650</v>
      </c>
      <c r="I2102" s="24" t="s">
        <v>353</v>
      </c>
      <c r="J2102" s="24" t="s">
        <v>19651</v>
      </c>
      <c r="K2102" s="24"/>
      <c r="L2102" s="24" t="s">
        <v>52</v>
      </c>
      <c r="M2102" s="15"/>
      <c r="N2102" s="15"/>
      <c r="O2102" s="15"/>
      <c r="P2102" s="15" t="s">
        <v>16706</v>
      </c>
      <c r="Q2102" s="15" t="s">
        <v>19652</v>
      </c>
      <c r="R2102" s="15" t="s">
        <v>19653</v>
      </c>
      <c r="S2102" s="24" t="s">
        <v>39</v>
      </c>
      <c r="T2102" s="24" t="s">
        <v>39</v>
      </c>
      <c r="U2102" s="24" t="s">
        <v>39</v>
      </c>
      <c r="V2102" s="24" t="s">
        <v>39</v>
      </c>
      <c r="W2102" s="24"/>
      <c r="X2102" s="24"/>
      <c r="Y2102" s="15"/>
      <c r="Z2102" s="15"/>
      <c r="AA2102" s="24"/>
      <c r="AB2102" s="24"/>
      <c r="AC2102" s="24"/>
      <c r="AD2102" s="24"/>
      <c r="AE2102" s="24"/>
      <c r="AF2102" s="24"/>
      <c r="AG2102" s="24"/>
      <c r="AH2102" s="24"/>
    </row>
    <row r="2103" spans="1:34" ht="150" x14ac:dyDescent="0.25">
      <c r="A2103" s="24" t="str">
        <f>HYPERLINK("https://www.cpso.on.ca/DoctorDetails/Sarah-Marie-Francoise-Halliday/0181359-76256","Halliday, Sarah Marie Francoise")</f>
        <v>Halliday, Sarah Marie Francoise</v>
      </c>
      <c r="B2103" s="25" t="s">
        <v>19654</v>
      </c>
      <c r="C2103" s="24" t="s">
        <v>19655</v>
      </c>
      <c r="D2103" s="24" t="s">
        <v>19656</v>
      </c>
      <c r="E2103" s="24" t="s">
        <v>29</v>
      </c>
      <c r="F2103" s="24" t="s">
        <v>47</v>
      </c>
      <c r="G2103" s="24" t="s">
        <v>813</v>
      </c>
      <c r="H2103" s="24" t="s">
        <v>12386</v>
      </c>
      <c r="I2103" s="24" t="s">
        <v>708</v>
      </c>
      <c r="J2103" s="24" t="s">
        <v>2935</v>
      </c>
      <c r="K2103" s="24" t="s">
        <v>1613</v>
      </c>
      <c r="L2103" s="24" t="s">
        <v>84</v>
      </c>
      <c r="M2103" s="15"/>
      <c r="N2103" s="15"/>
      <c r="O2103" s="15" t="s">
        <v>19657</v>
      </c>
      <c r="P2103" s="15" t="s">
        <v>19658</v>
      </c>
      <c r="Q2103" s="15" t="s">
        <v>19659</v>
      </c>
      <c r="R2103" s="15" t="s">
        <v>19660</v>
      </c>
      <c r="S2103" s="24" t="s">
        <v>39</v>
      </c>
      <c r="T2103" s="24" t="s">
        <v>39</v>
      </c>
      <c r="U2103" s="24" t="s">
        <v>39</v>
      </c>
      <c r="V2103" s="24" t="s">
        <v>39</v>
      </c>
      <c r="W2103" s="24" t="s">
        <v>19661</v>
      </c>
      <c r="X2103" s="24" t="s">
        <v>15592</v>
      </c>
      <c r="Y2103" s="15" t="s">
        <v>19662</v>
      </c>
      <c r="Z2103" s="15" t="s">
        <v>718</v>
      </c>
      <c r="AA2103" s="24"/>
      <c r="AB2103" s="24"/>
      <c r="AC2103" s="24"/>
      <c r="AD2103" s="24"/>
      <c r="AE2103" s="24"/>
      <c r="AF2103" s="24"/>
      <c r="AG2103" s="24"/>
      <c r="AH2103" s="24"/>
    </row>
    <row r="2104" spans="1:34" ht="120" x14ac:dyDescent="0.25">
      <c r="A2104" s="24" t="str">
        <f>HYPERLINK("https://www.cpso.on.ca/DoctorDetails/Sarah-Mishelle-McIntyreStewart/0257387-90605","McIntyre-Stewart, Sarah Mishelle")</f>
        <v>McIntyre-Stewart, Sarah Mishelle</v>
      </c>
      <c r="B2104" s="25" t="s">
        <v>19663</v>
      </c>
      <c r="C2104" s="24" t="s">
        <v>19664</v>
      </c>
      <c r="D2104" s="24" t="s">
        <v>19665</v>
      </c>
      <c r="E2104" s="24" t="s">
        <v>29</v>
      </c>
      <c r="F2104" s="24" t="s">
        <v>47</v>
      </c>
      <c r="G2104" s="24" t="s">
        <v>31</v>
      </c>
      <c r="H2104" s="24" t="s">
        <v>4225</v>
      </c>
      <c r="I2104" s="24" t="s">
        <v>19666</v>
      </c>
      <c r="J2104" s="24" t="s">
        <v>1262</v>
      </c>
      <c r="K2104" s="24"/>
      <c r="L2104" s="24" t="s">
        <v>52</v>
      </c>
      <c r="M2104" s="15" t="s">
        <v>19667</v>
      </c>
      <c r="N2104" s="15"/>
      <c r="O2104" s="15" t="s">
        <v>793</v>
      </c>
      <c r="P2104" s="15" t="s">
        <v>19668</v>
      </c>
      <c r="Q2104" s="15" t="s">
        <v>19669</v>
      </c>
      <c r="R2104" s="15" t="s">
        <v>19670</v>
      </c>
      <c r="S2104" s="24" t="s">
        <v>39</v>
      </c>
      <c r="T2104" s="24" t="s">
        <v>39</v>
      </c>
      <c r="U2104" s="24" t="s">
        <v>39</v>
      </c>
      <c r="V2104" s="24" t="s">
        <v>39</v>
      </c>
      <c r="W2104" s="24"/>
      <c r="X2104" s="24"/>
      <c r="Y2104" s="15"/>
      <c r="Z2104" s="15"/>
      <c r="AA2104" s="24"/>
      <c r="AB2104" s="24"/>
      <c r="AC2104" s="24"/>
      <c r="AD2104" s="24"/>
      <c r="AE2104" s="24"/>
      <c r="AF2104" s="24"/>
      <c r="AG2104" s="24"/>
      <c r="AH2104" s="24"/>
    </row>
    <row r="2105" spans="1:34" ht="45" x14ac:dyDescent="0.25">
      <c r="A2105" s="24" t="str">
        <f>HYPERLINK("https://www.cpso.on.ca/DoctorDetails/Sarah-SiuLai-Chan/0294759-102746","Chan, Sarah Siu-Lai")</f>
        <v>Chan, Sarah Siu-Lai</v>
      </c>
      <c r="B2105" s="25" t="s">
        <v>19671</v>
      </c>
      <c r="C2105" s="24" t="s">
        <v>16368</v>
      </c>
      <c r="D2105" s="24" t="s">
        <v>16369</v>
      </c>
      <c r="E2105" s="24" t="s">
        <v>29</v>
      </c>
      <c r="F2105" s="24" t="s">
        <v>47</v>
      </c>
      <c r="G2105" s="24" t="s">
        <v>31</v>
      </c>
      <c r="H2105" s="24" t="s">
        <v>968</v>
      </c>
      <c r="I2105" s="24" t="s">
        <v>19672</v>
      </c>
      <c r="J2105" s="24" t="s">
        <v>19673</v>
      </c>
      <c r="K2105" s="24"/>
      <c r="L2105" s="24" t="s">
        <v>84</v>
      </c>
      <c r="M2105" s="15" t="s">
        <v>19674</v>
      </c>
      <c r="N2105" s="15"/>
      <c r="O2105" s="15" t="s">
        <v>3289</v>
      </c>
      <c r="P2105" s="15" t="s">
        <v>629</v>
      </c>
      <c r="Q2105" s="15" t="s">
        <v>19675</v>
      </c>
      <c r="R2105" s="15" t="s">
        <v>19676</v>
      </c>
      <c r="S2105" s="24" t="s">
        <v>39</v>
      </c>
      <c r="T2105" s="24" t="s">
        <v>39</v>
      </c>
      <c r="U2105" s="24" t="s">
        <v>39</v>
      </c>
      <c r="V2105" s="24" t="s">
        <v>39</v>
      </c>
      <c r="W2105" s="24" t="s">
        <v>19677</v>
      </c>
      <c r="X2105" s="24" t="s">
        <v>19678</v>
      </c>
      <c r="Y2105" s="15" t="s">
        <v>19679</v>
      </c>
      <c r="Z2105" s="15" t="s">
        <v>19680</v>
      </c>
      <c r="AA2105" s="24"/>
      <c r="AB2105" s="24"/>
      <c r="AC2105" s="24"/>
      <c r="AD2105" s="24"/>
      <c r="AE2105" s="24"/>
      <c r="AF2105" s="24"/>
      <c r="AG2105" s="24"/>
      <c r="AH2105" s="24"/>
    </row>
    <row r="2106" spans="1:34" ht="75" x14ac:dyDescent="0.25">
      <c r="A2106" s="24" t="str">
        <f>HYPERLINK("https://www.cpso.on.ca/DoctorDetails/Sarina-Messina/0050196-64175","Messina, Sarina")</f>
        <v>Messina, Sarina</v>
      </c>
      <c r="B2106" s="25" t="s">
        <v>19681</v>
      </c>
      <c r="C2106" s="24" t="s">
        <v>19682</v>
      </c>
      <c r="D2106" s="24" t="s">
        <v>19683</v>
      </c>
      <c r="E2106" s="24" t="s">
        <v>29</v>
      </c>
      <c r="F2106" s="24" t="s">
        <v>47</v>
      </c>
      <c r="G2106" s="24" t="s">
        <v>813</v>
      </c>
      <c r="H2106" s="24" t="s">
        <v>1910</v>
      </c>
      <c r="I2106" s="24" t="s">
        <v>19684</v>
      </c>
      <c r="J2106" s="24" t="s">
        <v>19685</v>
      </c>
      <c r="K2106" s="24" t="s">
        <v>19686</v>
      </c>
      <c r="L2106" s="24" t="s">
        <v>84</v>
      </c>
      <c r="M2106" s="15"/>
      <c r="N2106" s="15"/>
      <c r="O2106" s="15"/>
      <c r="P2106" s="15" t="s">
        <v>19687</v>
      </c>
      <c r="Q2106" s="15" t="s">
        <v>19688</v>
      </c>
      <c r="R2106" s="15" t="s">
        <v>19689</v>
      </c>
      <c r="S2106" s="24" t="s">
        <v>39</v>
      </c>
      <c r="T2106" s="24" t="s">
        <v>39</v>
      </c>
      <c r="U2106" s="24" t="s">
        <v>39</v>
      </c>
      <c r="V2106" s="24" t="s">
        <v>39</v>
      </c>
      <c r="W2106" s="24" t="s">
        <v>19690</v>
      </c>
      <c r="X2106" s="24" t="s">
        <v>19691</v>
      </c>
      <c r="Y2106" s="15" t="s">
        <v>19692</v>
      </c>
      <c r="Z2106" s="15" t="s">
        <v>19693</v>
      </c>
      <c r="AA2106" s="24"/>
      <c r="AB2106" s="24"/>
      <c r="AC2106" s="24"/>
      <c r="AD2106" s="24"/>
      <c r="AE2106" s="24"/>
      <c r="AF2106" s="24"/>
      <c r="AG2106" s="24"/>
      <c r="AH2106" s="24"/>
    </row>
    <row r="2107" spans="1:34" ht="105" x14ac:dyDescent="0.25">
      <c r="A2107" s="24" t="str">
        <f>HYPERLINK("https://www.cpso.on.ca/DoctorDetails/Sarosh-KhalidKhan/0247461-88256","Khalid-Khan, Sarosh")</f>
        <v>Khalid-Khan, Sarosh</v>
      </c>
      <c r="B2107" s="25" t="s">
        <v>19694</v>
      </c>
      <c r="C2107" s="24" t="s">
        <v>19695</v>
      </c>
      <c r="D2107" s="24" t="s">
        <v>19696</v>
      </c>
      <c r="E2107" s="24" t="s">
        <v>29</v>
      </c>
      <c r="F2107" s="24" t="s">
        <v>47</v>
      </c>
      <c r="G2107" s="24" t="s">
        <v>61</v>
      </c>
      <c r="H2107" s="24" t="s">
        <v>19697</v>
      </c>
      <c r="I2107" s="24" t="s">
        <v>19698</v>
      </c>
      <c r="J2107" s="24" t="s">
        <v>14590</v>
      </c>
      <c r="K2107" s="24" t="s">
        <v>14591</v>
      </c>
      <c r="L2107" s="24" t="s">
        <v>340</v>
      </c>
      <c r="M2107" s="15"/>
      <c r="N2107" s="15" t="s">
        <v>2018</v>
      </c>
      <c r="O2107" s="15" t="s">
        <v>1914</v>
      </c>
      <c r="P2107" s="15" t="s">
        <v>4909</v>
      </c>
      <c r="Q2107" s="15"/>
      <c r="R2107" s="15" t="s">
        <v>19699</v>
      </c>
      <c r="S2107" s="24" t="s">
        <v>39</v>
      </c>
      <c r="T2107" s="24" t="s">
        <v>39</v>
      </c>
      <c r="U2107" s="24" t="s">
        <v>39</v>
      </c>
      <c r="V2107" s="24" t="s">
        <v>39</v>
      </c>
      <c r="W2107" s="24" t="s">
        <v>19700</v>
      </c>
      <c r="X2107" s="24" t="s">
        <v>19701</v>
      </c>
      <c r="Y2107" s="15" t="s">
        <v>19702</v>
      </c>
      <c r="Z2107" s="15" t="s">
        <v>19703</v>
      </c>
      <c r="AA2107" s="24"/>
      <c r="AB2107" s="24"/>
      <c r="AC2107" s="24"/>
      <c r="AD2107" s="24"/>
      <c r="AE2107" s="24"/>
      <c r="AF2107" s="24"/>
      <c r="AG2107" s="24"/>
      <c r="AH2107" s="24"/>
    </row>
    <row r="2108" spans="1:34" ht="105" x14ac:dyDescent="0.25">
      <c r="A2108" s="24" t="str">
        <f>HYPERLINK("https://www.cpso.on.ca/DoctorDetails/Sashikala-Senthelal/0049152-63130","Senthelal, Sashikala")</f>
        <v>Senthelal, Sashikala</v>
      </c>
      <c r="B2108" s="25" t="s">
        <v>19704</v>
      </c>
      <c r="C2108" s="24" t="s">
        <v>19705</v>
      </c>
      <c r="D2108" s="24" t="s">
        <v>19706</v>
      </c>
      <c r="E2108" s="24" t="s">
        <v>29</v>
      </c>
      <c r="F2108" s="24" t="s">
        <v>47</v>
      </c>
      <c r="G2108" s="24" t="s">
        <v>2255</v>
      </c>
      <c r="H2108" s="24" t="s">
        <v>19707</v>
      </c>
      <c r="I2108" s="24" t="s">
        <v>19708</v>
      </c>
      <c r="J2108" s="24" t="s">
        <v>19709</v>
      </c>
      <c r="K2108" s="24" t="s">
        <v>19710</v>
      </c>
      <c r="L2108" s="24" t="s">
        <v>36</v>
      </c>
      <c r="M2108" s="15" t="s">
        <v>19711</v>
      </c>
      <c r="N2108" s="15"/>
      <c r="O2108" s="15"/>
      <c r="P2108" s="15" t="s">
        <v>19712</v>
      </c>
      <c r="Q2108" s="15" t="s">
        <v>19713</v>
      </c>
      <c r="R2108" s="15" t="s">
        <v>19714</v>
      </c>
      <c r="S2108" s="24" t="s">
        <v>39</v>
      </c>
      <c r="T2108" s="24" t="s">
        <v>39</v>
      </c>
      <c r="U2108" s="24" t="s">
        <v>39</v>
      </c>
      <c r="V2108" s="24" t="s">
        <v>39</v>
      </c>
      <c r="W2108" s="24" t="s">
        <v>19715</v>
      </c>
      <c r="X2108" s="24" t="s">
        <v>19716</v>
      </c>
      <c r="Y2108" s="15" t="s">
        <v>19717</v>
      </c>
      <c r="Z2108" s="15" t="s">
        <v>19718</v>
      </c>
      <c r="AA2108" s="24"/>
      <c r="AB2108" s="24"/>
      <c r="AC2108" s="24"/>
      <c r="AD2108" s="24"/>
      <c r="AE2108" s="24"/>
      <c r="AF2108" s="24"/>
      <c r="AG2108" s="24"/>
      <c r="AH2108" s="24"/>
    </row>
    <row r="2109" spans="1:34" ht="30" x14ac:dyDescent="0.25">
      <c r="A2109" s="24" t="str">
        <f>HYPERLINK("https://www.cpso.on.ca/DoctorDetails/Sat-Pal-Singh-Girgla/0042715-56693","Girgla, Sat Pal Singh")</f>
        <v>Girgla, Sat Pal Singh</v>
      </c>
      <c r="B2109" s="25" t="s">
        <v>19719</v>
      </c>
      <c r="C2109" s="24" t="s">
        <v>19720</v>
      </c>
      <c r="D2109" s="24" t="s">
        <v>19721</v>
      </c>
      <c r="E2109" s="24" t="s">
        <v>19722</v>
      </c>
      <c r="F2109" s="24" t="s">
        <v>30</v>
      </c>
      <c r="G2109" s="24" t="s">
        <v>61</v>
      </c>
      <c r="H2109" s="24" t="s">
        <v>19723</v>
      </c>
      <c r="I2109" s="24" t="s">
        <v>19724</v>
      </c>
      <c r="J2109" s="24" t="s">
        <v>19725</v>
      </c>
      <c r="K2109" s="24" t="s">
        <v>19726</v>
      </c>
      <c r="L2109" s="24" t="s">
        <v>184</v>
      </c>
      <c r="M2109" s="15"/>
      <c r="N2109" s="15"/>
      <c r="O2109" s="15" t="s">
        <v>2169</v>
      </c>
      <c r="P2109" s="15" t="s">
        <v>4499</v>
      </c>
      <c r="Q2109" s="15"/>
      <c r="R2109" s="15" t="s">
        <v>19727</v>
      </c>
      <c r="S2109" s="24" t="s">
        <v>39</v>
      </c>
      <c r="T2109" s="24" t="s">
        <v>39</v>
      </c>
      <c r="U2109" s="24" t="s">
        <v>39</v>
      </c>
      <c r="V2109" s="24" t="s">
        <v>39</v>
      </c>
      <c r="W2109" s="24" t="s">
        <v>19728</v>
      </c>
      <c r="X2109" s="24" t="s">
        <v>19729</v>
      </c>
      <c r="Y2109" s="15" t="s">
        <v>19730</v>
      </c>
      <c r="Z2109" s="15" t="s">
        <v>19731</v>
      </c>
      <c r="AA2109" s="24"/>
      <c r="AB2109" s="24"/>
      <c r="AC2109" s="24"/>
      <c r="AD2109" s="24"/>
      <c r="AE2109" s="24"/>
      <c r="AF2109" s="24"/>
      <c r="AG2109" s="24"/>
      <c r="AH2109" s="24"/>
    </row>
    <row r="2110" spans="1:34" ht="120" x14ac:dyDescent="0.25">
      <c r="A2110" s="24" t="str">
        <f>HYPERLINK("https://www.cpso.on.ca/DoctorDetails/Satu-Michele-RepoHendsbee/0057293-68881","Repo-Hendsbee, Satu Michele")</f>
        <v>Repo-Hendsbee, Satu Michele</v>
      </c>
      <c r="B2110" s="25" t="s">
        <v>19732</v>
      </c>
      <c r="C2110" s="24" t="s">
        <v>3831</v>
      </c>
      <c r="D2110" s="24" t="s">
        <v>214</v>
      </c>
      <c r="E2110" s="24" t="s">
        <v>29</v>
      </c>
      <c r="F2110" s="24" t="s">
        <v>47</v>
      </c>
      <c r="G2110" s="24" t="s">
        <v>31</v>
      </c>
      <c r="H2110" s="24" t="s">
        <v>1338</v>
      </c>
      <c r="I2110" s="24" t="s">
        <v>19733</v>
      </c>
      <c r="J2110" s="24" t="s">
        <v>3118</v>
      </c>
      <c r="K2110" s="24"/>
      <c r="L2110" s="24" t="s">
        <v>135</v>
      </c>
      <c r="M2110" s="15" t="s">
        <v>19734</v>
      </c>
      <c r="N2110" s="15"/>
      <c r="O2110" s="15"/>
      <c r="P2110" s="15" t="s">
        <v>1343</v>
      </c>
      <c r="Q2110" s="15" t="s">
        <v>19735</v>
      </c>
      <c r="R2110" s="15" t="s">
        <v>3839</v>
      </c>
      <c r="S2110" s="24" t="s">
        <v>39</v>
      </c>
      <c r="T2110" s="24" t="s">
        <v>39</v>
      </c>
      <c r="U2110" s="24" t="s">
        <v>39</v>
      </c>
      <c r="V2110" s="24" t="s">
        <v>39</v>
      </c>
      <c r="W2110" s="24"/>
      <c r="X2110" s="24"/>
      <c r="Y2110" s="15"/>
      <c r="Z2110" s="15"/>
      <c r="AA2110" s="24"/>
      <c r="AB2110" s="24"/>
      <c r="AC2110" s="24"/>
      <c r="AD2110" s="24"/>
      <c r="AE2110" s="24"/>
      <c r="AF2110" s="24"/>
      <c r="AG2110" s="24"/>
      <c r="AH2110" s="24"/>
    </row>
    <row r="2111" spans="1:34" ht="75" x14ac:dyDescent="0.25">
      <c r="A2111" s="24" t="str">
        <f>HYPERLINK("https://www.cpso.on.ca/DoctorDetails/Satyadev-Nagari-Nandieshwar/0287646-102268","Nagari Nandieshwar, Satyadev")</f>
        <v>Nagari Nandieshwar, Satyadev</v>
      </c>
      <c r="B2111" s="25" t="s">
        <v>19736</v>
      </c>
      <c r="C2111" s="24" t="s">
        <v>19737</v>
      </c>
      <c r="D2111" s="24" t="s">
        <v>19738</v>
      </c>
      <c r="E2111" s="24" t="s">
        <v>29</v>
      </c>
      <c r="F2111" s="24" t="s">
        <v>30</v>
      </c>
      <c r="G2111" s="24" t="s">
        <v>12372</v>
      </c>
      <c r="H2111" s="24" t="s">
        <v>19739</v>
      </c>
      <c r="I2111" s="24" t="s">
        <v>19740</v>
      </c>
      <c r="J2111" s="24" t="s">
        <v>19741</v>
      </c>
      <c r="K2111" s="24" t="s">
        <v>19742</v>
      </c>
      <c r="L2111" s="24" t="s">
        <v>184</v>
      </c>
      <c r="M2111" s="15"/>
      <c r="N2111" s="15"/>
      <c r="O2111" s="15" t="s">
        <v>19743</v>
      </c>
      <c r="P2111" s="15" t="s">
        <v>425</v>
      </c>
      <c r="Q2111" s="15" t="s">
        <v>19744</v>
      </c>
      <c r="R2111" s="15" t="s">
        <v>19745</v>
      </c>
      <c r="S2111" s="24" t="s">
        <v>71</v>
      </c>
      <c r="T2111" s="24" t="s">
        <v>39</v>
      </c>
      <c r="U2111" s="24" t="s">
        <v>39</v>
      </c>
      <c r="V2111" s="24" t="s">
        <v>39</v>
      </c>
      <c r="W2111" s="24" t="s">
        <v>19746</v>
      </c>
      <c r="X2111" s="24" t="s">
        <v>19747</v>
      </c>
      <c r="Y2111" s="15" t="s">
        <v>19748</v>
      </c>
      <c r="Z2111" s="15" t="s">
        <v>19749</v>
      </c>
      <c r="AA2111" s="24"/>
      <c r="AB2111" s="24"/>
      <c r="AC2111" s="24"/>
      <c r="AD2111" s="24"/>
      <c r="AE2111" s="24"/>
      <c r="AF2111" s="24"/>
      <c r="AG2111" s="24"/>
      <c r="AH2111" s="24"/>
    </row>
    <row r="2112" spans="1:34" ht="75" x14ac:dyDescent="0.25">
      <c r="A2112" s="24" t="str">
        <f>HYPERLINK("https://www.cpso.on.ca/DoctorDetails/Satyendra-Satyanarayana/0183489-76334","Satyanarayana, Satyendra")</f>
        <v>Satyanarayana, Satyendra</v>
      </c>
      <c r="B2112" s="25" t="s">
        <v>19750</v>
      </c>
      <c r="C2112" s="24" t="s">
        <v>19751</v>
      </c>
      <c r="D2112" s="24" t="s">
        <v>19752</v>
      </c>
      <c r="E2112" s="24" t="s">
        <v>29</v>
      </c>
      <c r="F2112" s="24" t="s">
        <v>30</v>
      </c>
      <c r="G2112" s="24" t="s">
        <v>813</v>
      </c>
      <c r="H2112" s="24" t="s">
        <v>19753</v>
      </c>
      <c r="I2112" s="24" t="s">
        <v>19754</v>
      </c>
      <c r="J2112" s="24" t="s">
        <v>19755</v>
      </c>
      <c r="K2112" s="24"/>
      <c r="L2112" s="24"/>
      <c r="M2112" s="15"/>
      <c r="N2112" s="15" t="s">
        <v>19756</v>
      </c>
      <c r="O2112" s="15"/>
      <c r="P2112" s="15" t="s">
        <v>488</v>
      </c>
      <c r="Q2112" s="15" t="s">
        <v>19757</v>
      </c>
      <c r="R2112" s="15" t="s">
        <v>19758</v>
      </c>
      <c r="S2112" s="24" t="s">
        <v>39</v>
      </c>
      <c r="T2112" s="24" t="s">
        <v>39</v>
      </c>
      <c r="U2112" s="24" t="s">
        <v>39</v>
      </c>
      <c r="V2112" s="24" t="s">
        <v>39</v>
      </c>
      <c r="W2112" s="24"/>
      <c r="X2112" s="24"/>
      <c r="Y2112" s="15"/>
      <c r="Z2112" s="15"/>
      <c r="AA2112" s="24"/>
      <c r="AB2112" s="24"/>
      <c r="AC2112" s="24"/>
      <c r="AD2112" s="24"/>
      <c r="AE2112" s="24"/>
      <c r="AF2112" s="24"/>
      <c r="AG2112" s="24"/>
      <c r="AH2112" s="24"/>
    </row>
    <row r="2113" spans="1:34" ht="90" x14ac:dyDescent="0.25">
      <c r="A2113" s="24" t="str">
        <f>HYPERLINK("https://www.cpso.on.ca/DoctorDetails/Saul-Ian-Marks/0048225-62203","Marks, Saul Ian")</f>
        <v>Marks, Saul Ian</v>
      </c>
      <c r="B2113" s="25" t="s">
        <v>19759</v>
      </c>
      <c r="C2113" s="24" t="s">
        <v>1954</v>
      </c>
      <c r="D2113" s="24" t="s">
        <v>3411</v>
      </c>
      <c r="E2113" s="24" t="s">
        <v>29</v>
      </c>
      <c r="F2113" s="24" t="s">
        <v>30</v>
      </c>
      <c r="G2113" s="24" t="s">
        <v>31</v>
      </c>
      <c r="H2113" s="24" t="s">
        <v>19760</v>
      </c>
      <c r="I2113" s="24" t="s">
        <v>19761</v>
      </c>
      <c r="J2113" s="24" t="s">
        <v>19762</v>
      </c>
      <c r="K2113" s="24" t="s">
        <v>19763</v>
      </c>
      <c r="L2113" s="24" t="s">
        <v>52</v>
      </c>
      <c r="M2113" s="15"/>
      <c r="N2113" s="15"/>
      <c r="O2113" s="15"/>
      <c r="P2113" s="15" t="s">
        <v>11675</v>
      </c>
      <c r="Q2113" s="15" t="s">
        <v>19764</v>
      </c>
      <c r="R2113" s="15" t="s">
        <v>19765</v>
      </c>
      <c r="S2113" s="24" t="s">
        <v>39</v>
      </c>
      <c r="T2113" s="24" t="s">
        <v>39</v>
      </c>
      <c r="U2113" s="24" t="s">
        <v>39</v>
      </c>
      <c r="V2113" s="24" t="s">
        <v>39</v>
      </c>
      <c r="W2113" s="24"/>
      <c r="X2113" s="24"/>
      <c r="Y2113" s="15"/>
      <c r="Z2113" s="15"/>
      <c r="AA2113" s="24"/>
      <c r="AB2113" s="24"/>
      <c r="AC2113" s="24"/>
      <c r="AD2113" s="24"/>
      <c r="AE2113" s="24"/>
      <c r="AF2113" s="24"/>
      <c r="AG2113" s="24"/>
      <c r="AH2113" s="24"/>
    </row>
    <row r="2114" spans="1:34" ht="90" x14ac:dyDescent="0.25">
      <c r="A2114" s="24" t="str">
        <f>HYPERLINK("https://www.cpso.on.ca/DoctorDetails/Saulo-Castel/0198741-78732","Castel, Saulo")</f>
        <v>Castel, Saulo</v>
      </c>
      <c r="B2114" s="25" t="s">
        <v>19766</v>
      </c>
      <c r="C2114" s="24" t="s">
        <v>1432</v>
      </c>
      <c r="D2114" s="24" t="s">
        <v>1433</v>
      </c>
      <c r="E2114" s="24" t="s">
        <v>29</v>
      </c>
      <c r="F2114" s="24" t="s">
        <v>30</v>
      </c>
      <c r="G2114" s="24" t="s">
        <v>468</v>
      </c>
      <c r="H2114" s="24" t="s">
        <v>18211</v>
      </c>
      <c r="I2114" s="24" t="s">
        <v>19767</v>
      </c>
      <c r="J2114" s="24" t="s">
        <v>19768</v>
      </c>
      <c r="K2114" s="24" t="s">
        <v>1396</v>
      </c>
      <c r="L2114" s="24" t="s">
        <v>52</v>
      </c>
      <c r="M2114" s="15"/>
      <c r="N2114" s="15" t="s">
        <v>1560</v>
      </c>
      <c r="O2114" s="15" t="s">
        <v>1397</v>
      </c>
      <c r="P2114" s="15" t="s">
        <v>15461</v>
      </c>
      <c r="Q2114" s="15" t="s">
        <v>19769</v>
      </c>
      <c r="R2114" s="15" t="s">
        <v>19770</v>
      </c>
      <c r="S2114" s="24" t="s">
        <v>39</v>
      </c>
      <c r="T2114" s="24" t="s">
        <v>39</v>
      </c>
      <c r="U2114" s="24" t="s">
        <v>39</v>
      </c>
      <c r="V2114" s="24" t="s">
        <v>39</v>
      </c>
      <c r="W2114" s="24" t="s">
        <v>19771</v>
      </c>
      <c r="X2114" s="24" t="s">
        <v>19772</v>
      </c>
      <c r="Y2114" s="15" t="s">
        <v>19773</v>
      </c>
      <c r="Z2114" s="15" t="s">
        <v>19774</v>
      </c>
      <c r="AA2114" s="24"/>
      <c r="AB2114" s="24"/>
      <c r="AC2114" s="24"/>
      <c r="AD2114" s="24"/>
      <c r="AE2114" s="24"/>
      <c r="AF2114" s="24"/>
      <c r="AG2114" s="24"/>
      <c r="AH2114" s="24"/>
    </row>
    <row r="2115" spans="1:34" ht="30" x14ac:dyDescent="0.25">
      <c r="A2115" s="24" t="str">
        <f>HYPERLINK("https://www.cpso.on.ca/DoctorDetails/Savalai-Vedachalam-Manohar/0048815-62793","Manohar, Savalai Vedachalam")</f>
        <v>Manohar, Savalai Vedachalam</v>
      </c>
      <c r="B2115" s="25" t="s">
        <v>19775</v>
      </c>
      <c r="C2115" s="24" t="s">
        <v>19776</v>
      </c>
      <c r="D2115" s="24" t="s">
        <v>19777</v>
      </c>
      <c r="E2115" s="24" t="s">
        <v>29</v>
      </c>
      <c r="F2115" s="24" t="s">
        <v>30</v>
      </c>
      <c r="G2115" s="24" t="s">
        <v>2255</v>
      </c>
      <c r="H2115" s="24" t="s">
        <v>19778</v>
      </c>
      <c r="I2115" s="24" t="s">
        <v>19779</v>
      </c>
      <c r="J2115" s="24" t="s">
        <v>17544</v>
      </c>
      <c r="K2115" s="24"/>
      <c r="L2115" s="24" t="s">
        <v>36</v>
      </c>
      <c r="M2115" s="15"/>
      <c r="N2115" s="15"/>
      <c r="O2115" s="15" t="s">
        <v>19780</v>
      </c>
      <c r="P2115" s="15" t="s">
        <v>5402</v>
      </c>
      <c r="Q2115" s="15"/>
      <c r="R2115" s="15" t="s">
        <v>19781</v>
      </c>
      <c r="S2115" s="24" t="s">
        <v>39</v>
      </c>
      <c r="T2115" s="24" t="s">
        <v>39</v>
      </c>
      <c r="U2115" s="24" t="s">
        <v>39</v>
      </c>
      <c r="V2115" s="24" t="s">
        <v>39</v>
      </c>
      <c r="W2115" s="24" t="s">
        <v>17547</v>
      </c>
      <c r="X2115" s="24" t="s">
        <v>17548</v>
      </c>
      <c r="Y2115" s="15" t="s">
        <v>17549</v>
      </c>
      <c r="Z2115" s="15" t="s">
        <v>17550</v>
      </c>
      <c r="AA2115" s="24"/>
      <c r="AB2115" s="24"/>
      <c r="AC2115" s="24"/>
      <c r="AD2115" s="24"/>
      <c r="AE2115" s="24"/>
      <c r="AF2115" s="24"/>
      <c r="AG2115" s="24"/>
      <c r="AH2115" s="24"/>
    </row>
    <row r="2116" spans="1:34" ht="75" x14ac:dyDescent="0.25">
      <c r="A2116" s="24" t="str">
        <f>HYPERLINK("https://www.cpso.on.ca/DoctorDetails/Scott-Alvin-Garnet-Carmichael/0280487-97930","Carmichael, Scott Alvin Garnet")</f>
        <v>Carmichael, Scott Alvin Garnet</v>
      </c>
      <c r="B2116" s="25" t="s">
        <v>19782</v>
      </c>
      <c r="C2116" s="24" t="s">
        <v>544</v>
      </c>
      <c r="D2116" s="24" t="s">
        <v>545</v>
      </c>
      <c r="E2116" s="24" t="s">
        <v>29</v>
      </c>
      <c r="F2116" s="24" t="s">
        <v>30</v>
      </c>
      <c r="G2116" s="24" t="s">
        <v>31</v>
      </c>
      <c r="H2116" s="24" t="s">
        <v>1386</v>
      </c>
      <c r="I2116" s="24" t="s">
        <v>4974</v>
      </c>
      <c r="J2116" s="24" t="s">
        <v>4975</v>
      </c>
      <c r="K2116" s="24"/>
      <c r="L2116" s="24" t="s">
        <v>84</v>
      </c>
      <c r="M2116" s="15"/>
      <c r="N2116" s="15"/>
      <c r="O2116" s="15" t="s">
        <v>4377</v>
      </c>
      <c r="P2116" s="15" t="s">
        <v>550</v>
      </c>
      <c r="Q2116" s="15" t="s">
        <v>551</v>
      </c>
      <c r="R2116" s="15" t="s">
        <v>552</v>
      </c>
      <c r="S2116" s="24" t="s">
        <v>39</v>
      </c>
      <c r="T2116" s="24" t="s">
        <v>39</v>
      </c>
      <c r="U2116" s="24" t="s">
        <v>39</v>
      </c>
      <c r="V2116" s="24" t="s">
        <v>39</v>
      </c>
      <c r="W2116" s="24" t="s">
        <v>19783</v>
      </c>
      <c r="X2116" s="24" t="s">
        <v>19784</v>
      </c>
      <c r="Y2116" s="15" t="s">
        <v>19785</v>
      </c>
      <c r="Z2116" s="15" t="s">
        <v>19786</v>
      </c>
      <c r="AA2116" s="24"/>
      <c r="AB2116" s="24"/>
      <c r="AC2116" s="24"/>
      <c r="AD2116" s="24"/>
      <c r="AE2116" s="24"/>
      <c r="AF2116" s="24"/>
      <c r="AG2116" s="24"/>
      <c r="AH2116" s="24"/>
    </row>
    <row r="2117" spans="1:34" ht="45" x14ac:dyDescent="0.25">
      <c r="A2117" s="24" t="str">
        <f>HYPERLINK("https://www.cpso.on.ca/DoctorDetails/Scott-Bradley-Prior/0309103-108768","Prior, Scott Bradley")</f>
        <v>Prior, Scott Bradley</v>
      </c>
      <c r="B2117" s="25" t="s">
        <v>19787</v>
      </c>
      <c r="C2117" s="24" t="s">
        <v>16452</v>
      </c>
      <c r="D2117" s="24" t="s">
        <v>19788</v>
      </c>
      <c r="E2117" s="24" t="s">
        <v>29</v>
      </c>
      <c r="F2117" s="24" t="s">
        <v>30</v>
      </c>
      <c r="G2117" s="24" t="s">
        <v>31</v>
      </c>
      <c r="H2117" s="24" t="s">
        <v>17341</v>
      </c>
      <c r="I2117" s="24" t="s">
        <v>19789</v>
      </c>
      <c r="J2117" s="24" t="s">
        <v>19790</v>
      </c>
      <c r="K2117" s="24"/>
      <c r="L2117" s="24" t="s">
        <v>328</v>
      </c>
      <c r="M2117" s="15" t="s">
        <v>19791</v>
      </c>
      <c r="N2117" s="15" t="s">
        <v>1370</v>
      </c>
      <c r="O2117" s="15" t="s">
        <v>329</v>
      </c>
      <c r="P2117" s="15" t="s">
        <v>19792</v>
      </c>
      <c r="Q2117" s="15"/>
      <c r="R2117" s="15" t="s">
        <v>19793</v>
      </c>
      <c r="S2117" s="24" t="s">
        <v>39</v>
      </c>
      <c r="T2117" s="24" t="s">
        <v>39</v>
      </c>
      <c r="U2117" s="24" t="s">
        <v>39</v>
      </c>
      <c r="V2117" s="24" t="s">
        <v>39</v>
      </c>
      <c r="W2117" s="24" t="s">
        <v>19794</v>
      </c>
      <c r="X2117" s="24" t="s">
        <v>19795</v>
      </c>
      <c r="Y2117" s="15" t="s">
        <v>19796</v>
      </c>
      <c r="Z2117" s="15" t="s">
        <v>19797</v>
      </c>
      <c r="AA2117" s="24"/>
      <c r="AB2117" s="24"/>
      <c r="AC2117" s="24"/>
      <c r="AD2117" s="24"/>
      <c r="AE2117" s="24"/>
      <c r="AF2117" s="24"/>
      <c r="AG2117" s="24"/>
      <c r="AH2117" s="24"/>
    </row>
    <row r="2118" spans="1:34" ht="45" x14ac:dyDescent="0.25">
      <c r="A2118" s="24" t="str">
        <f>HYPERLINK("https://www.cpso.on.ca/DoctorDetails/Scott-Macdonald-Woodside/0051359-65338","Woodside, Scott Macdonald")</f>
        <v>Woodside, Scott Macdonald</v>
      </c>
      <c r="B2118" s="25" t="s">
        <v>19798</v>
      </c>
      <c r="C2118" s="24" t="s">
        <v>296</v>
      </c>
      <c r="D2118" s="24" t="s">
        <v>8933</v>
      </c>
      <c r="E2118" s="24" t="s">
        <v>29</v>
      </c>
      <c r="F2118" s="24" t="s">
        <v>30</v>
      </c>
      <c r="G2118" s="24" t="s">
        <v>31</v>
      </c>
      <c r="H2118" s="24" t="s">
        <v>8005</v>
      </c>
      <c r="I2118" s="24" t="s">
        <v>19799</v>
      </c>
      <c r="J2118" s="24" t="s">
        <v>19800</v>
      </c>
      <c r="K2118" s="24" t="s">
        <v>17172</v>
      </c>
      <c r="L2118" s="24" t="s">
        <v>52</v>
      </c>
      <c r="M2118" s="15" t="s">
        <v>19801</v>
      </c>
      <c r="N2118" s="15"/>
      <c r="O2118" s="15" t="s">
        <v>842</v>
      </c>
      <c r="P2118" s="15" t="s">
        <v>2042</v>
      </c>
      <c r="Q2118" s="15" t="s">
        <v>19802</v>
      </c>
      <c r="R2118" s="15" t="s">
        <v>11463</v>
      </c>
      <c r="S2118" s="24" t="s">
        <v>39</v>
      </c>
      <c r="T2118" s="24" t="s">
        <v>39</v>
      </c>
      <c r="U2118" s="24" t="s">
        <v>39</v>
      </c>
      <c r="V2118" s="24" t="s">
        <v>39</v>
      </c>
      <c r="W2118" s="24" t="s">
        <v>19803</v>
      </c>
      <c r="X2118" s="24" t="s">
        <v>19804</v>
      </c>
      <c r="Y2118" s="15" t="s">
        <v>19805</v>
      </c>
      <c r="Z2118" s="15" t="s">
        <v>19806</v>
      </c>
      <c r="AA2118" s="24"/>
      <c r="AB2118" s="24"/>
      <c r="AC2118" s="24"/>
      <c r="AD2118" s="24"/>
      <c r="AE2118" s="24"/>
      <c r="AF2118" s="24"/>
      <c r="AG2118" s="24"/>
      <c r="AH2118" s="24"/>
    </row>
    <row r="2119" spans="1:34" ht="45" x14ac:dyDescent="0.25">
      <c r="A2119" s="24" t="str">
        <f>HYPERLINK("https://www.cpso.on.ca/DoctorDetails/Scott-Robert-McCullagh/0048603-62581","McCullagh, Scott Robert")</f>
        <v>McCullagh, Scott Robert</v>
      </c>
      <c r="B2119" s="25" t="s">
        <v>19807</v>
      </c>
      <c r="C2119" s="24" t="s">
        <v>1157</v>
      </c>
      <c r="D2119" s="24" t="s">
        <v>19808</v>
      </c>
      <c r="E2119" s="24" t="s">
        <v>29</v>
      </c>
      <c r="F2119" s="24" t="s">
        <v>30</v>
      </c>
      <c r="G2119" s="24" t="s">
        <v>31</v>
      </c>
      <c r="H2119" s="24" t="s">
        <v>1956</v>
      </c>
      <c r="I2119" s="24" t="s">
        <v>19809</v>
      </c>
      <c r="J2119" s="24" t="s">
        <v>19810</v>
      </c>
      <c r="K2119" s="24" t="s">
        <v>19811</v>
      </c>
      <c r="L2119" s="24" t="s">
        <v>184</v>
      </c>
      <c r="M2119" s="15" t="s">
        <v>19812</v>
      </c>
      <c r="N2119" s="15"/>
      <c r="O2119" s="15" t="s">
        <v>6565</v>
      </c>
      <c r="P2119" s="15" t="s">
        <v>169</v>
      </c>
      <c r="Q2119" s="15" t="s">
        <v>19813</v>
      </c>
      <c r="R2119" s="15" t="s">
        <v>19814</v>
      </c>
      <c r="S2119" s="24" t="s">
        <v>39</v>
      </c>
      <c r="T2119" s="24" t="s">
        <v>39</v>
      </c>
      <c r="U2119" s="24" t="s">
        <v>39</v>
      </c>
      <c r="V2119" s="24" t="s">
        <v>39</v>
      </c>
      <c r="W2119" s="24"/>
      <c r="X2119" s="24"/>
      <c r="Y2119" s="15"/>
      <c r="Z2119" s="15"/>
      <c r="AA2119" s="24"/>
      <c r="AB2119" s="24"/>
      <c r="AC2119" s="24"/>
      <c r="AD2119" s="24"/>
      <c r="AE2119" s="24"/>
      <c r="AF2119" s="24"/>
      <c r="AG2119" s="24"/>
      <c r="AH2119" s="24"/>
    </row>
    <row r="2120" spans="1:34" ht="60" x14ac:dyDescent="0.25">
      <c r="A2120" s="24" t="str">
        <f>HYPERLINK("https://www.cpso.on.ca/DoctorDetails/Sean-Carlysle-Prabhu/0308821-110504","Prabhu, Sean Carlysle")</f>
        <v>Prabhu, Sean Carlysle</v>
      </c>
      <c r="B2120" s="25" t="s">
        <v>19815</v>
      </c>
      <c r="C2120" s="24" t="s">
        <v>5728</v>
      </c>
      <c r="D2120" s="24" t="s">
        <v>19816</v>
      </c>
      <c r="E2120" s="24" t="s">
        <v>29</v>
      </c>
      <c r="F2120" s="24" t="s">
        <v>30</v>
      </c>
      <c r="G2120" s="24" t="s">
        <v>31</v>
      </c>
      <c r="H2120" s="24" t="s">
        <v>19817</v>
      </c>
      <c r="I2120" s="24" t="s">
        <v>19818</v>
      </c>
      <c r="J2120" s="24" t="s">
        <v>19819</v>
      </c>
      <c r="K2120" s="24" t="s">
        <v>19820</v>
      </c>
      <c r="L2120" s="24" t="s">
        <v>65</v>
      </c>
      <c r="M2120" s="15" t="s">
        <v>19821</v>
      </c>
      <c r="N2120" s="15"/>
      <c r="O2120" s="15"/>
      <c r="P2120" s="15" t="s">
        <v>19822</v>
      </c>
      <c r="Q2120" s="15"/>
      <c r="R2120" s="15" t="s">
        <v>19823</v>
      </c>
      <c r="S2120" s="24" t="s">
        <v>71</v>
      </c>
      <c r="T2120" s="24" t="s">
        <v>39</v>
      </c>
      <c r="U2120" s="24" t="s">
        <v>39</v>
      </c>
      <c r="V2120" s="24" t="s">
        <v>39</v>
      </c>
      <c r="W2120" s="24" t="s">
        <v>19824</v>
      </c>
      <c r="X2120" s="24" t="s">
        <v>19825</v>
      </c>
      <c r="Y2120" s="15" t="s">
        <v>19826</v>
      </c>
      <c r="Z2120" s="15" t="s">
        <v>19827</v>
      </c>
      <c r="AA2120" s="24"/>
      <c r="AB2120" s="24"/>
      <c r="AC2120" s="24"/>
      <c r="AD2120" s="24"/>
      <c r="AE2120" s="24"/>
      <c r="AF2120" s="24"/>
      <c r="AG2120" s="24"/>
      <c r="AH2120" s="24"/>
    </row>
    <row r="2121" spans="1:34" x14ac:dyDescent="0.25">
      <c r="A2121" s="24" t="str">
        <f>HYPERLINK("https://www.cpso.on.ca/DoctorDetails/Searlus-Karl-Colmain-Bernard-OSullivan/0026516-31339","O'Sullivan, Searlus Karl Colmain Bernard")</f>
        <v>O'Sullivan, Searlus Karl Colmain Bernard</v>
      </c>
      <c r="B2121" s="25" t="s">
        <v>19828</v>
      </c>
      <c r="C2121" s="24" t="s">
        <v>19829</v>
      </c>
      <c r="D2121" s="24" t="s">
        <v>19830</v>
      </c>
      <c r="E2121" s="24" t="s">
        <v>29</v>
      </c>
      <c r="F2121" s="24" t="s">
        <v>30</v>
      </c>
      <c r="G2121" s="24" t="s">
        <v>31</v>
      </c>
      <c r="H2121" s="24" t="s">
        <v>19831</v>
      </c>
      <c r="I2121" s="24" t="s">
        <v>19724</v>
      </c>
      <c r="J2121" s="24" t="s">
        <v>19725</v>
      </c>
      <c r="K2121" s="24" t="s">
        <v>19726</v>
      </c>
      <c r="L2121" s="24" t="s">
        <v>184</v>
      </c>
      <c r="M2121" s="15"/>
      <c r="N2121" s="15"/>
      <c r="O2121" s="15" t="s">
        <v>2169</v>
      </c>
      <c r="P2121" s="15" t="s">
        <v>19832</v>
      </c>
      <c r="Q2121" s="15"/>
      <c r="R2121" s="15" t="s">
        <v>19833</v>
      </c>
      <c r="S2121" s="24" t="s">
        <v>39</v>
      </c>
      <c r="T2121" s="24" t="s">
        <v>39</v>
      </c>
      <c r="U2121" s="24" t="s">
        <v>39</v>
      </c>
      <c r="V2121" s="24" t="s">
        <v>39</v>
      </c>
      <c r="W2121" s="24"/>
      <c r="X2121" s="24"/>
      <c r="Y2121" s="15"/>
      <c r="Z2121" s="15"/>
      <c r="AA2121" s="24"/>
      <c r="AB2121" s="24"/>
      <c r="AC2121" s="24"/>
      <c r="AD2121" s="24"/>
      <c r="AE2121" s="24"/>
      <c r="AF2121" s="24"/>
      <c r="AG2121" s="24"/>
      <c r="AH2121" s="24"/>
    </row>
    <row r="2122" spans="1:34" ht="120" x14ac:dyDescent="0.25">
      <c r="A2122" s="24" t="str">
        <f>HYPERLINK("https://www.cpso.on.ca/DoctorDetails/Seema-Ann-Khan/0232925-84672","Khan, Seema Ann")</f>
        <v>Khan, Seema Ann</v>
      </c>
      <c r="B2122" s="25" t="s">
        <v>19834</v>
      </c>
      <c r="C2122" s="24" t="s">
        <v>647</v>
      </c>
      <c r="D2122" s="24" t="s">
        <v>19835</v>
      </c>
      <c r="E2122" s="24" t="s">
        <v>29</v>
      </c>
      <c r="F2122" s="24" t="s">
        <v>47</v>
      </c>
      <c r="G2122" s="24" t="s">
        <v>31</v>
      </c>
      <c r="H2122" s="24" t="s">
        <v>649</v>
      </c>
      <c r="I2122" s="24" t="s">
        <v>19836</v>
      </c>
      <c r="J2122" s="24" t="s">
        <v>14008</v>
      </c>
      <c r="K2122" s="24" t="s">
        <v>19837</v>
      </c>
      <c r="L2122" s="24" t="s">
        <v>52</v>
      </c>
      <c r="M2122" s="15" t="s">
        <v>19838</v>
      </c>
      <c r="N2122" s="15"/>
      <c r="O2122" s="15" t="s">
        <v>19839</v>
      </c>
      <c r="P2122" s="15" t="s">
        <v>19840</v>
      </c>
      <c r="Q2122" s="15" t="s">
        <v>19841</v>
      </c>
      <c r="R2122" s="15" t="s">
        <v>19842</v>
      </c>
      <c r="S2122" s="24" t="s">
        <v>39</v>
      </c>
      <c r="T2122" s="24" t="s">
        <v>39</v>
      </c>
      <c r="U2122" s="24" t="s">
        <v>39</v>
      </c>
      <c r="V2122" s="24" t="s">
        <v>39</v>
      </c>
      <c r="W2122" s="24" t="s">
        <v>19843</v>
      </c>
      <c r="X2122" s="24" t="s">
        <v>19844</v>
      </c>
      <c r="Y2122" s="15" t="s">
        <v>19845</v>
      </c>
      <c r="Z2122" s="15" t="s">
        <v>19846</v>
      </c>
      <c r="AA2122" s="24"/>
      <c r="AB2122" s="24"/>
      <c r="AC2122" s="24"/>
      <c r="AD2122" s="24"/>
      <c r="AE2122" s="24"/>
      <c r="AF2122" s="24"/>
      <c r="AG2122" s="24"/>
      <c r="AH2122" s="24"/>
    </row>
    <row r="2123" spans="1:34" ht="120" x14ac:dyDescent="0.25">
      <c r="A2123" s="24" t="str">
        <f>HYPERLINK("https://www.cpso.on.ca/DoctorDetails/Seena-Sukhpreet-Kaur-Grewal/0183765-76496","Grewal, Seena Sukhpreet Kaur")</f>
        <v>Grewal, Seena Sukhpreet Kaur</v>
      </c>
      <c r="B2123" s="25" t="s">
        <v>19847</v>
      </c>
      <c r="C2123" s="24" t="s">
        <v>1130</v>
      </c>
      <c r="D2123" s="24" t="s">
        <v>4401</v>
      </c>
      <c r="E2123" s="24" t="s">
        <v>29</v>
      </c>
      <c r="F2123" s="24" t="s">
        <v>47</v>
      </c>
      <c r="G2123" s="24" t="s">
        <v>31</v>
      </c>
      <c r="H2123" s="24" t="s">
        <v>15743</v>
      </c>
      <c r="I2123" s="24" t="s">
        <v>19848</v>
      </c>
      <c r="J2123" s="24" t="s">
        <v>19849</v>
      </c>
      <c r="K2123" s="24"/>
      <c r="L2123" s="24" t="s">
        <v>52</v>
      </c>
      <c r="M2123" s="15" t="s">
        <v>19850</v>
      </c>
      <c r="N2123" s="15"/>
      <c r="O2123" s="15" t="s">
        <v>19851</v>
      </c>
      <c r="P2123" s="15" t="s">
        <v>1149</v>
      </c>
      <c r="Q2123" s="15" t="s">
        <v>19852</v>
      </c>
      <c r="R2123" s="15" t="s">
        <v>4407</v>
      </c>
      <c r="S2123" s="24" t="s">
        <v>39</v>
      </c>
      <c r="T2123" s="24" t="s">
        <v>39</v>
      </c>
      <c r="U2123" s="24" t="s">
        <v>39</v>
      </c>
      <c r="V2123" s="24" t="s">
        <v>39</v>
      </c>
      <c r="W2123" s="24" t="s">
        <v>19853</v>
      </c>
      <c r="X2123" s="24" t="s">
        <v>18543</v>
      </c>
      <c r="Y2123" s="15" t="s">
        <v>19854</v>
      </c>
      <c r="Z2123" s="15" t="s">
        <v>19855</v>
      </c>
      <c r="AA2123" s="24"/>
      <c r="AB2123" s="24"/>
      <c r="AC2123" s="24"/>
      <c r="AD2123" s="24"/>
      <c r="AE2123" s="24"/>
      <c r="AF2123" s="24"/>
      <c r="AG2123" s="24"/>
      <c r="AH2123" s="24"/>
    </row>
    <row r="2124" spans="1:34" ht="75" x14ac:dyDescent="0.25">
      <c r="A2124" s="24" t="str">
        <f>HYPERLINK("https://www.cpso.on.ca/DoctorDetails/Sefi-Kronenberg/0291151-102307","Kronenberg, Sefi")</f>
        <v>Kronenberg, Sefi</v>
      </c>
      <c r="B2124" s="25" t="s">
        <v>19856</v>
      </c>
      <c r="C2124" s="24" t="s">
        <v>19857</v>
      </c>
      <c r="D2124" s="24" t="s">
        <v>19858</v>
      </c>
      <c r="E2124" s="24" t="s">
        <v>29</v>
      </c>
      <c r="F2124" s="24" t="s">
        <v>30</v>
      </c>
      <c r="G2124" s="24" t="s">
        <v>19859</v>
      </c>
      <c r="H2124" s="24" t="s">
        <v>5567</v>
      </c>
      <c r="I2124" s="24" t="s">
        <v>4552</v>
      </c>
      <c r="J2124" s="24" t="s">
        <v>19860</v>
      </c>
      <c r="K2124" s="24"/>
      <c r="L2124" s="24" t="s">
        <v>52</v>
      </c>
      <c r="M2124" s="15"/>
      <c r="N2124" s="15"/>
      <c r="O2124" s="15" t="s">
        <v>2399</v>
      </c>
      <c r="P2124" s="15" t="s">
        <v>19861</v>
      </c>
      <c r="Q2124" s="15" t="s">
        <v>19862</v>
      </c>
      <c r="R2124" s="15" t="s">
        <v>19863</v>
      </c>
      <c r="S2124" s="24" t="s">
        <v>71</v>
      </c>
      <c r="T2124" s="24" t="s">
        <v>39</v>
      </c>
      <c r="U2124" s="24" t="s">
        <v>39</v>
      </c>
      <c r="V2124" s="24" t="s">
        <v>39</v>
      </c>
      <c r="W2124" s="24" t="s">
        <v>19864</v>
      </c>
      <c r="X2124" s="24" t="s">
        <v>6654</v>
      </c>
      <c r="Y2124" s="15" t="s">
        <v>19865</v>
      </c>
      <c r="Z2124" s="15" t="s">
        <v>19866</v>
      </c>
      <c r="AA2124" s="24"/>
      <c r="AB2124" s="24"/>
      <c r="AC2124" s="24"/>
      <c r="AD2124" s="24"/>
      <c r="AE2124" s="24"/>
      <c r="AF2124" s="24"/>
      <c r="AG2124" s="24"/>
      <c r="AH2124" s="24"/>
    </row>
    <row r="2125" spans="1:34" ht="150" x14ac:dyDescent="0.25">
      <c r="A2125" s="24" t="str">
        <f>HYPERLINK("https://www.cpso.on.ca/DoctorDetails/Senthuran-Gunaratnam/0274491-96051","Gunaratnam, Senthuran")</f>
        <v>Gunaratnam, Senthuran</v>
      </c>
      <c r="B2125" s="25" t="s">
        <v>19867</v>
      </c>
      <c r="C2125" s="24" t="s">
        <v>15773</v>
      </c>
      <c r="D2125" s="24" t="s">
        <v>15774</v>
      </c>
      <c r="E2125" s="24" t="s">
        <v>29</v>
      </c>
      <c r="F2125" s="24" t="s">
        <v>30</v>
      </c>
      <c r="G2125" s="24" t="s">
        <v>2255</v>
      </c>
      <c r="H2125" s="24" t="s">
        <v>19868</v>
      </c>
      <c r="I2125" s="24" t="s">
        <v>19869</v>
      </c>
      <c r="J2125" s="24" t="s">
        <v>19870</v>
      </c>
      <c r="K2125" s="24"/>
      <c r="L2125" s="24" t="s">
        <v>52</v>
      </c>
      <c r="M2125" s="15"/>
      <c r="N2125" s="15"/>
      <c r="O2125" s="15"/>
      <c r="P2125" s="15" t="s">
        <v>354</v>
      </c>
      <c r="Q2125" s="15" t="s">
        <v>19871</v>
      </c>
      <c r="R2125" s="15" t="s">
        <v>19872</v>
      </c>
      <c r="S2125" s="24" t="s">
        <v>71</v>
      </c>
      <c r="T2125" s="24" t="s">
        <v>39</v>
      </c>
      <c r="U2125" s="24" t="s">
        <v>39</v>
      </c>
      <c r="V2125" s="24" t="s">
        <v>39</v>
      </c>
      <c r="W2125" s="24" t="s">
        <v>19873</v>
      </c>
      <c r="X2125" s="24" t="s">
        <v>19874</v>
      </c>
      <c r="Y2125" s="15" t="s">
        <v>19875</v>
      </c>
      <c r="Z2125" s="15" t="s">
        <v>19876</v>
      </c>
      <c r="AA2125" s="24"/>
      <c r="AB2125" s="24"/>
      <c r="AC2125" s="24"/>
      <c r="AD2125" s="24"/>
      <c r="AE2125" s="24"/>
      <c r="AF2125" s="24"/>
      <c r="AG2125" s="24"/>
      <c r="AH2125" s="24"/>
    </row>
    <row r="2126" spans="1:34" ht="75" x14ac:dyDescent="0.25">
      <c r="A2126" s="24" t="str">
        <f>HYPERLINK("https://www.cpso.on.ca/DoctorDetails/Sephora-Miu-Yin-Tang/0266258-93990","Tang, Sephora Miu Yin")</f>
        <v>Tang, Sephora Miu Yin</v>
      </c>
      <c r="B2126" s="25" t="s">
        <v>19877</v>
      </c>
      <c r="C2126" s="24" t="s">
        <v>570</v>
      </c>
      <c r="D2126" s="24" t="s">
        <v>571</v>
      </c>
      <c r="E2126" s="24" t="s">
        <v>29</v>
      </c>
      <c r="F2126" s="24" t="s">
        <v>47</v>
      </c>
      <c r="G2126" s="24" t="s">
        <v>31</v>
      </c>
      <c r="H2126" s="24" t="s">
        <v>10312</v>
      </c>
      <c r="I2126" s="24" t="s">
        <v>19878</v>
      </c>
      <c r="J2126" s="24" t="s">
        <v>3977</v>
      </c>
      <c r="K2126" s="24" t="s">
        <v>3978</v>
      </c>
      <c r="L2126" s="24" t="s">
        <v>84</v>
      </c>
      <c r="M2126" s="15"/>
      <c r="N2126" s="15"/>
      <c r="O2126" s="15" t="s">
        <v>3289</v>
      </c>
      <c r="P2126" s="15" t="s">
        <v>629</v>
      </c>
      <c r="Q2126" s="15" t="s">
        <v>11693</v>
      </c>
      <c r="R2126" s="15" t="s">
        <v>1706</v>
      </c>
      <c r="S2126" s="24" t="s">
        <v>39</v>
      </c>
      <c r="T2126" s="24" t="s">
        <v>39</v>
      </c>
      <c r="U2126" s="24" t="s">
        <v>39</v>
      </c>
      <c r="V2126" s="24" t="s">
        <v>39</v>
      </c>
      <c r="W2126" s="24" t="s">
        <v>19879</v>
      </c>
      <c r="X2126" s="24" t="s">
        <v>2243</v>
      </c>
      <c r="Y2126" s="15" t="s">
        <v>19880</v>
      </c>
      <c r="Z2126" s="15" t="s">
        <v>19881</v>
      </c>
      <c r="AA2126" s="24"/>
      <c r="AB2126" s="24"/>
      <c r="AC2126" s="24"/>
      <c r="AD2126" s="24"/>
      <c r="AE2126" s="24"/>
      <c r="AF2126" s="24"/>
      <c r="AG2126" s="24"/>
      <c r="AH2126" s="24"/>
    </row>
    <row r="2127" spans="1:34" ht="90" x14ac:dyDescent="0.25">
      <c r="A2127" s="24" t="str">
        <f>HYPERLINK("https://www.cpso.on.ca/DoctorDetails/Serge-Lessard/0116747-70271","Lessard, Serge")</f>
        <v>Lessard, Serge</v>
      </c>
      <c r="B2127" s="25" t="s">
        <v>19882</v>
      </c>
      <c r="C2127" s="24" t="s">
        <v>4579</v>
      </c>
      <c r="D2127" s="24" t="s">
        <v>4580</v>
      </c>
      <c r="E2127" s="24" t="s">
        <v>29</v>
      </c>
      <c r="F2127" s="24" t="s">
        <v>30</v>
      </c>
      <c r="G2127" s="24" t="s">
        <v>813</v>
      </c>
      <c r="H2127" s="24" t="s">
        <v>9666</v>
      </c>
      <c r="I2127" s="24" t="s">
        <v>19883</v>
      </c>
      <c r="J2127" s="24" t="s">
        <v>19884</v>
      </c>
      <c r="K2127" s="24" t="s">
        <v>19885</v>
      </c>
      <c r="L2127" s="24" t="s">
        <v>84</v>
      </c>
      <c r="M2127" s="15"/>
      <c r="N2127" s="15"/>
      <c r="O2127" s="15"/>
      <c r="P2127" s="15" t="s">
        <v>19886</v>
      </c>
      <c r="Q2127" s="15" t="s">
        <v>19887</v>
      </c>
      <c r="R2127" s="15" t="s">
        <v>19888</v>
      </c>
      <c r="S2127" s="24" t="s">
        <v>39</v>
      </c>
      <c r="T2127" s="24" t="s">
        <v>39</v>
      </c>
      <c r="U2127" s="24" t="s">
        <v>39</v>
      </c>
      <c r="V2127" s="24" t="s">
        <v>39</v>
      </c>
      <c r="W2127" s="24" t="s">
        <v>19889</v>
      </c>
      <c r="X2127" s="24" t="s">
        <v>19890</v>
      </c>
      <c r="Y2127" s="15"/>
      <c r="Z2127" s="15"/>
      <c r="AA2127" s="24" t="s">
        <v>19891</v>
      </c>
      <c r="AB2127" s="24" t="s">
        <v>6208</v>
      </c>
      <c r="AC2127" s="24" t="s">
        <v>19892</v>
      </c>
      <c r="AD2127" s="24" t="s">
        <v>19893</v>
      </c>
      <c r="AE2127" s="24"/>
      <c r="AF2127" s="24"/>
      <c r="AG2127" s="24"/>
      <c r="AH2127" s="24"/>
    </row>
    <row r="2128" spans="1:34" ht="75" x14ac:dyDescent="0.25">
      <c r="A2128" s="24" t="str">
        <f>HYPERLINK("https://www.cpso.on.ca/DoctorDetails/Serge-Robert-LeBlanc/0242430-86260","LeBlanc, Serge Robert")</f>
        <v>LeBlanc, Serge Robert</v>
      </c>
      <c r="B2128" s="25" t="s">
        <v>19894</v>
      </c>
      <c r="C2128" s="24" t="s">
        <v>1115</v>
      </c>
      <c r="D2128" s="24" t="s">
        <v>1594</v>
      </c>
      <c r="E2128" s="24" t="s">
        <v>29</v>
      </c>
      <c r="F2128" s="24" t="s">
        <v>30</v>
      </c>
      <c r="G2128" s="24" t="s">
        <v>813</v>
      </c>
      <c r="H2128" s="24" t="s">
        <v>4717</v>
      </c>
      <c r="I2128" s="24" t="s">
        <v>19895</v>
      </c>
      <c r="J2128" s="24" t="s">
        <v>19896</v>
      </c>
      <c r="K2128" s="24" t="s">
        <v>19897</v>
      </c>
      <c r="L2128" s="24" t="s">
        <v>52</v>
      </c>
      <c r="M2128" s="15" t="s">
        <v>19898</v>
      </c>
      <c r="N2128" s="15"/>
      <c r="O2128" s="15" t="s">
        <v>842</v>
      </c>
      <c r="P2128" s="15" t="s">
        <v>1074</v>
      </c>
      <c r="Q2128" s="15" t="s">
        <v>1601</v>
      </c>
      <c r="R2128" s="15" t="s">
        <v>1602</v>
      </c>
      <c r="S2128" s="24" t="s">
        <v>39</v>
      </c>
      <c r="T2128" s="24" t="s">
        <v>39</v>
      </c>
      <c r="U2128" s="24" t="s">
        <v>39</v>
      </c>
      <c r="V2128" s="24" t="s">
        <v>39</v>
      </c>
      <c r="W2128" s="24"/>
      <c r="X2128" s="24"/>
      <c r="Y2128" s="15"/>
      <c r="Z2128" s="15"/>
      <c r="AA2128" s="24"/>
      <c r="AB2128" s="24"/>
      <c r="AC2128" s="24"/>
      <c r="AD2128" s="24"/>
      <c r="AE2128" s="24"/>
      <c r="AF2128" s="24"/>
      <c r="AG2128" s="24"/>
      <c r="AH2128" s="24"/>
    </row>
    <row r="2129" spans="1:34" ht="45" x14ac:dyDescent="0.25">
      <c r="A2129" s="24" t="str">
        <f>HYPERLINK("https://www.cpso.on.ca/DoctorDetails/Seymour-Tozman/0017001-21786","Tozman, Seymour")</f>
        <v>Tozman, Seymour</v>
      </c>
      <c r="B2129" s="25" t="s">
        <v>19899</v>
      </c>
      <c r="C2129" s="24" t="s">
        <v>19900</v>
      </c>
      <c r="D2129" s="24" t="s">
        <v>19901</v>
      </c>
      <c r="E2129" s="24" t="s">
        <v>29</v>
      </c>
      <c r="F2129" s="24" t="s">
        <v>30</v>
      </c>
      <c r="G2129" s="24" t="s">
        <v>31</v>
      </c>
      <c r="H2129" s="24" t="s">
        <v>1207</v>
      </c>
      <c r="I2129" s="24" t="s">
        <v>19902</v>
      </c>
      <c r="J2129" s="24" t="s">
        <v>19903</v>
      </c>
      <c r="K2129" s="24" t="s">
        <v>19904</v>
      </c>
      <c r="L2129" s="24" t="s">
        <v>52</v>
      </c>
      <c r="M2129" s="15"/>
      <c r="N2129" s="15" t="s">
        <v>735</v>
      </c>
      <c r="O2129" s="15"/>
      <c r="P2129" s="15" t="s">
        <v>19905</v>
      </c>
      <c r="Q2129" s="15"/>
      <c r="R2129" s="15" t="s">
        <v>19906</v>
      </c>
      <c r="S2129" s="24" t="s">
        <v>39</v>
      </c>
      <c r="T2129" s="24" t="s">
        <v>39</v>
      </c>
      <c r="U2129" s="24" t="s">
        <v>39</v>
      </c>
      <c r="V2129" s="24" t="s">
        <v>39</v>
      </c>
      <c r="W2129" s="24"/>
      <c r="X2129" s="24"/>
      <c r="Y2129" s="15"/>
      <c r="Z2129" s="15"/>
      <c r="AA2129" s="24"/>
      <c r="AB2129" s="24"/>
      <c r="AC2129" s="24"/>
      <c r="AD2129" s="24"/>
      <c r="AE2129" s="24"/>
      <c r="AF2129" s="24"/>
      <c r="AG2129" s="24"/>
      <c r="AH2129" s="24"/>
    </row>
    <row r="2130" spans="1:34" ht="75" x14ac:dyDescent="0.25">
      <c r="A2130" s="24" t="str">
        <f>HYPERLINK("https://www.cpso.on.ca/DoctorDetails/Shabbir-Amanullah/0258815-97496","Amanullah, Shabbir")</f>
        <v>Amanullah, Shabbir</v>
      </c>
      <c r="B2130" s="25" t="s">
        <v>19907</v>
      </c>
      <c r="C2130" s="24" t="s">
        <v>19908</v>
      </c>
      <c r="D2130" s="24" t="s">
        <v>19909</v>
      </c>
      <c r="E2130" s="24" t="s">
        <v>29</v>
      </c>
      <c r="F2130" s="24" t="s">
        <v>30</v>
      </c>
      <c r="G2130" s="24" t="s">
        <v>12622</v>
      </c>
      <c r="H2130" s="24" t="s">
        <v>19910</v>
      </c>
      <c r="I2130" s="24" t="s">
        <v>19911</v>
      </c>
      <c r="J2130" s="24" t="s">
        <v>19912</v>
      </c>
      <c r="K2130" s="24"/>
      <c r="L2130" s="24" t="s">
        <v>135</v>
      </c>
      <c r="M2130" s="15"/>
      <c r="N2130" s="15" t="s">
        <v>19913</v>
      </c>
      <c r="O2130" s="15" t="s">
        <v>19914</v>
      </c>
      <c r="P2130" s="15" t="s">
        <v>19915</v>
      </c>
      <c r="Q2130" s="15"/>
      <c r="R2130" s="15" t="s">
        <v>19916</v>
      </c>
      <c r="S2130" s="24" t="s">
        <v>71</v>
      </c>
      <c r="T2130" s="24" t="s">
        <v>39</v>
      </c>
      <c r="U2130" s="24" t="s">
        <v>39</v>
      </c>
      <c r="V2130" s="24" t="s">
        <v>39</v>
      </c>
      <c r="W2130" s="24" t="s">
        <v>19917</v>
      </c>
      <c r="X2130" s="24" t="s">
        <v>319</v>
      </c>
      <c r="Y2130" s="15" t="s">
        <v>19918</v>
      </c>
      <c r="Z2130" s="15" t="s">
        <v>19919</v>
      </c>
      <c r="AA2130" s="24"/>
      <c r="AB2130" s="24"/>
      <c r="AC2130" s="24"/>
      <c r="AD2130" s="24"/>
      <c r="AE2130" s="24"/>
      <c r="AF2130" s="24"/>
      <c r="AG2130" s="24"/>
      <c r="AH2130" s="24"/>
    </row>
    <row r="2131" spans="1:34" ht="90" x14ac:dyDescent="0.25">
      <c r="A2131" s="24" t="str">
        <f>HYPERLINK("https://www.cpso.on.ca/DoctorDetails/Shabeer-Ahmed-Jeeva/0037040-51016","Jeeva, Shabeer Ahmed")</f>
        <v>Jeeva, Shabeer Ahmed</v>
      </c>
      <c r="B2131" s="25" t="s">
        <v>19920</v>
      </c>
      <c r="C2131" s="24" t="s">
        <v>19921</v>
      </c>
      <c r="D2131" s="24" t="s">
        <v>19922</v>
      </c>
      <c r="E2131" s="24" t="s">
        <v>29</v>
      </c>
      <c r="F2131" s="24" t="s">
        <v>30</v>
      </c>
      <c r="G2131" s="24" t="s">
        <v>13353</v>
      </c>
      <c r="H2131" s="24" t="s">
        <v>19923</v>
      </c>
      <c r="I2131" s="24" t="s">
        <v>19924</v>
      </c>
      <c r="J2131" s="24" t="s">
        <v>19925</v>
      </c>
      <c r="K2131" s="24" t="s">
        <v>19926</v>
      </c>
      <c r="L2131" s="24"/>
      <c r="M2131" s="15" t="s">
        <v>19927</v>
      </c>
      <c r="N2131" s="15" t="s">
        <v>19928</v>
      </c>
      <c r="O2131" s="15"/>
      <c r="P2131" s="15" t="s">
        <v>4853</v>
      </c>
      <c r="Q2131" s="15"/>
      <c r="R2131" s="15" t="s">
        <v>19929</v>
      </c>
      <c r="S2131" s="24" t="s">
        <v>39</v>
      </c>
      <c r="T2131" s="24" t="s">
        <v>39</v>
      </c>
      <c r="U2131" s="24" t="s">
        <v>39</v>
      </c>
      <c r="V2131" s="24" t="s">
        <v>39</v>
      </c>
      <c r="W2131" s="24"/>
      <c r="X2131" s="24"/>
      <c r="Y2131" s="15"/>
      <c r="Z2131" s="15"/>
      <c r="AA2131" s="24"/>
      <c r="AB2131" s="24"/>
      <c r="AC2131" s="24"/>
      <c r="AD2131" s="24"/>
      <c r="AE2131" s="24"/>
      <c r="AF2131" s="24"/>
      <c r="AG2131" s="24"/>
      <c r="AH2131" s="24"/>
    </row>
    <row r="2132" spans="1:34" ht="75" x14ac:dyDescent="0.25">
      <c r="A2132" s="24" t="str">
        <f>HYPERLINK("https://www.cpso.on.ca/DoctorDetails/Shaheen-Alicia-Darani/0169348-75313","Darani, Shaheen Alicia")</f>
        <v>Darani, Shaheen Alicia</v>
      </c>
      <c r="B2132" s="25" t="s">
        <v>19930</v>
      </c>
      <c r="C2132" s="24" t="s">
        <v>19931</v>
      </c>
      <c r="D2132" s="24" t="s">
        <v>19932</v>
      </c>
      <c r="E2132" s="24" t="s">
        <v>29</v>
      </c>
      <c r="F2132" s="24" t="s">
        <v>47</v>
      </c>
      <c r="G2132" s="24" t="s">
        <v>31</v>
      </c>
      <c r="H2132" s="24" t="s">
        <v>4067</v>
      </c>
      <c r="I2132" s="24" t="s">
        <v>19933</v>
      </c>
      <c r="J2132" s="24" t="s">
        <v>19934</v>
      </c>
      <c r="K2132" s="24" t="s">
        <v>10072</v>
      </c>
      <c r="L2132" s="24" t="s">
        <v>52</v>
      </c>
      <c r="M2132" s="15"/>
      <c r="N2132" s="15"/>
      <c r="O2132" s="15" t="s">
        <v>981</v>
      </c>
      <c r="P2132" s="15" t="s">
        <v>19935</v>
      </c>
      <c r="Q2132" s="15" t="s">
        <v>3659</v>
      </c>
      <c r="R2132" s="15" t="s">
        <v>19936</v>
      </c>
      <c r="S2132" s="24" t="s">
        <v>39</v>
      </c>
      <c r="T2132" s="24" t="s">
        <v>39</v>
      </c>
      <c r="U2132" s="24" t="s">
        <v>39</v>
      </c>
      <c r="V2132" s="24" t="s">
        <v>39</v>
      </c>
      <c r="W2132" s="24" t="s">
        <v>19937</v>
      </c>
      <c r="X2132" s="24" t="s">
        <v>19938</v>
      </c>
      <c r="Y2132" s="15" t="s">
        <v>19939</v>
      </c>
      <c r="Z2132" s="15" t="s">
        <v>19940</v>
      </c>
      <c r="AA2132" s="24"/>
      <c r="AB2132" s="24"/>
      <c r="AC2132" s="24"/>
      <c r="AD2132" s="24"/>
      <c r="AE2132" s="24"/>
      <c r="AF2132" s="24"/>
      <c r="AG2132" s="24"/>
      <c r="AH2132" s="24"/>
    </row>
    <row r="2133" spans="1:34" ht="75" x14ac:dyDescent="0.25">
      <c r="A2133" s="24" t="str">
        <f>HYPERLINK("https://www.cpso.on.ca/DoctorDetails/Shahzad-Zafar-Shahmalak/0173428-75612","Shahmalak, Shahzad Zafar")</f>
        <v>Shahmalak, Shahzad Zafar</v>
      </c>
      <c r="B2133" s="25" t="s">
        <v>19941</v>
      </c>
      <c r="C2133" s="24" t="s">
        <v>19942</v>
      </c>
      <c r="D2133" s="24" t="s">
        <v>19943</v>
      </c>
      <c r="E2133" s="24" t="s">
        <v>29</v>
      </c>
      <c r="F2133" s="24" t="s">
        <v>30</v>
      </c>
      <c r="G2133" s="24" t="s">
        <v>79</v>
      </c>
      <c r="H2133" s="24" t="s">
        <v>19944</v>
      </c>
      <c r="I2133" s="24" t="s">
        <v>5279</v>
      </c>
      <c r="J2133" s="24" t="s">
        <v>12594</v>
      </c>
      <c r="K2133" s="24" t="s">
        <v>6513</v>
      </c>
      <c r="L2133" s="24" t="s">
        <v>152</v>
      </c>
      <c r="M2133" s="15"/>
      <c r="N2133" s="15"/>
      <c r="O2133" s="15" t="s">
        <v>2689</v>
      </c>
      <c r="P2133" s="15" t="s">
        <v>19945</v>
      </c>
      <c r="Q2133" s="15" t="s">
        <v>19946</v>
      </c>
      <c r="R2133" s="15" t="s">
        <v>19947</v>
      </c>
      <c r="S2133" s="24" t="s">
        <v>71</v>
      </c>
      <c r="T2133" s="24" t="s">
        <v>39</v>
      </c>
      <c r="U2133" s="24" t="s">
        <v>39</v>
      </c>
      <c r="V2133" s="24" t="s">
        <v>39</v>
      </c>
      <c r="W2133" s="24" t="s">
        <v>19948</v>
      </c>
      <c r="X2133" s="24" t="s">
        <v>19949</v>
      </c>
      <c r="Y2133" s="15" t="s">
        <v>19950</v>
      </c>
      <c r="Z2133" s="15" t="s">
        <v>19951</v>
      </c>
      <c r="AA2133" s="24"/>
      <c r="AB2133" s="24"/>
      <c r="AC2133" s="24"/>
      <c r="AD2133" s="24"/>
      <c r="AE2133" s="24"/>
      <c r="AF2133" s="24"/>
      <c r="AG2133" s="24"/>
      <c r="AH2133" s="24"/>
    </row>
    <row r="2134" spans="1:34" ht="120" x14ac:dyDescent="0.25">
      <c r="A2134" s="24" t="str">
        <f>HYPERLINK("https://www.cpso.on.ca/DoctorDetails/Shaimaa-Mustafa-Morsi-AboEl-Ella/0251500-88735","Abo-El Ella, Shaimaa Mustafa Morsi")</f>
        <v>Abo-El Ella, Shaimaa Mustafa Morsi</v>
      </c>
      <c r="B2134" s="25" t="s">
        <v>19952</v>
      </c>
      <c r="C2134" s="24" t="s">
        <v>846</v>
      </c>
      <c r="D2134" s="24" t="s">
        <v>4421</v>
      </c>
      <c r="E2134" s="24" t="s">
        <v>29</v>
      </c>
      <c r="F2134" s="24" t="s">
        <v>47</v>
      </c>
      <c r="G2134" s="24" t="s">
        <v>31</v>
      </c>
      <c r="H2134" s="24" t="s">
        <v>19953</v>
      </c>
      <c r="I2134" s="24" t="s">
        <v>19954</v>
      </c>
      <c r="J2134" s="24" t="s">
        <v>19955</v>
      </c>
      <c r="K2134" s="24"/>
      <c r="L2134" s="24" t="s">
        <v>340</v>
      </c>
      <c r="M2134" s="15" t="s">
        <v>19956</v>
      </c>
      <c r="N2134" s="15"/>
      <c r="O2134" s="15" t="s">
        <v>2972</v>
      </c>
      <c r="P2134" s="15" t="s">
        <v>12438</v>
      </c>
      <c r="Q2134" s="15" t="s">
        <v>19957</v>
      </c>
      <c r="R2134" s="15" t="s">
        <v>19958</v>
      </c>
      <c r="S2134" s="24" t="s">
        <v>39</v>
      </c>
      <c r="T2134" s="24" t="s">
        <v>39</v>
      </c>
      <c r="U2134" s="24" t="s">
        <v>39</v>
      </c>
      <c r="V2134" s="24" t="s">
        <v>39</v>
      </c>
      <c r="W2134" s="24" t="s">
        <v>19959</v>
      </c>
      <c r="X2134" s="24" t="s">
        <v>19960</v>
      </c>
      <c r="Y2134" s="15" t="s">
        <v>19961</v>
      </c>
      <c r="Z2134" s="15" t="s">
        <v>19962</v>
      </c>
      <c r="AA2134" s="24"/>
      <c r="AB2134" s="24"/>
      <c r="AC2134" s="24"/>
      <c r="AD2134" s="24"/>
      <c r="AE2134" s="24"/>
      <c r="AF2134" s="24"/>
      <c r="AG2134" s="24"/>
      <c r="AH2134" s="24"/>
    </row>
    <row r="2135" spans="1:34" ht="90" x14ac:dyDescent="0.25">
      <c r="A2135" s="24" t="str">
        <f>HYPERLINK("https://www.cpso.on.ca/DoctorDetails/Shameet-Neely-Bakshi/0210010-80752","Bakshi, Shameet Neely")</f>
        <v>Bakshi, Shameet Neely</v>
      </c>
      <c r="B2135" s="25" t="s">
        <v>19963</v>
      </c>
      <c r="C2135" s="24" t="s">
        <v>45</v>
      </c>
      <c r="D2135" s="24" t="s">
        <v>46</v>
      </c>
      <c r="E2135" s="24" t="s">
        <v>29</v>
      </c>
      <c r="F2135" s="24" t="s">
        <v>30</v>
      </c>
      <c r="G2135" s="24" t="s">
        <v>31</v>
      </c>
      <c r="H2135" s="24" t="s">
        <v>789</v>
      </c>
      <c r="I2135" s="24" t="s">
        <v>12906</v>
      </c>
      <c r="J2135" s="24" t="s">
        <v>1262</v>
      </c>
      <c r="K2135" s="24"/>
      <c r="L2135" s="24" t="s">
        <v>52</v>
      </c>
      <c r="M2135" s="15"/>
      <c r="N2135" s="15"/>
      <c r="O2135" s="15" t="s">
        <v>19964</v>
      </c>
      <c r="P2135" s="15" t="s">
        <v>55</v>
      </c>
      <c r="Q2135" s="15" t="s">
        <v>19965</v>
      </c>
      <c r="R2135" s="15" t="s">
        <v>57</v>
      </c>
      <c r="S2135" s="24" t="s">
        <v>39</v>
      </c>
      <c r="T2135" s="24" t="s">
        <v>39</v>
      </c>
      <c r="U2135" s="24" t="s">
        <v>39</v>
      </c>
      <c r="V2135" s="24" t="s">
        <v>39</v>
      </c>
      <c r="W2135" s="24" t="s">
        <v>19966</v>
      </c>
      <c r="X2135" s="24" t="s">
        <v>11798</v>
      </c>
      <c r="Y2135" s="15" t="s">
        <v>19967</v>
      </c>
      <c r="Z2135" s="15" t="s">
        <v>12913</v>
      </c>
      <c r="AA2135" s="24"/>
      <c r="AB2135" s="24"/>
      <c r="AC2135" s="24"/>
      <c r="AD2135" s="24"/>
      <c r="AE2135" s="24"/>
      <c r="AF2135" s="24"/>
      <c r="AG2135" s="24"/>
      <c r="AH2135" s="24"/>
    </row>
    <row r="2136" spans="1:34" ht="75" x14ac:dyDescent="0.25">
      <c r="A2136" s="24" t="str">
        <f>HYPERLINK("https://www.cpso.on.ca/DoctorDetails/Shane-Joseph-Mc-Inerney/0287147-101422","Mc Inerney, Shane Joseph")</f>
        <v>Mc Inerney, Shane Joseph</v>
      </c>
      <c r="B2136" s="25" t="s">
        <v>19968</v>
      </c>
      <c r="C2136" s="24" t="s">
        <v>19969</v>
      </c>
      <c r="D2136" s="24" t="s">
        <v>19970</v>
      </c>
      <c r="E2136" s="24" t="s">
        <v>29</v>
      </c>
      <c r="F2136" s="24" t="s">
        <v>30</v>
      </c>
      <c r="G2136" s="24" t="s">
        <v>31</v>
      </c>
      <c r="H2136" s="24" t="s">
        <v>19971</v>
      </c>
      <c r="I2136" s="24" t="s">
        <v>19972</v>
      </c>
      <c r="J2136" s="24" t="s">
        <v>19973</v>
      </c>
      <c r="K2136" s="24" t="s">
        <v>19974</v>
      </c>
      <c r="L2136" s="24" t="s">
        <v>52</v>
      </c>
      <c r="M2136" s="15" t="s">
        <v>19975</v>
      </c>
      <c r="N2136" s="15"/>
      <c r="O2136" s="15" t="s">
        <v>19976</v>
      </c>
      <c r="P2136" s="15" t="s">
        <v>19977</v>
      </c>
      <c r="Q2136" s="15" t="s">
        <v>19978</v>
      </c>
      <c r="R2136" s="15" t="s">
        <v>19979</v>
      </c>
      <c r="S2136" s="24" t="s">
        <v>71</v>
      </c>
      <c r="T2136" s="24" t="s">
        <v>39</v>
      </c>
      <c r="U2136" s="24" t="s">
        <v>39</v>
      </c>
      <c r="V2136" s="24" t="s">
        <v>39</v>
      </c>
      <c r="W2136" s="24" t="s">
        <v>19980</v>
      </c>
      <c r="X2136" s="24" t="s">
        <v>19981</v>
      </c>
      <c r="Y2136" s="15" t="s">
        <v>19982</v>
      </c>
      <c r="Z2136" s="15" t="s">
        <v>19983</v>
      </c>
      <c r="AA2136" s="24"/>
      <c r="AB2136" s="24"/>
      <c r="AC2136" s="24"/>
      <c r="AD2136" s="24"/>
      <c r="AE2136" s="24"/>
      <c r="AF2136" s="24"/>
      <c r="AG2136" s="24"/>
      <c r="AH2136" s="24"/>
    </row>
    <row r="2137" spans="1:34" ht="105" x14ac:dyDescent="0.25">
      <c r="A2137" s="24" t="str">
        <f>HYPERLINK("https://www.cpso.on.ca/DoctorDetails/Shari-Alana-Swartz/0257762-91698","Swartz, Shari Alana")</f>
        <v>Swartz, Shari Alana</v>
      </c>
      <c r="B2137" s="25" t="s">
        <v>19984</v>
      </c>
      <c r="C2137" s="24" t="s">
        <v>19985</v>
      </c>
      <c r="D2137" s="24" t="s">
        <v>19986</v>
      </c>
      <c r="E2137" s="24" t="s">
        <v>29</v>
      </c>
      <c r="F2137" s="24" t="s">
        <v>47</v>
      </c>
      <c r="G2137" s="24" t="s">
        <v>31</v>
      </c>
      <c r="H2137" s="24" t="s">
        <v>3586</v>
      </c>
      <c r="I2137" s="24" t="s">
        <v>19987</v>
      </c>
      <c r="J2137" s="24" t="s">
        <v>19988</v>
      </c>
      <c r="K2137" s="24" t="s">
        <v>6400</v>
      </c>
      <c r="L2137" s="24" t="s">
        <v>52</v>
      </c>
      <c r="M2137" s="15"/>
      <c r="N2137" s="15"/>
      <c r="O2137" s="15" t="s">
        <v>958</v>
      </c>
      <c r="P2137" s="15" t="s">
        <v>19989</v>
      </c>
      <c r="Q2137" s="15" t="s">
        <v>19990</v>
      </c>
      <c r="R2137" s="15" t="s">
        <v>19991</v>
      </c>
      <c r="S2137" s="24" t="s">
        <v>39</v>
      </c>
      <c r="T2137" s="24" t="s">
        <v>39</v>
      </c>
      <c r="U2137" s="24" t="s">
        <v>39</v>
      </c>
      <c r="V2137" s="24" t="s">
        <v>39</v>
      </c>
      <c r="W2137" s="24"/>
      <c r="X2137" s="24"/>
      <c r="Y2137" s="15"/>
      <c r="Z2137" s="15"/>
      <c r="AA2137" s="24"/>
      <c r="AB2137" s="24"/>
      <c r="AC2137" s="24"/>
      <c r="AD2137" s="24"/>
      <c r="AE2137" s="24"/>
      <c r="AF2137" s="24"/>
      <c r="AG2137" s="24"/>
      <c r="AH2137" s="24"/>
    </row>
    <row r="2138" spans="1:34" ht="75" x14ac:dyDescent="0.25">
      <c r="A2138" s="24" t="str">
        <f>HYPERLINK("https://www.cpso.on.ca/DoctorDetails/Shari-Bai/0273517-95348","Bai, Shari")</f>
        <v>Bai, Shari</v>
      </c>
      <c r="B2138" s="25" t="s">
        <v>19992</v>
      </c>
      <c r="C2138" s="24" t="s">
        <v>1266</v>
      </c>
      <c r="D2138" s="24" t="s">
        <v>967</v>
      </c>
      <c r="E2138" s="24" t="s">
        <v>29</v>
      </c>
      <c r="F2138" s="24" t="s">
        <v>47</v>
      </c>
      <c r="G2138" s="24" t="s">
        <v>31</v>
      </c>
      <c r="H2138" s="24" t="s">
        <v>14895</v>
      </c>
      <c r="I2138" s="24" t="s">
        <v>19993</v>
      </c>
      <c r="J2138" s="24" t="s">
        <v>1262</v>
      </c>
      <c r="K2138" s="24"/>
      <c r="L2138" s="24" t="s">
        <v>52</v>
      </c>
      <c r="M2138" s="15"/>
      <c r="N2138" s="15"/>
      <c r="O2138" s="15" t="s">
        <v>981</v>
      </c>
      <c r="P2138" s="15" t="s">
        <v>973</v>
      </c>
      <c r="Q2138" s="15" t="s">
        <v>4058</v>
      </c>
      <c r="R2138" s="15" t="s">
        <v>4059</v>
      </c>
      <c r="S2138" s="24" t="s">
        <v>39</v>
      </c>
      <c r="T2138" s="24" t="s">
        <v>39</v>
      </c>
      <c r="U2138" s="24" t="s">
        <v>39</v>
      </c>
      <c r="V2138" s="24" t="s">
        <v>39</v>
      </c>
      <c r="W2138" s="24"/>
      <c r="X2138" s="24"/>
      <c r="Y2138" s="15"/>
      <c r="Z2138" s="15"/>
      <c r="AA2138" s="24"/>
      <c r="AB2138" s="24"/>
      <c r="AC2138" s="24"/>
      <c r="AD2138" s="24"/>
      <c r="AE2138" s="24"/>
      <c r="AF2138" s="24"/>
      <c r="AG2138" s="24"/>
      <c r="AH2138" s="24"/>
    </row>
    <row r="2139" spans="1:34" ht="30" x14ac:dyDescent="0.25">
      <c r="A2139" s="24" t="str">
        <f>HYPERLINK("https://www.cpso.on.ca/DoctorDetails/Shari-Gwen-Kirsh/0038506-52482","Kirsh, Shari Gwen")</f>
        <v>Kirsh, Shari Gwen</v>
      </c>
      <c r="B2139" s="25" t="s">
        <v>19994</v>
      </c>
      <c r="C2139" s="24" t="s">
        <v>3561</v>
      </c>
      <c r="D2139" s="24" t="s">
        <v>18612</v>
      </c>
      <c r="E2139" s="24" t="s">
        <v>29</v>
      </c>
      <c r="F2139" s="24" t="s">
        <v>47</v>
      </c>
      <c r="G2139" s="24" t="s">
        <v>31</v>
      </c>
      <c r="H2139" s="24" t="s">
        <v>2637</v>
      </c>
      <c r="I2139" s="24" t="s">
        <v>19995</v>
      </c>
      <c r="J2139" s="24" t="s">
        <v>19996</v>
      </c>
      <c r="K2139" s="24" t="s">
        <v>19996</v>
      </c>
      <c r="L2139" s="24" t="s">
        <v>52</v>
      </c>
      <c r="M2139" s="15"/>
      <c r="N2139" s="15"/>
      <c r="O2139" s="15"/>
      <c r="P2139" s="15" t="s">
        <v>3857</v>
      </c>
      <c r="Q2139" s="15"/>
      <c r="R2139" s="15" t="s">
        <v>19997</v>
      </c>
      <c r="S2139" s="24" t="s">
        <v>39</v>
      </c>
      <c r="T2139" s="24" t="s">
        <v>39</v>
      </c>
      <c r="U2139" s="24" t="s">
        <v>39</v>
      </c>
      <c r="V2139" s="24" t="s">
        <v>39</v>
      </c>
      <c r="W2139" s="24"/>
      <c r="X2139" s="24"/>
      <c r="Y2139" s="15"/>
      <c r="Z2139" s="15"/>
      <c r="AA2139" s="24"/>
      <c r="AB2139" s="24"/>
      <c r="AC2139" s="24"/>
      <c r="AD2139" s="24"/>
      <c r="AE2139" s="24"/>
      <c r="AF2139" s="24"/>
      <c r="AG2139" s="24"/>
      <c r="AH2139" s="24"/>
    </row>
    <row r="2140" spans="1:34" ht="45" x14ac:dyDescent="0.25">
      <c r="A2140" s="24" t="str">
        <f>HYPERLINK("https://www.cpso.on.ca/DoctorDetails/Sharleen-Kaur-Gill/0322756-114164","Gill, Sharleen Kaur")</f>
        <v>Gill, Sharleen Kaur</v>
      </c>
      <c r="B2140" s="25" t="s">
        <v>19998</v>
      </c>
      <c r="C2140" s="24" t="s">
        <v>19999</v>
      </c>
      <c r="D2140" s="24" t="s">
        <v>10351</v>
      </c>
      <c r="E2140" s="24" t="s">
        <v>29</v>
      </c>
      <c r="F2140" s="24" t="s">
        <v>47</v>
      </c>
      <c r="G2140" s="24" t="s">
        <v>31</v>
      </c>
      <c r="H2140" s="24" t="s">
        <v>7251</v>
      </c>
      <c r="I2140" s="24" t="s">
        <v>20000</v>
      </c>
      <c r="J2140" s="24"/>
      <c r="K2140" s="24"/>
      <c r="L2140" s="24" t="s">
        <v>52</v>
      </c>
      <c r="M2140" s="15"/>
      <c r="N2140" s="15"/>
      <c r="O2140" s="15"/>
      <c r="P2140" s="15" t="s">
        <v>205</v>
      </c>
      <c r="Q2140" s="15" t="s">
        <v>20001</v>
      </c>
      <c r="R2140" s="15" t="s">
        <v>20002</v>
      </c>
      <c r="S2140" s="24" t="s">
        <v>39</v>
      </c>
      <c r="T2140" s="24" t="s">
        <v>39</v>
      </c>
      <c r="U2140" s="24" t="s">
        <v>39</v>
      </c>
      <c r="V2140" s="24" t="s">
        <v>39</v>
      </c>
      <c r="W2140" s="24"/>
      <c r="X2140" s="24"/>
      <c r="Y2140" s="15"/>
      <c r="Z2140" s="15"/>
      <c r="AA2140" s="24"/>
      <c r="AB2140" s="24"/>
      <c r="AC2140" s="24"/>
      <c r="AD2140" s="24"/>
      <c r="AE2140" s="24"/>
      <c r="AF2140" s="24"/>
      <c r="AG2140" s="24"/>
      <c r="AH2140" s="24"/>
    </row>
    <row r="2141" spans="1:34" ht="150" x14ac:dyDescent="0.25">
      <c r="A2141" s="24" t="str">
        <f>HYPERLINK("https://www.cpso.on.ca/DoctorDetails/Sharman-Joanne-Robertson/0056363-67951","Robertson, Sharman Joanne")</f>
        <v>Robertson, Sharman Joanne</v>
      </c>
      <c r="B2141" s="25" t="s">
        <v>20003</v>
      </c>
      <c r="C2141" s="24" t="s">
        <v>1669</v>
      </c>
      <c r="D2141" s="24" t="s">
        <v>20004</v>
      </c>
      <c r="E2141" s="24" t="s">
        <v>29</v>
      </c>
      <c r="F2141" s="24" t="s">
        <v>47</v>
      </c>
      <c r="G2141" s="24" t="s">
        <v>31</v>
      </c>
      <c r="H2141" s="24" t="s">
        <v>11294</v>
      </c>
      <c r="I2141" s="24" t="s">
        <v>20005</v>
      </c>
      <c r="J2141" s="24" t="s">
        <v>20006</v>
      </c>
      <c r="K2141" s="24"/>
      <c r="L2141" s="24" t="s">
        <v>84</v>
      </c>
      <c r="M2141" s="15" t="s">
        <v>20007</v>
      </c>
      <c r="N2141" s="15"/>
      <c r="O2141" s="15" t="s">
        <v>1309</v>
      </c>
      <c r="P2141" s="15" t="s">
        <v>20008</v>
      </c>
      <c r="Q2141" s="15" t="s">
        <v>20009</v>
      </c>
      <c r="R2141" s="15" t="s">
        <v>20010</v>
      </c>
      <c r="S2141" s="24" t="s">
        <v>39</v>
      </c>
      <c r="T2141" s="24" t="s">
        <v>39</v>
      </c>
      <c r="U2141" s="24" t="s">
        <v>39</v>
      </c>
      <c r="V2141" s="24" t="s">
        <v>39</v>
      </c>
      <c r="W2141" s="24" t="s">
        <v>20011</v>
      </c>
      <c r="X2141" s="24" t="s">
        <v>1423</v>
      </c>
      <c r="Y2141" s="15" t="s">
        <v>20012</v>
      </c>
      <c r="Z2141" s="15" t="s">
        <v>20013</v>
      </c>
      <c r="AA2141" s="24"/>
      <c r="AB2141" s="24"/>
      <c r="AC2141" s="24"/>
      <c r="AD2141" s="24"/>
      <c r="AE2141" s="24"/>
      <c r="AF2141" s="24"/>
      <c r="AG2141" s="24"/>
      <c r="AH2141" s="24"/>
    </row>
    <row r="2142" spans="1:34" ht="45" x14ac:dyDescent="0.25">
      <c r="A2142" s="24" t="str">
        <f>HYPERLINK("https://www.cpso.on.ca/DoctorDetails/Sharon-Ann-Scappatura/0050174-64153","Scappatura, Sharon Ann")</f>
        <v>Scappatura, Sharon Ann</v>
      </c>
      <c r="B2142" s="25" t="s">
        <v>20014</v>
      </c>
      <c r="C2142" s="24" t="s">
        <v>10222</v>
      </c>
      <c r="D2142" s="24" t="s">
        <v>20015</v>
      </c>
      <c r="E2142" s="24" t="s">
        <v>29</v>
      </c>
      <c r="F2142" s="24" t="s">
        <v>47</v>
      </c>
      <c r="G2142" s="24" t="s">
        <v>31</v>
      </c>
      <c r="H2142" s="24" t="s">
        <v>2038</v>
      </c>
      <c r="I2142" s="24" t="s">
        <v>107</v>
      </c>
      <c r="J2142" s="24"/>
      <c r="K2142" s="24"/>
      <c r="L2142" s="24"/>
      <c r="M2142" s="15"/>
      <c r="N2142" s="15"/>
      <c r="O2142" s="15"/>
      <c r="P2142" s="15" t="s">
        <v>20016</v>
      </c>
      <c r="Q2142" s="15" t="s">
        <v>20017</v>
      </c>
      <c r="R2142" s="15" t="s">
        <v>20018</v>
      </c>
      <c r="S2142" s="24" t="s">
        <v>39</v>
      </c>
      <c r="T2142" s="24" t="s">
        <v>39</v>
      </c>
      <c r="U2142" s="24" t="s">
        <v>39</v>
      </c>
      <c r="V2142" s="24" t="s">
        <v>39</v>
      </c>
      <c r="W2142" s="24"/>
      <c r="X2142" s="24"/>
      <c r="Y2142" s="15"/>
      <c r="Z2142" s="15"/>
      <c r="AA2142" s="24"/>
      <c r="AB2142" s="24"/>
      <c r="AC2142" s="24"/>
      <c r="AD2142" s="24"/>
      <c r="AE2142" s="24"/>
      <c r="AF2142" s="24"/>
      <c r="AG2142" s="24"/>
      <c r="AH2142" s="24"/>
    </row>
    <row r="2143" spans="1:34" ht="120" x14ac:dyDescent="0.25">
      <c r="A2143" s="24" t="str">
        <f>HYPERLINK("https://www.cpso.on.ca/DoctorDetails/Sharon-Grace-Ferreria/0273596-95516","Ferreria, Sharon Grace")</f>
        <v>Ferreria, Sharon Grace</v>
      </c>
      <c r="B2143" s="25" t="s">
        <v>20019</v>
      </c>
      <c r="C2143" s="24" t="s">
        <v>1266</v>
      </c>
      <c r="D2143" s="24" t="s">
        <v>20020</v>
      </c>
      <c r="E2143" s="24" t="s">
        <v>29</v>
      </c>
      <c r="F2143" s="24" t="s">
        <v>47</v>
      </c>
      <c r="G2143" s="24" t="s">
        <v>31</v>
      </c>
      <c r="H2143" s="24" t="s">
        <v>19817</v>
      </c>
      <c r="I2143" s="24" t="s">
        <v>20021</v>
      </c>
      <c r="J2143" s="24" t="s">
        <v>19912</v>
      </c>
      <c r="K2143" s="24"/>
      <c r="L2143" s="24" t="s">
        <v>135</v>
      </c>
      <c r="M2143" s="15"/>
      <c r="N2143" s="15"/>
      <c r="O2143" s="15" t="s">
        <v>366</v>
      </c>
      <c r="P2143" s="15" t="s">
        <v>20022</v>
      </c>
      <c r="Q2143" s="15" t="s">
        <v>20023</v>
      </c>
      <c r="R2143" s="15" t="s">
        <v>20024</v>
      </c>
      <c r="S2143" s="24" t="s">
        <v>39</v>
      </c>
      <c r="T2143" s="24" t="s">
        <v>39</v>
      </c>
      <c r="U2143" s="24" t="s">
        <v>39</v>
      </c>
      <c r="V2143" s="24" t="s">
        <v>39</v>
      </c>
      <c r="W2143" s="24" t="s">
        <v>20025</v>
      </c>
      <c r="X2143" s="24" t="s">
        <v>20026</v>
      </c>
      <c r="Y2143" s="15" t="s">
        <v>20027</v>
      </c>
      <c r="Z2143" s="15" t="s">
        <v>20028</v>
      </c>
      <c r="AA2143" s="24"/>
      <c r="AB2143" s="24"/>
      <c r="AC2143" s="24"/>
      <c r="AD2143" s="24"/>
      <c r="AE2143" s="24"/>
      <c r="AF2143" s="24"/>
      <c r="AG2143" s="24"/>
      <c r="AH2143" s="24"/>
    </row>
    <row r="2144" spans="1:34" ht="60" x14ac:dyDescent="0.25">
      <c r="A2144" s="24" t="str">
        <f>HYPERLINK("https://www.cpso.on.ca/DoctorDetails/Sharon-Laurie-Zikman/0050986-64965","Zikman, Sharon Laurie")</f>
        <v>Zikman, Sharon Laurie</v>
      </c>
      <c r="B2144" s="25" t="s">
        <v>20029</v>
      </c>
      <c r="C2144" s="24" t="s">
        <v>296</v>
      </c>
      <c r="D2144" s="24" t="s">
        <v>20030</v>
      </c>
      <c r="E2144" s="24" t="s">
        <v>29</v>
      </c>
      <c r="F2144" s="24" t="s">
        <v>47</v>
      </c>
      <c r="G2144" s="24" t="s">
        <v>31</v>
      </c>
      <c r="H2144" s="24" t="s">
        <v>1851</v>
      </c>
      <c r="I2144" s="24" t="s">
        <v>20031</v>
      </c>
      <c r="J2144" s="24" t="s">
        <v>20032</v>
      </c>
      <c r="K2144" s="24" t="s">
        <v>20033</v>
      </c>
      <c r="L2144" s="24" t="s">
        <v>52</v>
      </c>
      <c r="M2144" s="15"/>
      <c r="N2144" s="15"/>
      <c r="O2144" s="15" t="s">
        <v>1760</v>
      </c>
      <c r="P2144" s="15" t="s">
        <v>138</v>
      </c>
      <c r="Q2144" s="15" t="s">
        <v>20034</v>
      </c>
      <c r="R2144" s="15" t="s">
        <v>20035</v>
      </c>
      <c r="S2144" s="24" t="s">
        <v>39</v>
      </c>
      <c r="T2144" s="24" t="s">
        <v>39</v>
      </c>
      <c r="U2144" s="24" t="s">
        <v>39</v>
      </c>
      <c r="V2144" s="24" t="s">
        <v>39</v>
      </c>
      <c r="W2144" s="24" t="s">
        <v>20036</v>
      </c>
      <c r="X2144" s="24" t="s">
        <v>20037</v>
      </c>
      <c r="Y2144" s="15" t="s">
        <v>20038</v>
      </c>
      <c r="Z2144" s="15" t="s">
        <v>20039</v>
      </c>
      <c r="AA2144" s="24"/>
      <c r="AB2144" s="24"/>
      <c r="AC2144" s="24"/>
      <c r="AD2144" s="24"/>
      <c r="AE2144" s="24"/>
      <c r="AF2144" s="24"/>
      <c r="AG2144" s="24"/>
      <c r="AH2144" s="24"/>
    </row>
    <row r="2145" spans="1:34" ht="90" x14ac:dyDescent="0.25">
      <c r="A2145" s="24" t="str">
        <f>HYPERLINK("https://www.cpso.on.ca/DoctorDetails/Sharon-Regina-Reiter/0040248-54224","Reiter, Sharon Regina")</f>
        <v>Reiter, Sharon Regina</v>
      </c>
      <c r="B2145" s="25" t="s">
        <v>20040</v>
      </c>
      <c r="C2145" s="24" t="s">
        <v>3450</v>
      </c>
      <c r="D2145" s="24" t="s">
        <v>8831</v>
      </c>
      <c r="E2145" s="24" t="s">
        <v>29</v>
      </c>
      <c r="F2145" s="24" t="s">
        <v>47</v>
      </c>
      <c r="G2145" s="24" t="s">
        <v>31</v>
      </c>
      <c r="H2145" s="24" t="s">
        <v>3452</v>
      </c>
      <c r="I2145" s="24" t="s">
        <v>20041</v>
      </c>
      <c r="J2145" s="24" t="s">
        <v>16013</v>
      </c>
      <c r="K2145" s="24" t="s">
        <v>4908</v>
      </c>
      <c r="L2145" s="24" t="s">
        <v>52</v>
      </c>
      <c r="M2145" s="15"/>
      <c r="N2145" s="15"/>
      <c r="O2145" s="15" t="s">
        <v>20042</v>
      </c>
      <c r="P2145" s="15" t="s">
        <v>2416</v>
      </c>
      <c r="Q2145" s="15" t="s">
        <v>20043</v>
      </c>
      <c r="R2145" s="15" t="s">
        <v>20044</v>
      </c>
      <c r="S2145" s="24" t="s">
        <v>39</v>
      </c>
      <c r="T2145" s="24" t="s">
        <v>39</v>
      </c>
      <c r="U2145" s="24" t="s">
        <v>39</v>
      </c>
      <c r="V2145" s="24" t="s">
        <v>39</v>
      </c>
      <c r="W2145" s="24"/>
      <c r="X2145" s="24"/>
      <c r="Y2145" s="15"/>
      <c r="Z2145" s="15"/>
      <c r="AA2145" s="24"/>
      <c r="AB2145" s="24"/>
      <c r="AC2145" s="24"/>
      <c r="AD2145" s="24"/>
      <c r="AE2145" s="24"/>
      <c r="AF2145" s="24"/>
      <c r="AG2145" s="24"/>
      <c r="AH2145" s="24"/>
    </row>
    <row r="2146" spans="1:34" ht="105" x14ac:dyDescent="0.25">
      <c r="A2146" s="24" t="str">
        <f>HYPERLINK("https://www.cpso.on.ca/DoctorDetails/Sharon-Rose-Duff/0210149-81162","Duff, Sharon Rose")</f>
        <v>Duff, Sharon Rose</v>
      </c>
      <c r="B2146" s="25" t="s">
        <v>20045</v>
      </c>
      <c r="C2146" s="24" t="s">
        <v>45</v>
      </c>
      <c r="D2146" s="24" t="s">
        <v>20046</v>
      </c>
      <c r="E2146" s="24" t="s">
        <v>29</v>
      </c>
      <c r="F2146" s="24" t="s">
        <v>47</v>
      </c>
      <c r="G2146" s="24" t="s">
        <v>31</v>
      </c>
      <c r="H2146" s="24" t="s">
        <v>48</v>
      </c>
      <c r="I2146" s="24" t="s">
        <v>20047</v>
      </c>
      <c r="J2146" s="24" t="s">
        <v>20048</v>
      </c>
      <c r="K2146" s="24" t="s">
        <v>11538</v>
      </c>
      <c r="L2146" s="24" t="s">
        <v>184</v>
      </c>
      <c r="M2146" s="15"/>
      <c r="N2146" s="15"/>
      <c r="O2146" s="15" t="s">
        <v>726</v>
      </c>
      <c r="P2146" s="15" t="s">
        <v>20049</v>
      </c>
      <c r="Q2146" s="15" t="s">
        <v>20050</v>
      </c>
      <c r="R2146" s="15" t="s">
        <v>20051</v>
      </c>
      <c r="S2146" s="24" t="s">
        <v>39</v>
      </c>
      <c r="T2146" s="24" t="s">
        <v>39</v>
      </c>
      <c r="U2146" s="24" t="s">
        <v>39</v>
      </c>
      <c r="V2146" s="24" t="s">
        <v>39</v>
      </c>
      <c r="W2146" s="24" t="s">
        <v>20052</v>
      </c>
      <c r="X2146" s="24" t="s">
        <v>9259</v>
      </c>
      <c r="Y2146" s="15" t="s">
        <v>20053</v>
      </c>
      <c r="Z2146" s="15" t="s">
        <v>20054</v>
      </c>
      <c r="AA2146" s="24"/>
      <c r="AB2146" s="24"/>
      <c r="AC2146" s="24"/>
      <c r="AD2146" s="24"/>
      <c r="AE2146" s="24"/>
      <c r="AF2146" s="24"/>
      <c r="AG2146" s="24"/>
      <c r="AH2146" s="24"/>
    </row>
    <row r="2147" spans="1:34" ht="75" x14ac:dyDescent="0.25">
      <c r="A2147" s="24" t="str">
        <f>HYPERLINK("https://www.cpso.on.ca/DoctorDetails/Sharon-Susan-Levine/0039179-53155","Levine, Sharon Susan")</f>
        <v>Levine, Sharon Susan</v>
      </c>
      <c r="B2147" s="25" t="s">
        <v>20055</v>
      </c>
      <c r="C2147" s="24" t="s">
        <v>20056</v>
      </c>
      <c r="D2147" s="24" t="s">
        <v>20057</v>
      </c>
      <c r="E2147" s="24" t="s">
        <v>29</v>
      </c>
      <c r="F2147" s="24" t="s">
        <v>47</v>
      </c>
      <c r="G2147" s="24" t="s">
        <v>813</v>
      </c>
      <c r="H2147" s="24" t="s">
        <v>9168</v>
      </c>
      <c r="I2147" s="24" t="s">
        <v>742</v>
      </c>
      <c r="J2147" s="24" t="s">
        <v>8043</v>
      </c>
      <c r="K2147" s="24" t="s">
        <v>1613</v>
      </c>
      <c r="L2147" s="24" t="s">
        <v>84</v>
      </c>
      <c r="M2147" s="15"/>
      <c r="N2147" s="15" t="s">
        <v>710</v>
      </c>
      <c r="O2147" s="15" t="s">
        <v>3045</v>
      </c>
      <c r="P2147" s="15" t="s">
        <v>20058</v>
      </c>
      <c r="Q2147" s="15" t="s">
        <v>20059</v>
      </c>
      <c r="R2147" s="15" t="s">
        <v>20060</v>
      </c>
      <c r="S2147" s="24" t="s">
        <v>39</v>
      </c>
      <c r="T2147" s="24" t="s">
        <v>39</v>
      </c>
      <c r="U2147" s="24" t="s">
        <v>39</v>
      </c>
      <c r="V2147" s="24" t="s">
        <v>39</v>
      </c>
      <c r="W2147" s="24"/>
      <c r="X2147" s="24"/>
      <c r="Y2147" s="15"/>
      <c r="Z2147" s="15"/>
      <c r="AA2147" s="24"/>
      <c r="AB2147" s="24"/>
      <c r="AC2147" s="24"/>
      <c r="AD2147" s="24"/>
      <c r="AE2147" s="24"/>
      <c r="AF2147" s="24"/>
      <c r="AG2147" s="24"/>
      <c r="AH2147" s="24"/>
    </row>
    <row r="2148" spans="1:34" ht="75" x14ac:dyDescent="0.25">
      <c r="A2148" s="24" t="str">
        <f>HYPERLINK("https://www.cpso.on.ca/DoctorDetails/Sharon-Szmuilowicz/0210727-81050","Szmuilowicz, Sharon")</f>
        <v>Szmuilowicz, Sharon</v>
      </c>
      <c r="B2148" s="25" t="s">
        <v>20061</v>
      </c>
      <c r="C2148" s="24" t="s">
        <v>20062</v>
      </c>
      <c r="D2148" s="24" t="s">
        <v>20063</v>
      </c>
      <c r="E2148" s="24" t="s">
        <v>29</v>
      </c>
      <c r="F2148" s="24" t="s">
        <v>47</v>
      </c>
      <c r="G2148" s="24" t="s">
        <v>115</v>
      </c>
      <c r="H2148" s="24" t="s">
        <v>1170</v>
      </c>
      <c r="I2148" s="24" t="s">
        <v>20064</v>
      </c>
      <c r="J2148" s="24" t="s">
        <v>20065</v>
      </c>
      <c r="K2148" s="24" t="s">
        <v>1528</v>
      </c>
      <c r="L2148" s="24" t="s">
        <v>52</v>
      </c>
      <c r="M2148" s="15"/>
      <c r="N2148" s="15"/>
      <c r="O2148" s="15" t="s">
        <v>1201</v>
      </c>
      <c r="P2148" s="15" t="s">
        <v>55</v>
      </c>
      <c r="Q2148" s="15" t="s">
        <v>56</v>
      </c>
      <c r="R2148" s="15" t="s">
        <v>20066</v>
      </c>
      <c r="S2148" s="24" t="s">
        <v>39</v>
      </c>
      <c r="T2148" s="24" t="s">
        <v>39</v>
      </c>
      <c r="U2148" s="24" t="s">
        <v>39</v>
      </c>
      <c r="V2148" s="24" t="s">
        <v>39</v>
      </c>
      <c r="W2148" s="24" t="s">
        <v>20067</v>
      </c>
      <c r="X2148" s="24" t="s">
        <v>10383</v>
      </c>
      <c r="Y2148" s="15" t="s">
        <v>20068</v>
      </c>
      <c r="Z2148" s="15" t="s">
        <v>20069</v>
      </c>
      <c r="AA2148" s="24"/>
      <c r="AB2148" s="24"/>
      <c r="AC2148" s="24"/>
      <c r="AD2148" s="24"/>
      <c r="AE2148" s="24"/>
      <c r="AF2148" s="24"/>
      <c r="AG2148" s="24"/>
      <c r="AH2148" s="24"/>
    </row>
    <row r="2149" spans="1:34" ht="90" x14ac:dyDescent="0.25">
      <c r="A2149" s="24" t="str">
        <f>HYPERLINK("https://www.cpso.on.ca/DoctorDetails/Shawn-Vasdev/0242532-86279","Vasdev, Shawn")</f>
        <v>Vasdev, Shawn</v>
      </c>
      <c r="B2149" s="25" t="s">
        <v>20070</v>
      </c>
      <c r="C2149" s="24" t="s">
        <v>1266</v>
      </c>
      <c r="D2149" s="24" t="s">
        <v>1594</v>
      </c>
      <c r="E2149" s="24" t="s">
        <v>29</v>
      </c>
      <c r="F2149" s="24" t="s">
        <v>30</v>
      </c>
      <c r="G2149" s="24" t="s">
        <v>31</v>
      </c>
      <c r="H2149" s="24" t="s">
        <v>4717</v>
      </c>
      <c r="I2149" s="24" t="s">
        <v>20071</v>
      </c>
      <c r="J2149" s="24" t="s">
        <v>20072</v>
      </c>
      <c r="K2149" s="24" t="s">
        <v>20073</v>
      </c>
      <c r="L2149" s="24" t="s">
        <v>36</v>
      </c>
      <c r="M2149" s="15"/>
      <c r="N2149" s="15"/>
      <c r="O2149" s="15"/>
      <c r="P2149" s="15" t="s">
        <v>1074</v>
      </c>
      <c r="Q2149" s="15" t="s">
        <v>1601</v>
      </c>
      <c r="R2149" s="15" t="s">
        <v>20074</v>
      </c>
      <c r="S2149" s="24" t="s">
        <v>39</v>
      </c>
      <c r="T2149" s="24" t="s">
        <v>39</v>
      </c>
      <c r="U2149" s="24" t="s">
        <v>39</v>
      </c>
      <c r="V2149" s="24" t="s">
        <v>39</v>
      </c>
      <c r="W2149" s="24" t="s">
        <v>20075</v>
      </c>
      <c r="X2149" s="24" t="s">
        <v>20076</v>
      </c>
      <c r="Y2149" s="15" t="s">
        <v>20077</v>
      </c>
      <c r="Z2149" s="15" t="s">
        <v>20078</v>
      </c>
      <c r="AA2149" s="24"/>
      <c r="AB2149" s="24"/>
      <c r="AC2149" s="24"/>
      <c r="AD2149" s="24"/>
      <c r="AE2149" s="24"/>
      <c r="AF2149" s="24"/>
      <c r="AG2149" s="24"/>
      <c r="AH2149" s="24"/>
    </row>
    <row r="2150" spans="1:34" ht="75" x14ac:dyDescent="0.25">
      <c r="A2150" s="24" t="str">
        <f>HYPERLINK("https://www.cpso.on.ca/DoctorDetails/Sheila-Christine-Harms/0200782-79075","Harms, Sheila Christine")</f>
        <v>Harms, Sheila Christine</v>
      </c>
      <c r="B2150" s="25" t="s">
        <v>20079</v>
      </c>
      <c r="C2150" s="24" t="s">
        <v>871</v>
      </c>
      <c r="D2150" s="24" t="s">
        <v>872</v>
      </c>
      <c r="E2150" s="24" t="s">
        <v>29</v>
      </c>
      <c r="F2150" s="24" t="s">
        <v>47</v>
      </c>
      <c r="G2150" s="24" t="s">
        <v>31</v>
      </c>
      <c r="H2150" s="24" t="s">
        <v>1604</v>
      </c>
      <c r="I2150" s="24" t="s">
        <v>20080</v>
      </c>
      <c r="J2150" s="24" t="s">
        <v>20081</v>
      </c>
      <c r="K2150" s="24" t="s">
        <v>20082</v>
      </c>
      <c r="L2150" s="24" t="s">
        <v>184</v>
      </c>
      <c r="M2150" s="15"/>
      <c r="N2150" s="15"/>
      <c r="O2150" s="15" t="s">
        <v>4002</v>
      </c>
      <c r="P2150" s="15" t="s">
        <v>880</v>
      </c>
      <c r="Q2150" s="15" t="s">
        <v>881</v>
      </c>
      <c r="R2150" s="15" t="s">
        <v>882</v>
      </c>
      <c r="S2150" s="24" t="s">
        <v>39</v>
      </c>
      <c r="T2150" s="24" t="s">
        <v>39</v>
      </c>
      <c r="U2150" s="24" t="s">
        <v>39</v>
      </c>
      <c r="V2150" s="24" t="s">
        <v>39</v>
      </c>
      <c r="W2150" s="24" t="s">
        <v>20083</v>
      </c>
      <c r="X2150" s="24" t="s">
        <v>18463</v>
      </c>
      <c r="Y2150" s="15" t="s">
        <v>20084</v>
      </c>
      <c r="Z2150" s="15" t="s">
        <v>20085</v>
      </c>
      <c r="AA2150" s="24"/>
      <c r="AB2150" s="24"/>
      <c r="AC2150" s="24"/>
      <c r="AD2150" s="24"/>
      <c r="AE2150" s="24"/>
      <c r="AF2150" s="24"/>
      <c r="AG2150" s="24"/>
      <c r="AH2150" s="24"/>
    </row>
    <row r="2151" spans="1:34" ht="195" x14ac:dyDescent="0.25">
      <c r="A2151" s="24" t="str">
        <f>HYPERLINK("https://www.cpso.on.ca/DoctorDetails/Shelinderjit-Dhaliwal/0280548-97857","Dhaliwal, Shelinderjit")</f>
        <v>Dhaliwal, Shelinderjit</v>
      </c>
      <c r="B2151" s="25" t="s">
        <v>20086</v>
      </c>
      <c r="C2151" s="24" t="s">
        <v>19695</v>
      </c>
      <c r="D2151" s="24" t="s">
        <v>19696</v>
      </c>
      <c r="E2151" s="24" t="s">
        <v>29</v>
      </c>
      <c r="F2151" s="24" t="s">
        <v>47</v>
      </c>
      <c r="G2151" s="24" t="s">
        <v>31</v>
      </c>
      <c r="H2151" s="24" t="s">
        <v>20087</v>
      </c>
      <c r="I2151" s="24" t="s">
        <v>20088</v>
      </c>
      <c r="J2151" s="24" t="s">
        <v>2278</v>
      </c>
      <c r="K2151" s="24"/>
      <c r="L2151" s="24" t="s">
        <v>340</v>
      </c>
      <c r="M2151" s="15"/>
      <c r="N2151" s="15"/>
      <c r="O2151" s="15" t="s">
        <v>2972</v>
      </c>
      <c r="P2151" s="15" t="s">
        <v>20089</v>
      </c>
      <c r="Q2151" s="15" t="s">
        <v>20090</v>
      </c>
      <c r="R2151" s="15" t="s">
        <v>20091</v>
      </c>
      <c r="S2151" s="24" t="s">
        <v>39</v>
      </c>
      <c r="T2151" s="24" t="s">
        <v>39</v>
      </c>
      <c r="U2151" s="24" t="s">
        <v>39</v>
      </c>
      <c r="V2151" s="24" t="s">
        <v>39</v>
      </c>
      <c r="W2151" s="24" t="s">
        <v>20092</v>
      </c>
      <c r="X2151" s="24" t="s">
        <v>11665</v>
      </c>
      <c r="Y2151" s="15" t="s">
        <v>20093</v>
      </c>
      <c r="Z2151" s="15" t="s">
        <v>20094</v>
      </c>
      <c r="AA2151" s="24"/>
      <c r="AB2151" s="24"/>
      <c r="AC2151" s="24"/>
      <c r="AD2151" s="24"/>
      <c r="AE2151" s="24"/>
      <c r="AF2151" s="24"/>
      <c r="AG2151" s="24"/>
      <c r="AH2151" s="24"/>
    </row>
    <row r="2152" spans="1:34" ht="30" x14ac:dyDescent="0.25">
      <c r="A2152" s="24" t="str">
        <f>HYPERLINK("https://www.cpso.on.ca/DoctorDetails/Shelley-Carolyn-Brook/0039212-53188","Brook, Shelley Carolyn")</f>
        <v>Brook, Shelley Carolyn</v>
      </c>
      <c r="B2152" s="25" t="s">
        <v>20095</v>
      </c>
      <c r="C2152" s="24" t="s">
        <v>2000</v>
      </c>
      <c r="D2152" s="24" t="s">
        <v>20096</v>
      </c>
      <c r="E2152" s="24" t="s">
        <v>29</v>
      </c>
      <c r="F2152" s="24" t="s">
        <v>47</v>
      </c>
      <c r="G2152" s="24" t="s">
        <v>31</v>
      </c>
      <c r="H2152" s="24" t="s">
        <v>1720</v>
      </c>
      <c r="I2152" s="24" t="s">
        <v>20097</v>
      </c>
      <c r="J2152" s="24" t="s">
        <v>20098</v>
      </c>
      <c r="K2152" s="24" t="s">
        <v>218</v>
      </c>
      <c r="L2152" s="24" t="s">
        <v>52</v>
      </c>
      <c r="M2152" s="15" t="s">
        <v>20099</v>
      </c>
      <c r="N2152" s="15"/>
      <c r="O2152" s="15" t="s">
        <v>20100</v>
      </c>
      <c r="P2152" s="15" t="s">
        <v>808</v>
      </c>
      <c r="Q2152" s="15"/>
      <c r="R2152" s="15" t="s">
        <v>20101</v>
      </c>
      <c r="S2152" s="24" t="s">
        <v>39</v>
      </c>
      <c r="T2152" s="24" t="s">
        <v>39</v>
      </c>
      <c r="U2152" s="24" t="s">
        <v>39</v>
      </c>
      <c r="V2152" s="24" t="s">
        <v>39</v>
      </c>
      <c r="W2152" s="24" t="s">
        <v>20102</v>
      </c>
      <c r="X2152" s="24" t="s">
        <v>20103</v>
      </c>
      <c r="Y2152" s="15" t="s">
        <v>20104</v>
      </c>
      <c r="Z2152" s="15" t="s">
        <v>20105</v>
      </c>
      <c r="AA2152" s="24" t="s">
        <v>6172</v>
      </c>
      <c r="AB2152" s="24" t="s">
        <v>6173</v>
      </c>
      <c r="AC2152" s="24" t="s">
        <v>6174</v>
      </c>
      <c r="AD2152" s="24" t="s">
        <v>6175</v>
      </c>
      <c r="AE2152" s="24"/>
      <c r="AF2152" s="24"/>
      <c r="AG2152" s="24"/>
      <c r="AH2152" s="24"/>
    </row>
    <row r="2153" spans="1:34" x14ac:dyDescent="0.25">
      <c r="A2153" s="24" t="str">
        <f>HYPERLINK("https://www.cpso.on.ca/DoctorDetails/Shelly-Galler/0028694-33517","Galler, Shelly")</f>
        <v>Galler, Shelly</v>
      </c>
      <c r="B2153" s="25" t="s">
        <v>20106</v>
      </c>
      <c r="C2153" s="24" t="s">
        <v>20107</v>
      </c>
      <c r="D2153" s="24" t="s">
        <v>12510</v>
      </c>
      <c r="E2153" s="24" t="s">
        <v>29</v>
      </c>
      <c r="F2153" s="24" t="s">
        <v>47</v>
      </c>
      <c r="G2153" s="24" t="s">
        <v>20108</v>
      </c>
      <c r="H2153" s="24" t="s">
        <v>11037</v>
      </c>
      <c r="I2153" s="24" t="s">
        <v>20109</v>
      </c>
      <c r="J2153" s="24" t="s">
        <v>20110</v>
      </c>
      <c r="K2153" s="24" t="s">
        <v>20111</v>
      </c>
      <c r="L2153" s="24" t="s">
        <v>52</v>
      </c>
      <c r="M2153" s="15"/>
      <c r="N2153" s="15"/>
      <c r="O2153" s="15"/>
      <c r="P2153" s="15" t="s">
        <v>316</v>
      </c>
      <c r="Q2153" s="15"/>
      <c r="R2153" s="15" t="s">
        <v>20112</v>
      </c>
      <c r="S2153" s="24" t="s">
        <v>39</v>
      </c>
      <c r="T2153" s="24" t="s">
        <v>39</v>
      </c>
      <c r="U2153" s="24" t="s">
        <v>39</v>
      </c>
      <c r="V2153" s="24" t="s">
        <v>39</v>
      </c>
      <c r="W2153" s="24"/>
      <c r="X2153" s="24"/>
      <c r="Y2153" s="15"/>
      <c r="Z2153" s="15"/>
      <c r="AA2153" s="24"/>
      <c r="AB2153" s="24"/>
      <c r="AC2153" s="24"/>
      <c r="AD2153" s="24"/>
      <c r="AE2153" s="24"/>
      <c r="AF2153" s="24"/>
      <c r="AG2153" s="24"/>
      <c r="AH2153" s="24"/>
    </row>
    <row r="2154" spans="1:34" ht="45" x14ac:dyDescent="0.25">
      <c r="A2154" s="24" t="str">
        <f>HYPERLINK("https://www.cpso.on.ca/DoctorDetails/Sher-Baz-Khan/0243700-87566","Khan, Sher Baz")</f>
        <v>Khan, Sher Baz</v>
      </c>
      <c r="B2154" s="25" t="s">
        <v>20113</v>
      </c>
      <c r="C2154" s="24" t="s">
        <v>20114</v>
      </c>
      <c r="D2154" s="24" t="s">
        <v>20115</v>
      </c>
      <c r="E2154" s="24" t="s">
        <v>29</v>
      </c>
      <c r="F2154" s="24" t="s">
        <v>30</v>
      </c>
      <c r="G2154" s="24" t="s">
        <v>31</v>
      </c>
      <c r="H2154" s="24" t="s">
        <v>20116</v>
      </c>
      <c r="I2154" s="24" t="s">
        <v>20117</v>
      </c>
      <c r="J2154" s="24" t="s">
        <v>10103</v>
      </c>
      <c r="K2154" s="24"/>
      <c r="L2154" s="24" t="s">
        <v>36</v>
      </c>
      <c r="M2154" s="15"/>
      <c r="N2154" s="15"/>
      <c r="O2154" s="15"/>
      <c r="P2154" s="15" t="s">
        <v>1239</v>
      </c>
      <c r="Q2154" s="15"/>
      <c r="R2154" s="15" t="s">
        <v>20118</v>
      </c>
      <c r="S2154" s="24" t="s">
        <v>39</v>
      </c>
      <c r="T2154" s="24" t="s">
        <v>39</v>
      </c>
      <c r="U2154" s="24" t="s">
        <v>39</v>
      </c>
      <c r="V2154" s="24" t="s">
        <v>39</v>
      </c>
      <c r="W2154" s="24" t="s">
        <v>20119</v>
      </c>
      <c r="X2154" s="24" t="s">
        <v>20120</v>
      </c>
      <c r="Y2154" s="15" t="s">
        <v>20121</v>
      </c>
      <c r="Z2154" s="15" t="s">
        <v>20122</v>
      </c>
      <c r="AA2154" s="24"/>
      <c r="AB2154" s="24"/>
      <c r="AC2154" s="24"/>
      <c r="AD2154" s="24"/>
      <c r="AE2154" s="24"/>
      <c r="AF2154" s="24"/>
      <c r="AG2154" s="24"/>
      <c r="AH2154" s="24"/>
    </row>
    <row r="2155" spans="1:34" ht="75" x14ac:dyDescent="0.25">
      <c r="A2155" s="24" t="str">
        <f>HYPERLINK("https://www.cpso.on.ca/DoctorDetails/Sherese-Ali/0173040-74742","Ali, Sherese")</f>
        <v>Ali, Sherese</v>
      </c>
      <c r="B2155" s="25" t="s">
        <v>20123</v>
      </c>
      <c r="C2155" s="24" t="s">
        <v>20124</v>
      </c>
      <c r="D2155" s="24" t="s">
        <v>20125</v>
      </c>
      <c r="E2155" s="24" t="s">
        <v>29</v>
      </c>
      <c r="F2155" s="24" t="s">
        <v>47</v>
      </c>
      <c r="G2155" s="24" t="s">
        <v>115</v>
      </c>
      <c r="H2155" s="24" t="s">
        <v>20126</v>
      </c>
      <c r="I2155" s="24" t="s">
        <v>20127</v>
      </c>
      <c r="J2155" s="24" t="s">
        <v>20128</v>
      </c>
      <c r="K2155" s="24" t="s">
        <v>20129</v>
      </c>
      <c r="L2155" s="24" t="s">
        <v>52</v>
      </c>
      <c r="M2155" s="15"/>
      <c r="N2155" s="15"/>
      <c r="O2155" s="15"/>
      <c r="P2155" s="15" t="s">
        <v>1239</v>
      </c>
      <c r="Q2155" s="15" t="s">
        <v>18195</v>
      </c>
      <c r="R2155" s="15" t="s">
        <v>20130</v>
      </c>
      <c r="S2155" s="24" t="s">
        <v>39</v>
      </c>
      <c r="T2155" s="24" t="s">
        <v>39</v>
      </c>
      <c r="U2155" s="24" t="s">
        <v>39</v>
      </c>
      <c r="V2155" s="24" t="s">
        <v>39</v>
      </c>
      <c r="W2155" s="24"/>
      <c r="X2155" s="24"/>
      <c r="Y2155" s="15"/>
      <c r="Z2155" s="15"/>
      <c r="AA2155" s="24"/>
      <c r="AB2155" s="24"/>
      <c r="AC2155" s="24"/>
      <c r="AD2155" s="24"/>
      <c r="AE2155" s="24"/>
      <c r="AF2155" s="24"/>
      <c r="AG2155" s="24"/>
      <c r="AH2155" s="24"/>
    </row>
    <row r="2156" spans="1:34" ht="90" x14ac:dyDescent="0.25">
      <c r="A2156" s="24" t="str">
        <f>HYPERLINK("https://www.cpso.on.ca/DoctorDetails/Sheri-Lynn-AhSue/0247574-88163","Ah-Sue, Sheri Lynn")</f>
        <v>Ah-Sue, Sheri Lynn</v>
      </c>
      <c r="B2156" s="25" t="s">
        <v>20131</v>
      </c>
      <c r="C2156" s="24" t="s">
        <v>11915</v>
      </c>
      <c r="D2156" s="24" t="s">
        <v>11916</v>
      </c>
      <c r="E2156" s="24" t="s">
        <v>29</v>
      </c>
      <c r="F2156" s="24" t="s">
        <v>47</v>
      </c>
      <c r="G2156" s="24" t="s">
        <v>813</v>
      </c>
      <c r="H2156" s="24" t="s">
        <v>20132</v>
      </c>
      <c r="I2156" s="24" t="s">
        <v>20133</v>
      </c>
      <c r="J2156" s="24" t="s">
        <v>1262</v>
      </c>
      <c r="K2156" s="24"/>
      <c r="L2156" s="24" t="s">
        <v>52</v>
      </c>
      <c r="M2156" s="15"/>
      <c r="N2156" s="15"/>
      <c r="O2156" s="15" t="s">
        <v>981</v>
      </c>
      <c r="P2156" s="15" t="s">
        <v>20134</v>
      </c>
      <c r="Q2156" s="15" t="s">
        <v>20135</v>
      </c>
      <c r="R2156" s="15" t="s">
        <v>11920</v>
      </c>
      <c r="S2156" s="24" t="s">
        <v>39</v>
      </c>
      <c r="T2156" s="24" t="s">
        <v>39</v>
      </c>
      <c r="U2156" s="24" t="s">
        <v>39</v>
      </c>
      <c r="V2156" s="24" t="s">
        <v>39</v>
      </c>
      <c r="W2156" s="24"/>
      <c r="X2156" s="24"/>
      <c r="Y2156" s="15"/>
      <c r="Z2156" s="15"/>
      <c r="AA2156" s="24"/>
      <c r="AB2156" s="24"/>
      <c r="AC2156" s="24"/>
      <c r="AD2156" s="24"/>
      <c r="AE2156" s="24"/>
      <c r="AF2156" s="24"/>
      <c r="AG2156" s="24"/>
      <c r="AH2156" s="24"/>
    </row>
    <row r="2157" spans="1:34" ht="135" x14ac:dyDescent="0.25">
      <c r="A2157" s="24" t="str">
        <f>HYPERLINK("https://www.cpso.on.ca/DoctorDetails/Sherief-ElSayed-Mohamed-Marzouk/0243061-87115","Marzouk, Sherief El-Sayed Mohamed")</f>
        <v>Marzouk, Sherief El-Sayed Mohamed</v>
      </c>
      <c r="B2157" s="25" t="s">
        <v>20136</v>
      </c>
      <c r="C2157" s="24" t="s">
        <v>1115</v>
      </c>
      <c r="D2157" s="24" t="s">
        <v>20137</v>
      </c>
      <c r="E2157" s="24" t="s">
        <v>29</v>
      </c>
      <c r="F2157" s="24" t="s">
        <v>30</v>
      </c>
      <c r="G2157" s="24" t="s">
        <v>31</v>
      </c>
      <c r="H2157" s="24" t="s">
        <v>20138</v>
      </c>
      <c r="I2157" s="24" t="s">
        <v>10253</v>
      </c>
      <c r="J2157" s="24" t="s">
        <v>18389</v>
      </c>
      <c r="K2157" s="24"/>
      <c r="L2157" s="24" t="s">
        <v>52</v>
      </c>
      <c r="M2157" s="15" t="s">
        <v>20139</v>
      </c>
      <c r="N2157" s="15"/>
      <c r="O2157" s="15" t="s">
        <v>20140</v>
      </c>
      <c r="P2157" s="15" t="s">
        <v>1074</v>
      </c>
      <c r="Q2157" s="15" t="s">
        <v>20141</v>
      </c>
      <c r="R2157" s="15" t="s">
        <v>20142</v>
      </c>
      <c r="S2157" s="24" t="s">
        <v>39</v>
      </c>
      <c r="T2157" s="24" t="s">
        <v>39</v>
      </c>
      <c r="U2157" s="24" t="s">
        <v>39</v>
      </c>
      <c r="V2157" s="24" t="s">
        <v>39</v>
      </c>
      <c r="W2157" s="24" t="s">
        <v>20143</v>
      </c>
      <c r="X2157" s="24" t="s">
        <v>20144</v>
      </c>
      <c r="Y2157" s="15" t="s">
        <v>20145</v>
      </c>
      <c r="Z2157" s="15" t="s">
        <v>20146</v>
      </c>
      <c r="AA2157" s="24"/>
      <c r="AB2157" s="24"/>
      <c r="AC2157" s="24"/>
      <c r="AD2157" s="24"/>
      <c r="AE2157" s="24"/>
      <c r="AF2157" s="24"/>
      <c r="AG2157" s="24"/>
      <c r="AH2157" s="24"/>
    </row>
    <row r="2158" spans="1:34" ht="135" x14ac:dyDescent="0.25">
      <c r="A2158" s="24" t="str">
        <f>HYPERLINK("https://www.cpso.on.ca/DoctorDetails/Sherif-Tewfik/0050654-64633","Tewfik, Sherif")</f>
        <v>Tewfik, Sherif</v>
      </c>
      <c r="B2158" s="25" t="s">
        <v>20147</v>
      </c>
      <c r="C2158" s="24" t="s">
        <v>20148</v>
      </c>
      <c r="D2158" s="24" t="s">
        <v>20149</v>
      </c>
      <c r="E2158" s="24" t="s">
        <v>29</v>
      </c>
      <c r="F2158" s="24" t="s">
        <v>30</v>
      </c>
      <c r="G2158" s="24" t="s">
        <v>105</v>
      </c>
      <c r="H2158" s="24" t="s">
        <v>2666</v>
      </c>
      <c r="I2158" s="24" t="s">
        <v>20150</v>
      </c>
      <c r="J2158" s="24" t="s">
        <v>20151</v>
      </c>
      <c r="K2158" s="24" t="s">
        <v>20152</v>
      </c>
      <c r="L2158" s="24" t="s">
        <v>52</v>
      </c>
      <c r="M2158" s="15" t="s">
        <v>20153</v>
      </c>
      <c r="N2158" s="15"/>
      <c r="O2158" s="15"/>
      <c r="P2158" s="15" t="s">
        <v>512</v>
      </c>
      <c r="Q2158" s="15" t="s">
        <v>20154</v>
      </c>
      <c r="R2158" s="15" t="s">
        <v>20155</v>
      </c>
      <c r="S2158" s="24" t="s">
        <v>39</v>
      </c>
      <c r="T2158" s="24" t="s">
        <v>39</v>
      </c>
      <c r="U2158" s="24" t="s">
        <v>39</v>
      </c>
      <c r="V2158" s="24" t="s">
        <v>39</v>
      </c>
      <c r="W2158" s="24" t="s">
        <v>20156</v>
      </c>
      <c r="X2158" s="24" t="s">
        <v>16035</v>
      </c>
      <c r="Y2158" s="15" t="s">
        <v>20157</v>
      </c>
      <c r="Z2158" s="15" t="s">
        <v>20158</v>
      </c>
      <c r="AA2158" s="24"/>
      <c r="AB2158" s="24"/>
      <c r="AC2158" s="24"/>
      <c r="AD2158" s="24"/>
      <c r="AE2158" s="24"/>
      <c r="AF2158" s="24"/>
      <c r="AG2158" s="24"/>
      <c r="AH2158" s="24"/>
    </row>
    <row r="2159" spans="1:34" x14ac:dyDescent="0.25">
      <c r="A2159" s="24" t="str">
        <f>HYPERLINK("https://www.cpso.on.ca/DoctorDetails/Sherry-Joy-Taub/0044982-58960","Taub, Sherry Joy")</f>
        <v>Taub, Sherry Joy</v>
      </c>
      <c r="B2159" s="25" t="s">
        <v>20159</v>
      </c>
      <c r="C2159" s="24" t="s">
        <v>20160</v>
      </c>
      <c r="D2159" s="24" t="s">
        <v>705</v>
      </c>
      <c r="E2159" s="24" t="s">
        <v>29</v>
      </c>
      <c r="F2159" s="24" t="s">
        <v>47</v>
      </c>
      <c r="G2159" s="24" t="s">
        <v>31</v>
      </c>
      <c r="H2159" s="24" t="s">
        <v>6822</v>
      </c>
      <c r="I2159" s="24" t="s">
        <v>20161</v>
      </c>
      <c r="J2159" s="24" t="s">
        <v>20162</v>
      </c>
      <c r="K2159" s="24" t="s">
        <v>20163</v>
      </c>
      <c r="L2159" s="24" t="s">
        <v>36</v>
      </c>
      <c r="M2159" s="15"/>
      <c r="N2159" s="15"/>
      <c r="O2159" s="15"/>
      <c r="P2159" s="15" t="s">
        <v>20164</v>
      </c>
      <c r="Q2159" s="15"/>
      <c r="R2159" s="15" t="s">
        <v>20165</v>
      </c>
      <c r="S2159" s="24" t="s">
        <v>39</v>
      </c>
      <c r="T2159" s="24" t="s">
        <v>39</v>
      </c>
      <c r="U2159" s="24" t="s">
        <v>39</v>
      </c>
      <c r="V2159" s="24" t="s">
        <v>39</v>
      </c>
      <c r="W2159" s="24" t="s">
        <v>20166</v>
      </c>
      <c r="X2159" s="24" t="s">
        <v>20167</v>
      </c>
      <c r="Y2159" s="15" t="s">
        <v>20168</v>
      </c>
      <c r="Z2159" s="15" t="s">
        <v>20169</v>
      </c>
      <c r="AA2159" s="24"/>
      <c r="AB2159" s="24"/>
      <c r="AC2159" s="24"/>
      <c r="AD2159" s="24"/>
      <c r="AE2159" s="24"/>
      <c r="AF2159" s="24"/>
      <c r="AG2159" s="24"/>
      <c r="AH2159" s="24"/>
    </row>
    <row r="2160" spans="1:34" x14ac:dyDescent="0.25">
      <c r="A2160" s="24" t="str">
        <f>HYPERLINK("https://www.cpso.on.ca/DoctorDetails/Sherry-Tziporah-Cohen/0251577-89706","Cohen, Sherry Tziporah")</f>
        <v>Cohen, Sherry Tziporah</v>
      </c>
      <c r="B2160" s="25" t="s">
        <v>20170</v>
      </c>
      <c r="C2160" s="24" t="s">
        <v>4431</v>
      </c>
      <c r="D2160" s="24" t="s">
        <v>4432</v>
      </c>
      <c r="E2160" s="24" t="s">
        <v>29</v>
      </c>
      <c r="F2160" s="24" t="s">
        <v>47</v>
      </c>
      <c r="G2160" s="24" t="s">
        <v>31</v>
      </c>
      <c r="H2160" s="24" t="s">
        <v>20171</v>
      </c>
      <c r="I2160" s="24" t="s">
        <v>20172</v>
      </c>
      <c r="J2160" s="24" t="s">
        <v>20173</v>
      </c>
      <c r="K2160" s="24" t="s">
        <v>12612</v>
      </c>
      <c r="L2160" s="24" t="s">
        <v>52</v>
      </c>
      <c r="M2160" s="15"/>
      <c r="N2160" s="15"/>
      <c r="O2160" s="15" t="s">
        <v>232</v>
      </c>
      <c r="P2160" s="15" t="s">
        <v>1803</v>
      </c>
      <c r="Q2160" s="15"/>
      <c r="R2160" s="15" t="s">
        <v>20174</v>
      </c>
      <c r="S2160" s="24" t="s">
        <v>39</v>
      </c>
      <c r="T2160" s="24" t="s">
        <v>39</v>
      </c>
      <c r="U2160" s="24" t="s">
        <v>39</v>
      </c>
      <c r="V2160" s="24" t="s">
        <v>39</v>
      </c>
      <c r="W2160" s="24"/>
      <c r="X2160" s="24"/>
      <c r="Y2160" s="15"/>
      <c r="Z2160" s="15"/>
      <c r="AA2160" s="24"/>
      <c r="AB2160" s="24"/>
      <c r="AC2160" s="24"/>
      <c r="AD2160" s="24"/>
      <c r="AE2160" s="24"/>
      <c r="AF2160" s="24"/>
      <c r="AG2160" s="24"/>
      <c r="AH2160" s="24"/>
    </row>
    <row r="2161" spans="1:34" ht="45" x14ac:dyDescent="0.25">
      <c r="A2161" s="24" t="str">
        <f>HYPERLINK("https://www.cpso.on.ca/DoctorDetails/Shery-Helen-Kales-Zener/0021924-26713","Zener, Shery Helen Kales")</f>
        <v>Zener, Shery Helen Kales</v>
      </c>
      <c r="B2161" s="25" t="s">
        <v>20175</v>
      </c>
      <c r="C2161" s="24" t="s">
        <v>20176</v>
      </c>
      <c r="D2161" s="24" t="s">
        <v>20177</v>
      </c>
      <c r="E2161" s="24" t="s">
        <v>29</v>
      </c>
      <c r="F2161" s="24" t="s">
        <v>47</v>
      </c>
      <c r="G2161" s="24" t="s">
        <v>6470</v>
      </c>
      <c r="H2161" s="24" t="s">
        <v>455</v>
      </c>
      <c r="I2161" s="24" t="s">
        <v>20178</v>
      </c>
      <c r="J2161" s="24" t="s">
        <v>20179</v>
      </c>
      <c r="K2161" s="24" t="s">
        <v>15874</v>
      </c>
      <c r="L2161" s="24" t="s">
        <v>52</v>
      </c>
      <c r="M2161" s="15"/>
      <c r="N2161" s="15"/>
      <c r="O2161" s="15"/>
      <c r="P2161" s="15" t="s">
        <v>20180</v>
      </c>
      <c r="Q2161" s="15"/>
      <c r="R2161" s="15" t="s">
        <v>20181</v>
      </c>
      <c r="S2161" s="24" t="s">
        <v>39</v>
      </c>
      <c r="T2161" s="24" t="s">
        <v>39</v>
      </c>
      <c r="U2161" s="24" t="s">
        <v>39</v>
      </c>
      <c r="V2161" s="24" t="s">
        <v>39</v>
      </c>
      <c r="W2161" s="24" t="s">
        <v>20182</v>
      </c>
      <c r="X2161" s="24" t="s">
        <v>11956</v>
      </c>
      <c r="Y2161" s="15" t="s">
        <v>20183</v>
      </c>
      <c r="Z2161" s="15" t="s">
        <v>20184</v>
      </c>
      <c r="AA2161" s="24"/>
      <c r="AB2161" s="24"/>
      <c r="AC2161" s="24"/>
      <c r="AD2161" s="24"/>
      <c r="AE2161" s="24"/>
      <c r="AF2161" s="24"/>
      <c r="AG2161" s="24"/>
      <c r="AH2161" s="24"/>
    </row>
    <row r="2162" spans="1:34" ht="30" x14ac:dyDescent="0.25">
      <c r="A2162" s="24" t="str">
        <f>HYPERLINK("https://www.cpso.on.ca/DoctorDetails/ShiKai-Liu/0259583-91749","Liu, Shi-Kai")</f>
        <v>Liu, Shi-Kai</v>
      </c>
      <c r="B2162" s="25" t="s">
        <v>20185</v>
      </c>
      <c r="C2162" s="24" t="s">
        <v>442</v>
      </c>
      <c r="D2162" s="24" t="s">
        <v>20186</v>
      </c>
      <c r="E2162" s="24" t="s">
        <v>29</v>
      </c>
      <c r="F2162" s="24" t="s">
        <v>30</v>
      </c>
      <c r="G2162" s="24" t="s">
        <v>20187</v>
      </c>
      <c r="H2162" s="24" t="s">
        <v>20188</v>
      </c>
      <c r="I2162" s="24" t="s">
        <v>20189</v>
      </c>
      <c r="J2162" s="24" t="s">
        <v>20190</v>
      </c>
      <c r="K2162" s="24" t="s">
        <v>20191</v>
      </c>
      <c r="L2162" s="24" t="s">
        <v>52</v>
      </c>
      <c r="M2162" s="15" t="s">
        <v>20192</v>
      </c>
      <c r="N2162" s="15"/>
      <c r="O2162" s="15" t="s">
        <v>981</v>
      </c>
      <c r="P2162" s="15" t="s">
        <v>20193</v>
      </c>
      <c r="Q2162" s="15"/>
      <c r="R2162" s="15" t="s">
        <v>20194</v>
      </c>
      <c r="S2162" s="24" t="s">
        <v>71</v>
      </c>
      <c r="T2162" s="24" t="s">
        <v>39</v>
      </c>
      <c r="U2162" s="24" t="s">
        <v>39</v>
      </c>
      <c r="V2162" s="24" t="s">
        <v>39</v>
      </c>
      <c r="W2162" s="24"/>
      <c r="X2162" s="24"/>
      <c r="Y2162" s="15"/>
      <c r="Z2162" s="15"/>
      <c r="AA2162" s="24"/>
      <c r="AB2162" s="24"/>
      <c r="AC2162" s="24"/>
      <c r="AD2162" s="24"/>
      <c r="AE2162" s="24"/>
      <c r="AF2162" s="24"/>
      <c r="AG2162" s="24"/>
      <c r="AH2162" s="24"/>
    </row>
    <row r="2163" spans="1:34" x14ac:dyDescent="0.25">
      <c r="A2163" s="24" t="str">
        <f>HYPERLINK("https://www.cpso.on.ca/DoctorDetails/Shilpa-Ghate/0321394-113811","Ghate, Shilpa")</f>
        <v>Ghate, Shilpa</v>
      </c>
      <c r="B2163" s="25" t="s">
        <v>20195</v>
      </c>
      <c r="C2163" s="24" t="s">
        <v>20196</v>
      </c>
      <c r="D2163" s="24" t="s">
        <v>20197</v>
      </c>
      <c r="E2163" s="24" t="s">
        <v>29</v>
      </c>
      <c r="F2163" s="24" t="s">
        <v>47</v>
      </c>
      <c r="G2163" s="24" t="s">
        <v>31</v>
      </c>
      <c r="H2163" s="24" t="s">
        <v>14635</v>
      </c>
      <c r="I2163" s="24" t="s">
        <v>11385</v>
      </c>
      <c r="J2163" s="24" t="s">
        <v>20198</v>
      </c>
      <c r="K2163" s="24"/>
      <c r="L2163" s="24" t="s">
        <v>52</v>
      </c>
      <c r="M2163" s="15"/>
      <c r="N2163" s="15"/>
      <c r="O2163" s="15" t="s">
        <v>793</v>
      </c>
      <c r="P2163" s="15" t="s">
        <v>550</v>
      </c>
      <c r="Q2163" s="15"/>
      <c r="R2163" s="15" t="s">
        <v>20199</v>
      </c>
      <c r="S2163" s="24" t="s">
        <v>39</v>
      </c>
      <c r="T2163" s="24" t="s">
        <v>39</v>
      </c>
      <c r="U2163" s="24" t="s">
        <v>39</v>
      </c>
      <c r="V2163" s="24" t="s">
        <v>39</v>
      </c>
      <c r="W2163" s="24"/>
      <c r="X2163" s="24"/>
      <c r="Y2163" s="15"/>
      <c r="Z2163" s="15"/>
      <c r="AA2163" s="24"/>
      <c r="AB2163" s="24"/>
      <c r="AC2163" s="24"/>
      <c r="AD2163" s="24"/>
      <c r="AE2163" s="24"/>
      <c r="AF2163" s="24"/>
      <c r="AG2163" s="24"/>
      <c r="AH2163" s="24"/>
    </row>
    <row r="2164" spans="1:34" ht="45" x14ac:dyDescent="0.25">
      <c r="A2164" s="24" t="str">
        <f>HYPERLINK("https://www.cpso.on.ca/DoctorDetails/Shiny-Dinuka-Gunasekera/0185726-76682","Gunasekera, Shiny Dinuka")</f>
        <v>Gunasekera, Shiny Dinuka</v>
      </c>
      <c r="B2164" s="25" t="s">
        <v>20200</v>
      </c>
      <c r="C2164" s="24" t="s">
        <v>20201</v>
      </c>
      <c r="D2164" s="24" t="s">
        <v>1391</v>
      </c>
      <c r="E2164" s="24" t="s">
        <v>29</v>
      </c>
      <c r="F2164" s="24" t="s">
        <v>47</v>
      </c>
      <c r="G2164" s="24" t="s">
        <v>31</v>
      </c>
      <c r="H2164" s="24" t="s">
        <v>20202</v>
      </c>
      <c r="I2164" s="24" t="s">
        <v>20203</v>
      </c>
      <c r="J2164" s="24" t="s">
        <v>20204</v>
      </c>
      <c r="K2164" s="24" t="s">
        <v>19214</v>
      </c>
      <c r="L2164" s="24" t="s">
        <v>184</v>
      </c>
      <c r="M2164" s="15"/>
      <c r="N2164" s="15"/>
      <c r="O2164" s="15" t="s">
        <v>1135</v>
      </c>
      <c r="P2164" s="15" t="s">
        <v>1398</v>
      </c>
      <c r="Q2164" s="15" t="s">
        <v>20205</v>
      </c>
      <c r="R2164" s="15" t="s">
        <v>20206</v>
      </c>
      <c r="S2164" s="24" t="s">
        <v>39</v>
      </c>
      <c r="T2164" s="24" t="s">
        <v>39</v>
      </c>
      <c r="U2164" s="24" t="s">
        <v>39</v>
      </c>
      <c r="V2164" s="24" t="s">
        <v>39</v>
      </c>
      <c r="W2164" s="24" t="s">
        <v>20207</v>
      </c>
      <c r="X2164" s="24" t="s">
        <v>20208</v>
      </c>
      <c r="Y2164" s="15" t="s">
        <v>20209</v>
      </c>
      <c r="Z2164" s="15" t="s">
        <v>20210</v>
      </c>
      <c r="AA2164" s="24"/>
      <c r="AB2164" s="24"/>
      <c r="AC2164" s="24"/>
      <c r="AD2164" s="24"/>
      <c r="AE2164" s="24"/>
      <c r="AF2164" s="24"/>
      <c r="AG2164" s="24"/>
      <c r="AH2164" s="24"/>
    </row>
    <row r="2165" spans="1:34" ht="30" x14ac:dyDescent="0.25">
      <c r="A2165" s="24" t="str">
        <f>HYPERLINK("https://www.cpso.on.ca/DoctorDetails/Shirley-Nadine-Brathwaite/0030364-42344","Brathwaite, Shirley Nadine")</f>
        <v>Brathwaite, Shirley Nadine</v>
      </c>
      <c r="B2165" s="25" t="s">
        <v>20211</v>
      </c>
      <c r="C2165" s="24" t="s">
        <v>20212</v>
      </c>
      <c r="D2165" s="24" t="s">
        <v>20213</v>
      </c>
      <c r="E2165" s="24" t="s">
        <v>29</v>
      </c>
      <c r="F2165" s="24" t="s">
        <v>47</v>
      </c>
      <c r="G2165" s="24" t="s">
        <v>31</v>
      </c>
      <c r="H2165" s="24" t="s">
        <v>5582</v>
      </c>
      <c r="I2165" s="24" t="s">
        <v>20214</v>
      </c>
      <c r="J2165" s="24" t="s">
        <v>8537</v>
      </c>
      <c r="K2165" s="24" t="s">
        <v>6138</v>
      </c>
      <c r="L2165" s="24" t="s">
        <v>84</v>
      </c>
      <c r="M2165" s="15"/>
      <c r="N2165" s="15"/>
      <c r="O2165" s="15" t="s">
        <v>3338</v>
      </c>
      <c r="P2165" s="15" t="s">
        <v>727</v>
      </c>
      <c r="Q2165" s="15"/>
      <c r="R2165" s="15" t="s">
        <v>20215</v>
      </c>
      <c r="S2165" s="24" t="s">
        <v>39</v>
      </c>
      <c r="T2165" s="24" t="s">
        <v>39</v>
      </c>
      <c r="U2165" s="24" t="s">
        <v>39</v>
      </c>
      <c r="V2165" s="24" t="s">
        <v>39</v>
      </c>
      <c r="W2165" s="24" t="s">
        <v>20216</v>
      </c>
      <c r="X2165" s="24" t="s">
        <v>20217</v>
      </c>
      <c r="Y2165" s="15" t="s">
        <v>20218</v>
      </c>
      <c r="Z2165" s="15" t="s">
        <v>13073</v>
      </c>
      <c r="AA2165" s="24"/>
      <c r="AB2165" s="24"/>
      <c r="AC2165" s="24"/>
      <c r="AD2165" s="24"/>
      <c r="AE2165" s="24"/>
      <c r="AF2165" s="24"/>
      <c r="AG2165" s="24"/>
      <c r="AH2165" s="24"/>
    </row>
    <row r="2166" spans="1:34" ht="45" x14ac:dyDescent="0.25">
      <c r="A2166" s="24" t="str">
        <f>HYPERLINK("https://www.cpso.on.ca/DoctorDetails/Shirwan-Abdulla-KukhaMohamad/0050955-64934","Kukha-Mohamad, Shirwan Abdulla")</f>
        <v>Kukha-Mohamad, Shirwan Abdulla</v>
      </c>
      <c r="B2166" s="25" t="s">
        <v>20219</v>
      </c>
      <c r="C2166" s="24" t="s">
        <v>20220</v>
      </c>
      <c r="D2166" s="24" t="s">
        <v>20221</v>
      </c>
      <c r="E2166" s="24" t="s">
        <v>29</v>
      </c>
      <c r="F2166" s="24" t="s">
        <v>30</v>
      </c>
      <c r="G2166" s="24" t="s">
        <v>31</v>
      </c>
      <c r="H2166" s="24" t="s">
        <v>20222</v>
      </c>
      <c r="I2166" s="24" t="s">
        <v>20223</v>
      </c>
      <c r="J2166" s="24" t="s">
        <v>20224</v>
      </c>
      <c r="K2166" s="24" t="s">
        <v>20225</v>
      </c>
      <c r="L2166" s="24"/>
      <c r="M2166" s="15"/>
      <c r="N2166" s="15" t="s">
        <v>3698</v>
      </c>
      <c r="O2166" s="15" t="s">
        <v>16274</v>
      </c>
      <c r="P2166" s="15" t="s">
        <v>2137</v>
      </c>
      <c r="Q2166" s="15"/>
      <c r="R2166" s="15" t="s">
        <v>20226</v>
      </c>
      <c r="S2166" s="24" t="s">
        <v>39</v>
      </c>
      <c r="T2166" s="24" t="s">
        <v>39</v>
      </c>
      <c r="U2166" s="24" t="s">
        <v>39</v>
      </c>
      <c r="V2166" s="24" t="s">
        <v>39</v>
      </c>
      <c r="W2166" s="24"/>
      <c r="X2166" s="24"/>
      <c r="Y2166" s="15"/>
      <c r="Z2166" s="15"/>
      <c r="AA2166" s="24"/>
      <c r="AB2166" s="24"/>
      <c r="AC2166" s="24"/>
      <c r="AD2166" s="24"/>
      <c r="AE2166" s="24"/>
      <c r="AF2166" s="24"/>
      <c r="AG2166" s="24"/>
      <c r="AH2166" s="24"/>
    </row>
    <row r="2167" spans="1:34" ht="30" x14ac:dyDescent="0.25">
      <c r="A2167" s="24" t="str">
        <f>HYPERLINK("https://www.cpso.on.ca/DoctorDetails/Shoshana-Urson/0162352-73348","Urson, Shoshana")</f>
        <v>Urson, Shoshana</v>
      </c>
      <c r="B2167" s="25" t="s">
        <v>20227</v>
      </c>
      <c r="C2167" s="24" t="s">
        <v>12870</v>
      </c>
      <c r="D2167" s="24" t="s">
        <v>214</v>
      </c>
      <c r="E2167" s="24" t="s">
        <v>29</v>
      </c>
      <c r="F2167" s="24" t="s">
        <v>47</v>
      </c>
      <c r="G2167" s="24" t="s">
        <v>20228</v>
      </c>
      <c r="H2167" s="24" t="s">
        <v>20229</v>
      </c>
      <c r="I2167" s="24" t="s">
        <v>20230</v>
      </c>
      <c r="J2167" s="24" t="s">
        <v>20231</v>
      </c>
      <c r="K2167" s="24" t="s">
        <v>18276</v>
      </c>
      <c r="L2167" s="24" t="s">
        <v>36</v>
      </c>
      <c r="M2167" s="15" t="s">
        <v>20232</v>
      </c>
      <c r="N2167" s="15"/>
      <c r="O2167" s="15"/>
      <c r="P2167" s="15" t="s">
        <v>20233</v>
      </c>
      <c r="Q2167" s="15" t="s">
        <v>20234</v>
      </c>
      <c r="R2167" s="15" t="s">
        <v>20235</v>
      </c>
      <c r="S2167" s="24" t="s">
        <v>39</v>
      </c>
      <c r="T2167" s="24" t="s">
        <v>39</v>
      </c>
      <c r="U2167" s="24" t="s">
        <v>39</v>
      </c>
      <c r="V2167" s="24" t="s">
        <v>39</v>
      </c>
      <c r="W2167" s="24" t="s">
        <v>20236</v>
      </c>
      <c r="X2167" s="24" t="s">
        <v>20237</v>
      </c>
      <c r="Y2167" s="15" t="s">
        <v>20238</v>
      </c>
      <c r="Z2167" s="15" t="s">
        <v>20239</v>
      </c>
      <c r="AA2167" s="24"/>
      <c r="AB2167" s="24"/>
      <c r="AC2167" s="24"/>
      <c r="AD2167" s="24"/>
      <c r="AE2167" s="24"/>
      <c r="AF2167" s="24"/>
      <c r="AG2167" s="24"/>
      <c r="AH2167" s="24"/>
    </row>
    <row r="2168" spans="1:34" ht="75" x14ac:dyDescent="0.25">
      <c r="A2168" s="24" t="str">
        <f>HYPERLINK("https://www.cpso.on.ca/DoctorDetails/Shree-Uddhav-Bhalerao/0056662-68250","Bhalerao, Shree Uddhav")</f>
        <v>Bhalerao, Shree Uddhav</v>
      </c>
      <c r="B2168" s="25" t="s">
        <v>20240</v>
      </c>
      <c r="C2168" s="24" t="s">
        <v>1669</v>
      </c>
      <c r="D2168" s="24" t="s">
        <v>1670</v>
      </c>
      <c r="E2168" s="24" t="s">
        <v>29</v>
      </c>
      <c r="F2168" s="24" t="s">
        <v>30</v>
      </c>
      <c r="G2168" s="24" t="s">
        <v>31</v>
      </c>
      <c r="H2168" s="24" t="s">
        <v>20241</v>
      </c>
      <c r="I2168" s="24" t="s">
        <v>20242</v>
      </c>
      <c r="J2168" s="24" t="s">
        <v>20243</v>
      </c>
      <c r="K2168" s="24" t="s">
        <v>218</v>
      </c>
      <c r="L2168" s="24" t="s">
        <v>52</v>
      </c>
      <c r="M2168" s="15"/>
      <c r="N2168" s="15"/>
      <c r="O2168" s="15"/>
      <c r="P2168" s="15" t="s">
        <v>1677</v>
      </c>
      <c r="Q2168" s="15" t="s">
        <v>20244</v>
      </c>
      <c r="R2168" s="15" t="s">
        <v>1679</v>
      </c>
      <c r="S2168" s="24" t="s">
        <v>39</v>
      </c>
      <c r="T2168" s="24" t="s">
        <v>39</v>
      </c>
      <c r="U2168" s="24" t="s">
        <v>39</v>
      </c>
      <c r="V2168" s="24" t="s">
        <v>39</v>
      </c>
      <c r="W2168" s="24"/>
      <c r="X2168" s="24"/>
      <c r="Y2168" s="15"/>
      <c r="Z2168" s="15"/>
      <c r="AA2168" s="24"/>
      <c r="AB2168" s="24"/>
      <c r="AC2168" s="24"/>
      <c r="AD2168" s="24"/>
      <c r="AE2168" s="24"/>
      <c r="AF2168" s="24"/>
      <c r="AG2168" s="24"/>
      <c r="AH2168" s="24"/>
    </row>
    <row r="2169" spans="1:34" ht="60" x14ac:dyDescent="0.25">
      <c r="A2169" s="24" t="str">
        <f>HYPERLINK("https://www.cpso.on.ca/DoctorDetails/Shreekant-Sharma/0050493-64472","Sharma, Shreekant")</f>
        <v>Sharma, Shreekant</v>
      </c>
      <c r="B2169" s="25" t="s">
        <v>20245</v>
      </c>
      <c r="C2169" s="24" t="s">
        <v>20246</v>
      </c>
      <c r="D2169" s="24" t="s">
        <v>20247</v>
      </c>
      <c r="E2169" s="24" t="s">
        <v>29</v>
      </c>
      <c r="F2169" s="24" t="s">
        <v>30</v>
      </c>
      <c r="G2169" s="24" t="s">
        <v>61</v>
      </c>
      <c r="H2169" s="24" t="s">
        <v>20248</v>
      </c>
      <c r="I2169" s="24" t="s">
        <v>17477</v>
      </c>
      <c r="J2169" s="24" t="s">
        <v>17478</v>
      </c>
      <c r="K2169" s="24" t="s">
        <v>17479</v>
      </c>
      <c r="L2169" s="24" t="s">
        <v>184</v>
      </c>
      <c r="M2169" s="15" t="s">
        <v>20249</v>
      </c>
      <c r="N2169" s="15"/>
      <c r="O2169" s="15" t="s">
        <v>6884</v>
      </c>
      <c r="P2169" s="15" t="s">
        <v>3232</v>
      </c>
      <c r="Q2169" s="15"/>
      <c r="R2169" s="15" t="s">
        <v>20250</v>
      </c>
      <c r="S2169" s="24" t="s">
        <v>39</v>
      </c>
      <c r="T2169" s="24" t="s">
        <v>39</v>
      </c>
      <c r="U2169" s="24" t="s">
        <v>39</v>
      </c>
      <c r="V2169" s="24" t="s">
        <v>39</v>
      </c>
      <c r="W2169" s="24" t="s">
        <v>20251</v>
      </c>
      <c r="X2169" s="24" t="s">
        <v>20252</v>
      </c>
      <c r="Y2169" s="15" t="s">
        <v>20253</v>
      </c>
      <c r="Z2169" s="15" t="s">
        <v>20254</v>
      </c>
      <c r="AA2169" s="24"/>
      <c r="AB2169" s="24"/>
      <c r="AC2169" s="24"/>
      <c r="AD2169" s="24"/>
      <c r="AE2169" s="24"/>
      <c r="AF2169" s="24"/>
      <c r="AG2169" s="24"/>
      <c r="AH2169" s="24"/>
    </row>
    <row r="2170" spans="1:34" ht="90" x14ac:dyDescent="0.25">
      <c r="A2170" s="24" t="str">
        <f>HYPERLINK("https://www.cpso.on.ca/DoctorDetails/Shrenik-Pratapbhai-Parekh/0279362-99705","Parekh, Shrenik Pratapbhai")</f>
        <v>Parekh, Shrenik Pratapbhai</v>
      </c>
      <c r="B2170" s="25" t="s">
        <v>20255</v>
      </c>
      <c r="C2170" s="24" t="s">
        <v>20256</v>
      </c>
      <c r="D2170" s="24" t="s">
        <v>20257</v>
      </c>
      <c r="E2170" s="24" t="s">
        <v>29</v>
      </c>
      <c r="F2170" s="24" t="s">
        <v>30</v>
      </c>
      <c r="G2170" s="24" t="s">
        <v>2275</v>
      </c>
      <c r="H2170" s="24" t="s">
        <v>20258</v>
      </c>
      <c r="I2170" s="24" t="s">
        <v>150</v>
      </c>
      <c r="J2170" s="24" t="s">
        <v>14836</v>
      </c>
      <c r="K2170" s="24"/>
      <c r="L2170" s="24" t="s">
        <v>152</v>
      </c>
      <c r="M2170" s="15" t="s">
        <v>20259</v>
      </c>
      <c r="N2170" s="15"/>
      <c r="O2170" s="15" t="s">
        <v>95</v>
      </c>
      <c r="P2170" s="15" t="s">
        <v>20260</v>
      </c>
      <c r="Q2170" s="15"/>
      <c r="R2170" s="15" t="s">
        <v>20261</v>
      </c>
      <c r="S2170" s="24" t="s">
        <v>71</v>
      </c>
      <c r="T2170" s="24" t="s">
        <v>39</v>
      </c>
      <c r="U2170" s="24" t="s">
        <v>39</v>
      </c>
      <c r="V2170" s="24" t="s">
        <v>39</v>
      </c>
      <c r="W2170" s="24" t="s">
        <v>20262</v>
      </c>
      <c r="X2170" s="24" t="s">
        <v>4366</v>
      </c>
      <c r="Y2170" s="15" t="s">
        <v>20263</v>
      </c>
      <c r="Z2170" s="15" t="s">
        <v>20264</v>
      </c>
      <c r="AA2170" s="24"/>
      <c r="AB2170" s="24"/>
      <c r="AC2170" s="24"/>
      <c r="AD2170" s="24"/>
      <c r="AE2170" s="24"/>
      <c r="AF2170" s="24"/>
      <c r="AG2170" s="24"/>
      <c r="AH2170" s="24"/>
    </row>
    <row r="2171" spans="1:34" ht="90" x14ac:dyDescent="0.25">
      <c r="A2171" s="24" t="str">
        <f>HYPERLINK("https://www.cpso.on.ca/DoctorDetails/Shuang-Xu/0266362-92843","Xu, Shuang")</f>
        <v>Xu, Shuang</v>
      </c>
      <c r="B2171" s="25" t="s">
        <v>20265</v>
      </c>
      <c r="C2171" s="24" t="s">
        <v>570</v>
      </c>
      <c r="D2171" s="24" t="s">
        <v>967</v>
      </c>
      <c r="E2171" s="24" t="s">
        <v>29</v>
      </c>
      <c r="F2171" s="24" t="s">
        <v>30</v>
      </c>
      <c r="G2171" s="24" t="s">
        <v>31</v>
      </c>
      <c r="H2171" s="24" t="s">
        <v>5730</v>
      </c>
      <c r="I2171" s="24" t="s">
        <v>2614</v>
      </c>
      <c r="J2171" s="24" t="s">
        <v>20266</v>
      </c>
      <c r="K2171" s="24"/>
      <c r="L2171" s="24" t="s">
        <v>152</v>
      </c>
      <c r="M2171" s="15"/>
      <c r="N2171" s="15"/>
      <c r="O2171" s="15" t="s">
        <v>1539</v>
      </c>
      <c r="P2171" s="15" t="s">
        <v>973</v>
      </c>
      <c r="Q2171" s="15" t="s">
        <v>20267</v>
      </c>
      <c r="R2171" s="15" t="s">
        <v>975</v>
      </c>
      <c r="S2171" s="24" t="s">
        <v>39</v>
      </c>
      <c r="T2171" s="24" t="s">
        <v>39</v>
      </c>
      <c r="U2171" s="24" t="s">
        <v>39</v>
      </c>
      <c r="V2171" s="24" t="s">
        <v>39</v>
      </c>
      <c r="W2171" s="24" t="s">
        <v>20268</v>
      </c>
      <c r="X2171" s="24" t="s">
        <v>20269</v>
      </c>
      <c r="Y2171" s="15" t="s">
        <v>20270</v>
      </c>
      <c r="Z2171" s="15" t="s">
        <v>3666</v>
      </c>
      <c r="AA2171" s="24"/>
      <c r="AB2171" s="24"/>
      <c r="AC2171" s="24"/>
      <c r="AD2171" s="24"/>
      <c r="AE2171" s="24"/>
      <c r="AF2171" s="24"/>
      <c r="AG2171" s="24"/>
      <c r="AH2171" s="24"/>
    </row>
    <row r="2172" spans="1:34" ht="150" x14ac:dyDescent="0.25">
      <c r="A2172" s="24" t="str">
        <f>HYPERLINK("https://www.cpso.on.ca/DoctorDetails/Shuliweeh-Menwer-R-Alenezi/0263921-92628","Alenezi, Shuliweeh Menwer R")</f>
        <v>Alenezi, Shuliweeh Menwer R</v>
      </c>
      <c r="B2172" s="25" t="s">
        <v>20271</v>
      </c>
      <c r="C2172" s="24" t="s">
        <v>14729</v>
      </c>
      <c r="D2172" s="24" t="s">
        <v>14730</v>
      </c>
      <c r="E2172" s="24" t="s">
        <v>29</v>
      </c>
      <c r="F2172" s="24" t="s">
        <v>30</v>
      </c>
      <c r="G2172" s="24" t="s">
        <v>105</v>
      </c>
      <c r="H2172" s="24" t="s">
        <v>20272</v>
      </c>
      <c r="I2172" s="24" t="s">
        <v>20273</v>
      </c>
      <c r="J2172" s="24" t="s">
        <v>20274</v>
      </c>
      <c r="K2172" s="24" t="s">
        <v>20275</v>
      </c>
      <c r="L2172" s="24" t="s">
        <v>84</v>
      </c>
      <c r="M2172" s="15" t="s">
        <v>20276</v>
      </c>
      <c r="N2172" s="15"/>
      <c r="O2172" s="15" t="s">
        <v>2156</v>
      </c>
      <c r="P2172" s="15" t="s">
        <v>11184</v>
      </c>
      <c r="Q2172" s="15" t="s">
        <v>20277</v>
      </c>
      <c r="R2172" s="15" t="s">
        <v>20278</v>
      </c>
      <c r="S2172" s="24" t="s">
        <v>39</v>
      </c>
      <c r="T2172" s="24" t="s">
        <v>39</v>
      </c>
      <c r="U2172" s="24" t="s">
        <v>39</v>
      </c>
      <c r="V2172" s="24" t="s">
        <v>39</v>
      </c>
      <c r="W2172" s="24" t="s">
        <v>20279</v>
      </c>
      <c r="X2172" s="24" t="s">
        <v>20280</v>
      </c>
      <c r="Y2172" s="15" t="s">
        <v>20281</v>
      </c>
      <c r="Z2172" s="15" t="s">
        <v>20282</v>
      </c>
      <c r="AA2172" s="24"/>
      <c r="AB2172" s="24"/>
      <c r="AC2172" s="24"/>
      <c r="AD2172" s="24"/>
      <c r="AE2172" s="24"/>
      <c r="AF2172" s="24"/>
      <c r="AG2172" s="24"/>
      <c r="AH2172" s="24"/>
    </row>
    <row r="2173" spans="1:34" ht="75" x14ac:dyDescent="0.25">
      <c r="A2173" s="24" t="str">
        <f>HYPERLINK("https://www.cpso.on.ca/DoctorDetails/Shuo-Xiang/0280583-98091","Xiang, Shuo")</f>
        <v>Xiang, Shuo</v>
      </c>
      <c r="B2173" s="25" t="s">
        <v>20283</v>
      </c>
      <c r="C2173" s="24" t="s">
        <v>544</v>
      </c>
      <c r="D2173" s="24" t="s">
        <v>545</v>
      </c>
      <c r="E2173" s="24" t="s">
        <v>29</v>
      </c>
      <c r="F2173" s="24" t="s">
        <v>30</v>
      </c>
      <c r="G2173" s="24" t="s">
        <v>31</v>
      </c>
      <c r="H2173" s="24" t="s">
        <v>977</v>
      </c>
      <c r="I2173" s="24" t="s">
        <v>20284</v>
      </c>
      <c r="J2173" s="24" t="s">
        <v>6387</v>
      </c>
      <c r="K2173" s="24"/>
      <c r="L2173" s="24" t="s">
        <v>340</v>
      </c>
      <c r="M2173" s="15"/>
      <c r="N2173" s="15"/>
      <c r="O2173" s="15" t="s">
        <v>1122</v>
      </c>
      <c r="P2173" s="15" t="s">
        <v>550</v>
      </c>
      <c r="Q2173" s="15" t="s">
        <v>20285</v>
      </c>
      <c r="R2173" s="15" t="s">
        <v>552</v>
      </c>
      <c r="S2173" s="24" t="s">
        <v>39</v>
      </c>
      <c r="T2173" s="24" t="s">
        <v>39</v>
      </c>
      <c r="U2173" s="24" t="s">
        <v>39</v>
      </c>
      <c r="V2173" s="24" t="s">
        <v>39</v>
      </c>
      <c r="W2173" s="24"/>
      <c r="X2173" s="24"/>
      <c r="Y2173" s="15"/>
      <c r="Z2173" s="15"/>
      <c r="AA2173" s="24"/>
      <c r="AB2173" s="24"/>
      <c r="AC2173" s="24"/>
      <c r="AD2173" s="24"/>
      <c r="AE2173" s="24"/>
      <c r="AF2173" s="24"/>
      <c r="AG2173" s="24"/>
      <c r="AH2173" s="24"/>
    </row>
    <row r="2174" spans="1:34" ht="75" x14ac:dyDescent="0.25">
      <c r="A2174" s="24" t="str">
        <f>HYPERLINK("https://www.cpso.on.ca/DoctorDetails/SiAnn-Helen-Lee-Woods/0152552-72792","Woods, Si-Ann Helen Lee")</f>
        <v>Woods, Si-Ann Helen Lee</v>
      </c>
      <c r="B2174" s="25" t="s">
        <v>20286</v>
      </c>
      <c r="C2174" s="24" t="s">
        <v>954</v>
      </c>
      <c r="D2174" s="24" t="s">
        <v>1323</v>
      </c>
      <c r="E2174" s="24" t="s">
        <v>29</v>
      </c>
      <c r="F2174" s="24" t="s">
        <v>47</v>
      </c>
      <c r="G2174" s="24" t="s">
        <v>31</v>
      </c>
      <c r="H2174" s="24" t="s">
        <v>12152</v>
      </c>
      <c r="I2174" s="24" t="s">
        <v>20287</v>
      </c>
      <c r="J2174" s="24" t="s">
        <v>4975</v>
      </c>
      <c r="K2174" s="24" t="s">
        <v>6703</v>
      </c>
      <c r="L2174" s="24" t="s">
        <v>84</v>
      </c>
      <c r="M2174" s="15"/>
      <c r="N2174" s="15"/>
      <c r="O2174" s="15" t="s">
        <v>3979</v>
      </c>
      <c r="P2174" s="15" t="s">
        <v>1330</v>
      </c>
      <c r="Q2174" s="15" t="s">
        <v>18898</v>
      </c>
      <c r="R2174" s="15" t="s">
        <v>2171</v>
      </c>
      <c r="S2174" s="24" t="s">
        <v>39</v>
      </c>
      <c r="T2174" s="24" t="s">
        <v>39</v>
      </c>
      <c r="U2174" s="24" t="s">
        <v>39</v>
      </c>
      <c r="V2174" s="24" t="s">
        <v>39</v>
      </c>
      <c r="W2174" s="24" t="s">
        <v>20288</v>
      </c>
      <c r="X2174" s="24" t="s">
        <v>20289</v>
      </c>
      <c r="Y2174" s="15" t="s">
        <v>20290</v>
      </c>
      <c r="Z2174" s="15" t="s">
        <v>20291</v>
      </c>
      <c r="AA2174" s="24"/>
      <c r="AB2174" s="24"/>
      <c r="AC2174" s="24"/>
      <c r="AD2174" s="24"/>
      <c r="AE2174" s="24"/>
      <c r="AF2174" s="24"/>
      <c r="AG2174" s="24"/>
      <c r="AH2174" s="24"/>
    </row>
    <row r="2175" spans="1:34" ht="120" x14ac:dyDescent="0.25">
      <c r="A2175" s="24" t="str">
        <f>HYPERLINK("https://www.cpso.on.ca/DoctorDetails/Sian-Caroline-Crawford-Little/0036963-50939","Little, Sian Caroline Crawford")</f>
        <v>Little, Sian Caroline Crawford</v>
      </c>
      <c r="B2175" s="25" t="s">
        <v>20292</v>
      </c>
      <c r="C2175" s="24" t="s">
        <v>2132</v>
      </c>
      <c r="D2175" s="24" t="s">
        <v>20293</v>
      </c>
      <c r="E2175" s="24" t="s">
        <v>29</v>
      </c>
      <c r="F2175" s="24" t="s">
        <v>47</v>
      </c>
      <c r="G2175" s="24" t="s">
        <v>31</v>
      </c>
      <c r="H2175" s="24" t="s">
        <v>2805</v>
      </c>
      <c r="I2175" s="24" t="s">
        <v>20294</v>
      </c>
      <c r="J2175" s="24" t="s">
        <v>20295</v>
      </c>
      <c r="K2175" s="24" t="s">
        <v>14144</v>
      </c>
      <c r="L2175" s="24" t="s">
        <v>52</v>
      </c>
      <c r="M2175" s="15"/>
      <c r="N2175" s="15"/>
      <c r="O2175" s="15"/>
      <c r="P2175" s="15" t="s">
        <v>2597</v>
      </c>
      <c r="Q2175" s="15" t="s">
        <v>20296</v>
      </c>
      <c r="R2175" s="15" t="s">
        <v>20297</v>
      </c>
      <c r="S2175" s="24" t="s">
        <v>39</v>
      </c>
      <c r="T2175" s="24" t="s">
        <v>39</v>
      </c>
      <c r="U2175" s="24" t="s">
        <v>39</v>
      </c>
      <c r="V2175" s="24" t="s">
        <v>39</v>
      </c>
      <c r="W2175" s="24"/>
      <c r="X2175" s="24"/>
      <c r="Y2175" s="15"/>
      <c r="Z2175" s="15"/>
      <c r="AA2175" s="24"/>
      <c r="AB2175" s="24"/>
      <c r="AC2175" s="24"/>
      <c r="AD2175" s="24"/>
      <c r="AE2175" s="24"/>
      <c r="AF2175" s="24"/>
      <c r="AG2175" s="24"/>
      <c r="AH2175" s="24"/>
    </row>
    <row r="2176" spans="1:34" ht="75" x14ac:dyDescent="0.25">
      <c r="A2176" s="24" t="str">
        <f>HYPERLINK("https://www.cpso.on.ca/DoctorDetails/Sian-Rhiannon-Rawkins/0181584-76097","Rawkins, Sian Rhiannon")</f>
        <v>Rawkins, Sian Rhiannon</v>
      </c>
      <c r="B2176" s="25" t="s">
        <v>20298</v>
      </c>
      <c r="C2176" s="24" t="s">
        <v>1130</v>
      </c>
      <c r="D2176" s="24" t="s">
        <v>4401</v>
      </c>
      <c r="E2176" s="24" t="s">
        <v>29</v>
      </c>
      <c r="F2176" s="24" t="s">
        <v>47</v>
      </c>
      <c r="G2176" s="24" t="s">
        <v>31</v>
      </c>
      <c r="H2176" s="24" t="s">
        <v>1132</v>
      </c>
      <c r="I2176" s="24" t="s">
        <v>20299</v>
      </c>
      <c r="J2176" s="24" t="s">
        <v>16179</v>
      </c>
      <c r="K2176" s="24"/>
      <c r="L2176" s="24" t="s">
        <v>52</v>
      </c>
      <c r="M2176" s="15"/>
      <c r="N2176" s="15"/>
      <c r="O2176" s="15" t="s">
        <v>438</v>
      </c>
      <c r="P2176" s="15" t="s">
        <v>1149</v>
      </c>
      <c r="Q2176" s="15" t="s">
        <v>3063</v>
      </c>
      <c r="R2176" s="15" t="s">
        <v>4407</v>
      </c>
      <c r="S2176" s="24" t="s">
        <v>39</v>
      </c>
      <c r="T2176" s="24" t="s">
        <v>39</v>
      </c>
      <c r="U2176" s="24" t="s">
        <v>39</v>
      </c>
      <c r="V2176" s="24" t="s">
        <v>39</v>
      </c>
      <c r="W2176" s="24" t="s">
        <v>9843</v>
      </c>
      <c r="X2176" s="24" t="s">
        <v>9844</v>
      </c>
      <c r="Y2176" s="15" t="s">
        <v>9845</v>
      </c>
      <c r="Z2176" s="15" t="s">
        <v>9846</v>
      </c>
      <c r="AA2176" s="24" t="s">
        <v>9847</v>
      </c>
      <c r="AB2176" s="24" t="s">
        <v>9844</v>
      </c>
      <c r="AC2176" s="24" t="s">
        <v>9845</v>
      </c>
      <c r="AD2176" s="24" t="s">
        <v>9848</v>
      </c>
      <c r="AE2176" s="24"/>
      <c r="AF2176" s="24"/>
      <c r="AG2176" s="24"/>
      <c r="AH2176" s="24"/>
    </row>
    <row r="2177" spans="1:34" ht="45" x14ac:dyDescent="0.25">
      <c r="A2177" s="24" t="str">
        <f>HYPERLINK("https://www.cpso.on.ca/DoctorDetails/Sidney-Hugh-Kennedy/0027737-32560","Kennedy, Sidney Hugh")</f>
        <v>Kennedy, Sidney Hugh</v>
      </c>
      <c r="B2177" s="25" t="s">
        <v>20300</v>
      </c>
      <c r="C2177" s="24" t="s">
        <v>18725</v>
      </c>
      <c r="D2177" s="24" t="s">
        <v>18726</v>
      </c>
      <c r="E2177" s="24" t="s">
        <v>29</v>
      </c>
      <c r="F2177" s="24" t="s">
        <v>30</v>
      </c>
      <c r="G2177" s="24" t="s">
        <v>31</v>
      </c>
      <c r="H2177" s="24" t="s">
        <v>20301</v>
      </c>
      <c r="I2177" s="24" t="s">
        <v>20302</v>
      </c>
      <c r="J2177" s="24" t="s">
        <v>20303</v>
      </c>
      <c r="K2177" s="24" t="s">
        <v>20304</v>
      </c>
      <c r="L2177" s="24" t="s">
        <v>52</v>
      </c>
      <c r="M2177" s="15" t="s">
        <v>20305</v>
      </c>
      <c r="N2177" s="15"/>
      <c r="O2177" s="15" t="s">
        <v>20306</v>
      </c>
      <c r="P2177" s="15" t="s">
        <v>8551</v>
      </c>
      <c r="Q2177" s="15"/>
      <c r="R2177" s="15" t="s">
        <v>20307</v>
      </c>
      <c r="S2177" s="24" t="s">
        <v>39</v>
      </c>
      <c r="T2177" s="24" t="s">
        <v>39</v>
      </c>
      <c r="U2177" s="24" t="s">
        <v>39</v>
      </c>
      <c r="V2177" s="24" t="s">
        <v>39</v>
      </c>
      <c r="W2177" s="24" t="s">
        <v>20308</v>
      </c>
      <c r="X2177" s="24" t="s">
        <v>20309</v>
      </c>
      <c r="Y2177" s="15" t="s">
        <v>20310</v>
      </c>
      <c r="Z2177" s="15" t="s">
        <v>20311</v>
      </c>
      <c r="AA2177" s="24"/>
      <c r="AB2177" s="24"/>
      <c r="AC2177" s="24"/>
      <c r="AD2177" s="24"/>
      <c r="AE2177" s="24"/>
      <c r="AF2177" s="24"/>
      <c r="AG2177" s="24"/>
      <c r="AH2177" s="24"/>
    </row>
    <row r="2178" spans="1:34" ht="45" x14ac:dyDescent="0.25">
      <c r="A2178" s="24" t="str">
        <f>HYPERLINK("https://www.cpso.on.ca/DoctorDetails/Silvana-Puddu/0047650-61628","Puddu, Silvana")</f>
        <v>Puddu, Silvana</v>
      </c>
      <c r="B2178" s="25" t="s">
        <v>20312</v>
      </c>
      <c r="C2178" s="24" t="s">
        <v>20313</v>
      </c>
      <c r="D2178" s="24" t="s">
        <v>20314</v>
      </c>
      <c r="E2178" s="24" t="s">
        <v>29</v>
      </c>
      <c r="F2178" s="24" t="s">
        <v>47</v>
      </c>
      <c r="G2178" s="24" t="s">
        <v>2188</v>
      </c>
      <c r="H2178" s="24" t="s">
        <v>20315</v>
      </c>
      <c r="I2178" s="24" t="s">
        <v>20316</v>
      </c>
      <c r="J2178" s="24" t="s">
        <v>20317</v>
      </c>
      <c r="K2178" s="24" t="s">
        <v>20318</v>
      </c>
      <c r="L2178" s="24" t="s">
        <v>184</v>
      </c>
      <c r="M2178" s="15"/>
      <c r="N2178" s="15"/>
      <c r="O2178" s="15"/>
      <c r="P2178" s="15" t="s">
        <v>20319</v>
      </c>
      <c r="Q2178" s="15"/>
      <c r="R2178" s="15" t="s">
        <v>20320</v>
      </c>
      <c r="S2178" s="24" t="s">
        <v>39</v>
      </c>
      <c r="T2178" s="24" t="s">
        <v>39</v>
      </c>
      <c r="U2178" s="24" t="s">
        <v>39</v>
      </c>
      <c r="V2178" s="24" t="s">
        <v>39</v>
      </c>
      <c r="W2178" s="24"/>
      <c r="X2178" s="24"/>
      <c r="Y2178" s="15"/>
      <c r="Z2178" s="15"/>
      <c r="AA2178" s="24"/>
      <c r="AB2178" s="24"/>
      <c r="AC2178" s="24"/>
      <c r="AD2178" s="24"/>
      <c r="AE2178" s="24"/>
      <c r="AF2178" s="24"/>
      <c r="AG2178" s="24"/>
      <c r="AH2178" s="24"/>
    </row>
    <row r="2179" spans="1:34" ht="45" x14ac:dyDescent="0.25">
      <c r="A2179" s="24" t="str">
        <f>HYPERLINK("https://www.cpso.on.ca/DoctorDetails/Silvia-Irina-Lepadatu/0279437-97472","Lepadatu, Silvia Irina")</f>
        <v>Lepadatu, Silvia Irina</v>
      </c>
      <c r="B2179" s="25" t="s">
        <v>20321</v>
      </c>
      <c r="C2179" s="24" t="s">
        <v>4079</v>
      </c>
      <c r="D2179" s="24" t="s">
        <v>1594</v>
      </c>
      <c r="E2179" s="24" t="s">
        <v>29</v>
      </c>
      <c r="F2179" s="24" t="s">
        <v>47</v>
      </c>
      <c r="G2179" s="24" t="s">
        <v>813</v>
      </c>
      <c r="H2179" s="24" t="s">
        <v>20322</v>
      </c>
      <c r="I2179" s="24" t="s">
        <v>20323</v>
      </c>
      <c r="J2179" s="24" t="s">
        <v>12437</v>
      </c>
      <c r="K2179" s="24"/>
      <c r="L2179" s="24" t="s">
        <v>84</v>
      </c>
      <c r="M2179" s="15"/>
      <c r="N2179" s="15"/>
      <c r="O2179" s="15" t="s">
        <v>3289</v>
      </c>
      <c r="P2179" s="15" t="s">
        <v>1074</v>
      </c>
      <c r="Q2179" s="15" t="s">
        <v>20324</v>
      </c>
      <c r="R2179" s="15" t="s">
        <v>20325</v>
      </c>
      <c r="S2179" s="24" t="s">
        <v>39</v>
      </c>
      <c r="T2179" s="24" t="s">
        <v>39</v>
      </c>
      <c r="U2179" s="24" t="s">
        <v>39</v>
      </c>
      <c r="V2179" s="24" t="s">
        <v>39</v>
      </c>
      <c r="W2179" s="24" t="s">
        <v>20326</v>
      </c>
      <c r="X2179" s="24" t="s">
        <v>20327</v>
      </c>
      <c r="Y2179" s="15" t="s">
        <v>20328</v>
      </c>
      <c r="Z2179" s="15" t="s">
        <v>20329</v>
      </c>
      <c r="AA2179" s="24"/>
      <c r="AB2179" s="24"/>
      <c r="AC2179" s="24"/>
      <c r="AD2179" s="24"/>
      <c r="AE2179" s="24"/>
      <c r="AF2179" s="24"/>
      <c r="AG2179" s="24"/>
      <c r="AH2179" s="24"/>
    </row>
    <row r="2180" spans="1:34" ht="90" x14ac:dyDescent="0.25">
      <c r="A2180" s="24" t="str">
        <f>HYPERLINK("https://www.cpso.on.ca/DoctorDetails/Simina-Toma/0288950-101643","Toma, Simina")</f>
        <v>Toma, Simina</v>
      </c>
      <c r="B2180" s="25" t="s">
        <v>20330</v>
      </c>
      <c r="C2180" s="24" t="s">
        <v>199</v>
      </c>
      <c r="D2180" s="24" t="s">
        <v>200</v>
      </c>
      <c r="E2180" s="24" t="s">
        <v>29</v>
      </c>
      <c r="F2180" s="24" t="s">
        <v>47</v>
      </c>
      <c r="G2180" s="24" t="s">
        <v>31</v>
      </c>
      <c r="H2180" s="24" t="s">
        <v>20331</v>
      </c>
      <c r="I2180" s="24" t="s">
        <v>20332</v>
      </c>
      <c r="J2180" s="24" t="s">
        <v>1551</v>
      </c>
      <c r="K2180" s="24"/>
      <c r="L2180" s="24" t="s">
        <v>52</v>
      </c>
      <c r="M2180" s="15"/>
      <c r="N2180" s="15"/>
      <c r="O2180" s="15"/>
      <c r="P2180" s="15" t="s">
        <v>205</v>
      </c>
      <c r="Q2180" s="15" t="s">
        <v>7020</v>
      </c>
      <c r="R2180" s="15" t="s">
        <v>207</v>
      </c>
      <c r="S2180" s="24" t="s">
        <v>39</v>
      </c>
      <c r="T2180" s="24" t="s">
        <v>39</v>
      </c>
      <c r="U2180" s="24" t="s">
        <v>39</v>
      </c>
      <c r="V2180" s="24" t="s">
        <v>39</v>
      </c>
      <c r="W2180" s="24"/>
      <c r="X2180" s="24"/>
      <c r="Y2180" s="15"/>
      <c r="Z2180" s="15"/>
      <c r="AA2180" s="24"/>
      <c r="AB2180" s="24"/>
      <c r="AC2180" s="24"/>
      <c r="AD2180" s="24"/>
      <c r="AE2180" s="24"/>
      <c r="AF2180" s="24"/>
      <c r="AG2180" s="24"/>
      <c r="AH2180" s="24"/>
    </row>
    <row r="2181" spans="1:34" ht="45" x14ac:dyDescent="0.25">
      <c r="A2181" s="24" t="str">
        <f>HYPERLINK("https://www.cpso.on.ca/DoctorDetails/Simon-Hatcher/0277362-97479","Hatcher, Simon")</f>
        <v>Hatcher, Simon</v>
      </c>
      <c r="B2181" s="25" t="s">
        <v>20333</v>
      </c>
      <c r="C2181" s="24" t="s">
        <v>20334</v>
      </c>
      <c r="D2181" s="24" t="s">
        <v>20335</v>
      </c>
      <c r="E2181" s="24" t="s">
        <v>29</v>
      </c>
      <c r="F2181" s="24" t="s">
        <v>30</v>
      </c>
      <c r="G2181" s="24" t="s">
        <v>31</v>
      </c>
      <c r="H2181" s="24" t="s">
        <v>20336</v>
      </c>
      <c r="I2181" s="24" t="s">
        <v>20337</v>
      </c>
      <c r="J2181" s="24" t="s">
        <v>20338</v>
      </c>
      <c r="K2181" s="24"/>
      <c r="L2181" s="24" t="s">
        <v>84</v>
      </c>
      <c r="M2181" s="15"/>
      <c r="N2181" s="15"/>
      <c r="O2181" s="15" t="s">
        <v>711</v>
      </c>
      <c r="P2181" s="15" t="s">
        <v>1379</v>
      </c>
      <c r="Q2181" s="15"/>
      <c r="R2181" s="15" t="s">
        <v>20339</v>
      </c>
      <c r="S2181" s="24" t="s">
        <v>39</v>
      </c>
      <c r="T2181" s="24" t="s">
        <v>39</v>
      </c>
      <c r="U2181" s="24" t="s">
        <v>39</v>
      </c>
      <c r="V2181" s="24" t="s">
        <v>39</v>
      </c>
      <c r="W2181" s="24" t="s">
        <v>20340</v>
      </c>
      <c r="X2181" s="24" t="s">
        <v>20341</v>
      </c>
      <c r="Y2181" s="15" t="s">
        <v>20342</v>
      </c>
      <c r="Z2181" s="15" t="s">
        <v>20343</v>
      </c>
      <c r="AA2181" s="24"/>
      <c r="AB2181" s="24"/>
      <c r="AC2181" s="24"/>
      <c r="AD2181" s="24"/>
      <c r="AE2181" s="24"/>
      <c r="AF2181" s="24"/>
      <c r="AG2181" s="24"/>
      <c r="AH2181" s="24"/>
    </row>
    <row r="2182" spans="1:34" ht="60" x14ac:dyDescent="0.25">
      <c r="A2182" s="24" t="str">
        <f>HYPERLINK("https://www.cpso.on.ca/DoctorDetails/Simon-Jonathan-Cheshire-Davies/0277060-97365","Davies, Simon Jonathan Cheshire")</f>
        <v>Davies, Simon Jonathan Cheshire</v>
      </c>
      <c r="B2182" s="25" t="s">
        <v>20344</v>
      </c>
      <c r="C2182" s="24" t="s">
        <v>20345</v>
      </c>
      <c r="D2182" s="24" t="s">
        <v>20346</v>
      </c>
      <c r="E2182" s="24" t="s">
        <v>29</v>
      </c>
      <c r="F2182" s="24" t="s">
        <v>30</v>
      </c>
      <c r="G2182" s="24" t="s">
        <v>31</v>
      </c>
      <c r="H2182" s="24" t="s">
        <v>20347</v>
      </c>
      <c r="I2182" s="24" t="s">
        <v>20348</v>
      </c>
      <c r="J2182" s="24" t="s">
        <v>20349</v>
      </c>
      <c r="K2182" s="24" t="s">
        <v>1701</v>
      </c>
      <c r="L2182" s="24" t="s">
        <v>52</v>
      </c>
      <c r="M2182" s="15"/>
      <c r="N2182" s="15" t="s">
        <v>398</v>
      </c>
      <c r="O2182" s="15" t="s">
        <v>842</v>
      </c>
      <c r="P2182" s="15" t="s">
        <v>20350</v>
      </c>
      <c r="Q2182" s="15"/>
      <c r="R2182" s="15" t="s">
        <v>20351</v>
      </c>
      <c r="S2182" s="24" t="s">
        <v>71</v>
      </c>
      <c r="T2182" s="24" t="s">
        <v>39</v>
      </c>
      <c r="U2182" s="24" t="s">
        <v>39</v>
      </c>
      <c r="V2182" s="24" t="s">
        <v>39</v>
      </c>
      <c r="W2182" s="24"/>
      <c r="X2182" s="24"/>
      <c r="Y2182" s="15"/>
      <c r="Z2182" s="15"/>
      <c r="AA2182" s="24"/>
      <c r="AB2182" s="24"/>
      <c r="AC2182" s="24"/>
      <c r="AD2182" s="24"/>
      <c r="AE2182" s="24"/>
      <c r="AF2182" s="24"/>
      <c r="AG2182" s="24"/>
      <c r="AH2182" s="24"/>
    </row>
    <row r="2183" spans="1:34" ht="75" x14ac:dyDescent="0.25">
      <c r="A2183" s="24" t="str">
        <f>HYPERLINK("https://www.cpso.on.ca/DoctorDetails/Simon-Jonathan-OBrien/0053026-66990","O'Brien, Simon Jonathan")</f>
        <v>O'Brien, Simon Jonathan</v>
      </c>
      <c r="B2183" s="25" t="s">
        <v>20352</v>
      </c>
      <c r="C2183" s="24" t="s">
        <v>836</v>
      </c>
      <c r="D2183" s="24" t="s">
        <v>7473</v>
      </c>
      <c r="E2183" s="24" t="s">
        <v>20353</v>
      </c>
      <c r="F2183" s="24" t="s">
        <v>30</v>
      </c>
      <c r="G2183" s="24" t="s">
        <v>31</v>
      </c>
      <c r="H2183" s="24" t="s">
        <v>1933</v>
      </c>
      <c r="I2183" s="24" t="s">
        <v>19026</v>
      </c>
      <c r="J2183" s="24" t="s">
        <v>20354</v>
      </c>
      <c r="K2183" s="24" t="s">
        <v>20355</v>
      </c>
      <c r="L2183" s="24" t="s">
        <v>340</v>
      </c>
      <c r="M2183" s="15" t="s">
        <v>20356</v>
      </c>
      <c r="N2183" s="15"/>
      <c r="O2183" s="15" t="s">
        <v>4901</v>
      </c>
      <c r="P2183" s="15" t="s">
        <v>1677</v>
      </c>
      <c r="Q2183" s="15" t="s">
        <v>20357</v>
      </c>
      <c r="R2183" s="15" t="s">
        <v>7480</v>
      </c>
      <c r="S2183" s="24" t="s">
        <v>39</v>
      </c>
      <c r="T2183" s="24" t="s">
        <v>39</v>
      </c>
      <c r="U2183" s="24" t="s">
        <v>39</v>
      </c>
      <c r="V2183" s="24" t="s">
        <v>39</v>
      </c>
      <c r="W2183" s="24" t="s">
        <v>20358</v>
      </c>
      <c r="X2183" s="24" t="s">
        <v>20359</v>
      </c>
      <c r="Y2183" s="15" t="s">
        <v>20360</v>
      </c>
      <c r="Z2183" s="15" t="s">
        <v>20361</v>
      </c>
      <c r="AA2183" s="24"/>
      <c r="AB2183" s="24"/>
      <c r="AC2183" s="24"/>
      <c r="AD2183" s="24"/>
      <c r="AE2183" s="24"/>
      <c r="AF2183" s="24"/>
      <c r="AG2183" s="24"/>
      <c r="AH2183" s="24"/>
    </row>
    <row r="2184" spans="1:34" x14ac:dyDescent="0.25">
      <c r="A2184" s="24" t="str">
        <f>HYPERLINK("https://www.cpso.on.ca/DoctorDetails/Simon-Kreindler/0017463-22249","Kreindler, Simon")</f>
        <v>Kreindler, Simon</v>
      </c>
      <c r="B2184" s="25" t="s">
        <v>20362</v>
      </c>
      <c r="C2184" s="24" t="s">
        <v>20363</v>
      </c>
      <c r="D2184" s="24" t="s">
        <v>20364</v>
      </c>
      <c r="E2184" s="24" t="s">
        <v>29</v>
      </c>
      <c r="F2184" s="24" t="s">
        <v>30</v>
      </c>
      <c r="G2184" s="24" t="s">
        <v>31</v>
      </c>
      <c r="H2184" s="24" t="s">
        <v>5436</v>
      </c>
      <c r="I2184" s="24" t="s">
        <v>20365</v>
      </c>
      <c r="J2184" s="24" t="s">
        <v>8926</v>
      </c>
      <c r="K2184" s="24"/>
      <c r="L2184" s="24" t="s">
        <v>52</v>
      </c>
      <c r="M2184" s="15"/>
      <c r="N2184" s="15"/>
      <c r="O2184" s="15"/>
      <c r="P2184" s="15" t="s">
        <v>10389</v>
      </c>
      <c r="Q2184" s="15"/>
      <c r="R2184" s="15" t="s">
        <v>20366</v>
      </c>
      <c r="S2184" s="24" t="s">
        <v>39</v>
      </c>
      <c r="T2184" s="24" t="s">
        <v>39</v>
      </c>
      <c r="U2184" s="24" t="s">
        <v>39</v>
      </c>
      <c r="V2184" s="24" t="s">
        <v>39</v>
      </c>
      <c r="W2184" s="24"/>
      <c r="X2184" s="24"/>
      <c r="Y2184" s="15"/>
      <c r="Z2184" s="15"/>
      <c r="AA2184" s="24"/>
      <c r="AB2184" s="24"/>
      <c r="AC2184" s="24"/>
      <c r="AD2184" s="24"/>
      <c r="AE2184" s="24"/>
      <c r="AF2184" s="24"/>
      <c r="AG2184" s="24"/>
      <c r="AH2184" s="24"/>
    </row>
    <row r="2185" spans="1:34" ht="30" x14ac:dyDescent="0.25">
      <c r="A2185" s="24" t="str">
        <f>HYPERLINK("https://www.cpso.on.ca/DoctorDetails/Simon-SinSing-Chiu/0041788-55764","Chiu, Simon Sin-Sing")</f>
        <v>Chiu, Simon Sin-Sing</v>
      </c>
      <c r="B2185" s="25" t="s">
        <v>20367</v>
      </c>
      <c r="C2185" s="24" t="s">
        <v>2132</v>
      </c>
      <c r="D2185" s="24" t="s">
        <v>20368</v>
      </c>
      <c r="E2185" s="24" t="s">
        <v>29</v>
      </c>
      <c r="F2185" s="24" t="s">
        <v>30</v>
      </c>
      <c r="G2185" s="24" t="s">
        <v>8636</v>
      </c>
      <c r="H2185" s="24" t="s">
        <v>2904</v>
      </c>
      <c r="I2185" s="24" t="s">
        <v>20369</v>
      </c>
      <c r="J2185" s="24" t="s">
        <v>20370</v>
      </c>
      <c r="K2185" s="24"/>
      <c r="L2185" s="24" t="s">
        <v>135</v>
      </c>
      <c r="M2185" s="15" t="s">
        <v>20371</v>
      </c>
      <c r="N2185" s="15" t="s">
        <v>2007</v>
      </c>
      <c r="O2185" s="15" t="s">
        <v>20372</v>
      </c>
      <c r="P2185" s="15" t="s">
        <v>2416</v>
      </c>
      <c r="Q2185" s="15" t="s">
        <v>20373</v>
      </c>
      <c r="R2185" s="15" t="s">
        <v>20374</v>
      </c>
      <c r="S2185" s="24" t="s">
        <v>39</v>
      </c>
      <c r="T2185" s="24" t="s">
        <v>39</v>
      </c>
      <c r="U2185" s="24" t="s">
        <v>39</v>
      </c>
      <c r="V2185" s="24" t="s">
        <v>39</v>
      </c>
      <c r="W2185" s="24"/>
      <c r="X2185" s="24"/>
      <c r="Y2185" s="15"/>
      <c r="Z2185" s="15"/>
      <c r="AA2185" s="24"/>
      <c r="AB2185" s="24"/>
      <c r="AC2185" s="24"/>
      <c r="AD2185" s="24"/>
      <c r="AE2185" s="24"/>
      <c r="AF2185" s="24"/>
      <c r="AG2185" s="24"/>
      <c r="AH2185" s="24"/>
    </row>
    <row r="2186" spans="1:34" ht="90" x14ac:dyDescent="0.25">
      <c r="A2186" s="24" t="str">
        <f>HYPERLINK("https://www.cpso.on.ca/DoctorDetails/Simone-Natalie-Vigod/0201435-79481","Vigod, Simone Natalie")</f>
        <v>Vigod, Simone Natalie</v>
      </c>
      <c r="B2186" s="25" t="s">
        <v>20375</v>
      </c>
      <c r="C2186" s="24" t="s">
        <v>871</v>
      </c>
      <c r="D2186" s="24" t="s">
        <v>46</v>
      </c>
      <c r="E2186" s="24" t="s">
        <v>29</v>
      </c>
      <c r="F2186" s="24" t="s">
        <v>47</v>
      </c>
      <c r="G2186" s="24" t="s">
        <v>31</v>
      </c>
      <c r="H2186" s="24" t="s">
        <v>1475</v>
      </c>
      <c r="I2186" s="24" t="s">
        <v>20376</v>
      </c>
      <c r="J2186" s="24" t="s">
        <v>4918</v>
      </c>
      <c r="K2186" s="24" t="s">
        <v>51</v>
      </c>
      <c r="L2186" s="24" t="s">
        <v>52</v>
      </c>
      <c r="M2186" s="15"/>
      <c r="N2186" s="15"/>
      <c r="O2186" s="15" t="s">
        <v>1110</v>
      </c>
      <c r="P2186" s="15" t="s">
        <v>55</v>
      </c>
      <c r="Q2186" s="15" t="s">
        <v>20377</v>
      </c>
      <c r="R2186" s="15" t="s">
        <v>8491</v>
      </c>
      <c r="S2186" s="24" t="s">
        <v>39</v>
      </c>
      <c r="T2186" s="24" t="s">
        <v>39</v>
      </c>
      <c r="U2186" s="24" t="s">
        <v>39</v>
      </c>
      <c r="V2186" s="24" t="s">
        <v>39</v>
      </c>
      <c r="W2186" s="24" t="s">
        <v>20378</v>
      </c>
      <c r="X2186" s="24" t="s">
        <v>5012</v>
      </c>
      <c r="Y2186" s="15" t="s">
        <v>20379</v>
      </c>
      <c r="Z2186" s="15" t="s">
        <v>20380</v>
      </c>
      <c r="AA2186" s="24"/>
      <c r="AB2186" s="24"/>
      <c r="AC2186" s="24"/>
      <c r="AD2186" s="24"/>
      <c r="AE2186" s="24"/>
      <c r="AF2186" s="24"/>
      <c r="AG2186" s="24"/>
      <c r="AH2186" s="24"/>
    </row>
    <row r="2187" spans="1:34" ht="90" x14ac:dyDescent="0.25">
      <c r="A2187" s="24" t="str">
        <f>HYPERLINK("https://www.cpso.on.ca/DoctorDetails/Simran-Ahluwalia/0210496-81400","Ahluwalia, Simran")</f>
        <v>Ahluwalia, Simran</v>
      </c>
      <c r="B2187" s="25" t="s">
        <v>20381</v>
      </c>
      <c r="C2187" s="24" t="s">
        <v>20382</v>
      </c>
      <c r="D2187" s="24" t="s">
        <v>20383</v>
      </c>
      <c r="E2187" s="24" t="s">
        <v>29</v>
      </c>
      <c r="F2187" s="24" t="s">
        <v>47</v>
      </c>
      <c r="G2187" s="24" t="s">
        <v>61</v>
      </c>
      <c r="H2187" s="24" t="s">
        <v>20384</v>
      </c>
      <c r="I2187" s="24" t="s">
        <v>20385</v>
      </c>
      <c r="J2187" s="24" t="s">
        <v>20386</v>
      </c>
      <c r="K2187" s="24" t="s">
        <v>16106</v>
      </c>
      <c r="L2187" s="24" t="s">
        <v>135</v>
      </c>
      <c r="M2187" s="15" t="s">
        <v>20387</v>
      </c>
      <c r="N2187" s="15"/>
      <c r="O2187" s="15" t="s">
        <v>913</v>
      </c>
      <c r="P2187" s="15" t="s">
        <v>20388</v>
      </c>
      <c r="Q2187" s="15" t="s">
        <v>20389</v>
      </c>
      <c r="R2187" s="15" t="s">
        <v>20390</v>
      </c>
      <c r="S2187" s="24" t="s">
        <v>39</v>
      </c>
      <c r="T2187" s="24" t="s">
        <v>39</v>
      </c>
      <c r="U2187" s="24" t="s">
        <v>39</v>
      </c>
      <c r="V2187" s="24" t="s">
        <v>39</v>
      </c>
      <c r="W2187" s="24" t="s">
        <v>20391</v>
      </c>
      <c r="X2187" s="24" t="s">
        <v>20392</v>
      </c>
      <c r="Y2187" s="15" t="s">
        <v>20393</v>
      </c>
      <c r="Z2187" s="15" t="s">
        <v>20394</v>
      </c>
      <c r="AA2187" s="24"/>
      <c r="AB2187" s="24"/>
      <c r="AC2187" s="24"/>
      <c r="AD2187" s="24"/>
      <c r="AE2187" s="24"/>
      <c r="AF2187" s="24"/>
      <c r="AG2187" s="24"/>
      <c r="AH2187" s="24"/>
    </row>
    <row r="2188" spans="1:34" ht="105" x14ac:dyDescent="0.25">
      <c r="A2188" s="24" t="str">
        <f>HYPERLINK("https://www.cpso.on.ca/DoctorDetails/Simuran-Kaur-Brar/0158289-73745","Brar, Simuran Kaur")</f>
        <v>Brar, Simuran Kaur</v>
      </c>
      <c r="B2188" s="25" t="s">
        <v>20395</v>
      </c>
      <c r="C2188" s="24" t="s">
        <v>20396</v>
      </c>
      <c r="D2188" s="24" t="s">
        <v>20397</v>
      </c>
      <c r="E2188" s="24" t="s">
        <v>29</v>
      </c>
      <c r="F2188" s="24" t="s">
        <v>47</v>
      </c>
      <c r="G2188" s="24" t="s">
        <v>31</v>
      </c>
      <c r="H2188" s="24" t="s">
        <v>2846</v>
      </c>
      <c r="I2188" s="24" t="s">
        <v>20398</v>
      </c>
      <c r="J2188" s="24" t="s">
        <v>20399</v>
      </c>
      <c r="K2188" s="24"/>
      <c r="L2188" s="24" t="s">
        <v>52</v>
      </c>
      <c r="M2188" s="15"/>
      <c r="N2188" s="15"/>
      <c r="O2188" s="15" t="s">
        <v>3482</v>
      </c>
      <c r="P2188" s="15" t="s">
        <v>2549</v>
      </c>
      <c r="Q2188" s="15" t="s">
        <v>20400</v>
      </c>
      <c r="R2188" s="15" t="s">
        <v>20401</v>
      </c>
      <c r="S2188" s="24" t="s">
        <v>39</v>
      </c>
      <c r="T2188" s="24" t="s">
        <v>39</v>
      </c>
      <c r="U2188" s="24" t="s">
        <v>39</v>
      </c>
      <c r="V2188" s="24" t="s">
        <v>39</v>
      </c>
      <c r="W2188" s="24" t="s">
        <v>20402</v>
      </c>
      <c r="X2188" s="24" t="s">
        <v>20403</v>
      </c>
      <c r="Y2188" s="15" t="s">
        <v>20404</v>
      </c>
      <c r="Z2188" s="15" t="s">
        <v>20405</v>
      </c>
      <c r="AA2188" s="24"/>
      <c r="AB2188" s="24"/>
      <c r="AC2188" s="24"/>
      <c r="AD2188" s="24"/>
      <c r="AE2188" s="24"/>
      <c r="AF2188" s="24"/>
      <c r="AG2188" s="24"/>
      <c r="AH2188" s="24"/>
    </row>
    <row r="2189" spans="1:34" ht="75" x14ac:dyDescent="0.25">
      <c r="A2189" s="24" t="str">
        <f>HYPERLINK("https://www.cpso.on.ca/DoctorDetails/Sinthuja-Suntharalingam/0292932-102600","Suntharalingam, Sinthuja")</f>
        <v>Suntharalingam, Sinthuja</v>
      </c>
      <c r="B2189" s="25" t="s">
        <v>20406</v>
      </c>
      <c r="C2189" s="24" t="s">
        <v>15127</v>
      </c>
      <c r="D2189" s="24" t="s">
        <v>20407</v>
      </c>
      <c r="E2189" s="24" t="s">
        <v>29</v>
      </c>
      <c r="F2189" s="24" t="s">
        <v>47</v>
      </c>
      <c r="G2189" s="24" t="s">
        <v>2255</v>
      </c>
      <c r="H2189" s="24" t="s">
        <v>20408</v>
      </c>
      <c r="I2189" s="24" t="s">
        <v>20409</v>
      </c>
      <c r="J2189" s="24" t="s">
        <v>20410</v>
      </c>
      <c r="K2189" s="24"/>
      <c r="L2189" s="24" t="s">
        <v>84</v>
      </c>
      <c r="M2189" s="15"/>
      <c r="N2189" s="15" t="s">
        <v>1370</v>
      </c>
      <c r="O2189" s="15" t="s">
        <v>2156</v>
      </c>
      <c r="P2189" s="15" t="s">
        <v>20411</v>
      </c>
      <c r="Q2189" s="15"/>
      <c r="R2189" s="15" t="s">
        <v>20412</v>
      </c>
      <c r="S2189" s="24" t="s">
        <v>71</v>
      </c>
      <c r="T2189" s="24" t="s">
        <v>39</v>
      </c>
      <c r="U2189" s="24" t="s">
        <v>39</v>
      </c>
      <c r="V2189" s="24" t="s">
        <v>39</v>
      </c>
      <c r="W2189" s="24" t="s">
        <v>20413</v>
      </c>
      <c r="X2189" s="24" t="s">
        <v>16495</v>
      </c>
      <c r="Y2189" s="15" t="s">
        <v>20414</v>
      </c>
      <c r="Z2189" s="15" t="s">
        <v>20415</v>
      </c>
      <c r="AA2189" s="24"/>
      <c r="AB2189" s="24"/>
      <c r="AC2189" s="24"/>
      <c r="AD2189" s="24"/>
      <c r="AE2189" s="24"/>
      <c r="AF2189" s="24"/>
      <c r="AG2189" s="24"/>
      <c r="AH2189" s="24"/>
    </row>
    <row r="2190" spans="1:34" x14ac:dyDescent="0.25">
      <c r="A2190" s="24" t="str">
        <f>HYPERLINK("https://www.cpso.on.ca/DoctorDetails/Sirtazali-Gulamhoosein-Hajee-Lalani/0042406-56384","Lalani, Sirtazali Gulamhoosein Hajee")</f>
        <v>Lalani, Sirtazali Gulamhoosein Hajee</v>
      </c>
      <c r="B2190" s="25" t="s">
        <v>20416</v>
      </c>
      <c r="C2190" s="24" t="s">
        <v>20417</v>
      </c>
      <c r="D2190" s="24" t="s">
        <v>2001</v>
      </c>
      <c r="E2190" s="24" t="s">
        <v>29</v>
      </c>
      <c r="F2190" s="24" t="s">
        <v>30</v>
      </c>
      <c r="G2190" s="24" t="s">
        <v>2275</v>
      </c>
      <c r="H2190" s="24" t="s">
        <v>20418</v>
      </c>
      <c r="I2190" s="24" t="s">
        <v>20419</v>
      </c>
      <c r="J2190" s="24" t="s">
        <v>20420</v>
      </c>
      <c r="K2190" s="24"/>
      <c r="L2190" s="24" t="s">
        <v>36</v>
      </c>
      <c r="M2190" s="15"/>
      <c r="N2190" s="15"/>
      <c r="O2190" s="15" t="s">
        <v>653</v>
      </c>
      <c r="P2190" s="15" t="s">
        <v>6552</v>
      </c>
      <c r="Q2190" s="15"/>
      <c r="R2190" s="15" t="s">
        <v>20421</v>
      </c>
      <c r="S2190" s="24" t="s">
        <v>39</v>
      </c>
      <c r="T2190" s="24" t="s">
        <v>39</v>
      </c>
      <c r="U2190" s="24" t="s">
        <v>39</v>
      </c>
      <c r="V2190" s="24" t="s">
        <v>39</v>
      </c>
      <c r="W2190" s="24"/>
      <c r="X2190" s="24"/>
      <c r="Y2190" s="15"/>
      <c r="Z2190" s="15"/>
      <c r="AA2190" s="24"/>
      <c r="AB2190" s="24"/>
      <c r="AC2190" s="24"/>
      <c r="AD2190" s="24"/>
      <c r="AE2190" s="24"/>
      <c r="AF2190" s="24"/>
      <c r="AG2190" s="24"/>
      <c r="AH2190" s="24"/>
    </row>
    <row r="2191" spans="1:34" ht="60" x14ac:dyDescent="0.25">
      <c r="A2191" s="24" t="str">
        <f>HYPERLINK("https://www.cpso.on.ca/DoctorDetails/Siti-Rasyidah-Abd-Halim/0305584-108106","Abd Halim, Siti Rasyidah")</f>
        <v>Abd Halim, Siti Rasyidah</v>
      </c>
      <c r="B2191" s="25" t="s">
        <v>20422</v>
      </c>
      <c r="C2191" s="24" t="s">
        <v>20423</v>
      </c>
      <c r="D2191" s="24" t="s">
        <v>20424</v>
      </c>
      <c r="E2191" s="24" t="s">
        <v>29</v>
      </c>
      <c r="F2191" s="24" t="s">
        <v>47</v>
      </c>
      <c r="G2191" s="24" t="s">
        <v>20425</v>
      </c>
      <c r="H2191" s="24" t="s">
        <v>12592</v>
      </c>
      <c r="I2191" s="24" t="s">
        <v>20426</v>
      </c>
      <c r="J2191" s="24" t="s">
        <v>15254</v>
      </c>
      <c r="K2191" s="24" t="s">
        <v>20427</v>
      </c>
      <c r="L2191" s="24" t="s">
        <v>36</v>
      </c>
      <c r="M2191" s="15"/>
      <c r="N2191" s="15" t="s">
        <v>167</v>
      </c>
      <c r="O2191" s="15" t="s">
        <v>20428</v>
      </c>
      <c r="P2191" s="15" t="s">
        <v>20429</v>
      </c>
      <c r="Q2191" s="15" t="s">
        <v>20430</v>
      </c>
      <c r="R2191" s="15" t="s">
        <v>20431</v>
      </c>
      <c r="S2191" s="24" t="s">
        <v>39</v>
      </c>
      <c r="T2191" s="24" t="s">
        <v>39</v>
      </c>
      <c r="U2191" s="24" t="s">
        <v>39</v>
      </c>
      <c r="V2191" s="24" t="s">
        <v>39</v>
      </c>
      <c r="W2191" s="24" t="s">
        <v>20432</v>
      </c>
      <c r="X2191" s="24" t="s">
        <v>20433</v>
      </c>
      <c r="Y2191" s="15" t="s">
        <v>20434</v>
      </c>
      <c r="Z2191" s="15" t="s">
        <v>20435</v>
      </c>
      <c r="AA2191" s="24"/>
      <c r="AB2191" s="24"/>
      <c r="AC2191" s="24"/>
      <c r="AD2191" s="24"/>
      <c r="AE2191" s="24"/>
      <c r="AF2191" s="24"/>
      <c r="AG2191" s="24"/>
      <c r="AH2191" s="24"/>
    </row>
    <row r="2192" spans="1:34" ht="60" x14ac:dyDescent="0.25">
      <c r="A2192" s="24" t="str">
        <f>HYPERLINK("https://www.cpso.on.ca/DoctorDetails/Siu-Wa-Tang/0024054-28876","Tang, Siu Wa")</f>
        <v>Tang, Siu Wa</v>
      </c>
      <c r="B2192" s="25" t="s">
        <v>20436</v>
      </c>
      <c r="C2192" s="24" t="s">
        <v>20437</v>
      </c>
      <c r="D2192" s="24" t="s">
        <v>20438</v>
      </c>
      <c r="E2192" s="24" t="s">
        <v>29</v>
      </c>
      <c r="F2192" s="24" t="s">
        <v>30</v>
      </c>
      <c r="G2192" s="24" t="s">
        <v>8636</v>
      </c>
      <c r="H2192" s="24" t="s">
        <v>8872</v>
      </c>
      <c r="I2192" s="24" t="s">
        <v>20439</v>
      </c>
      <c r="J2192" s="24" t="s">
        <v>20440</v>
      </c>
      <c r="K2192" s="24"/>
      <c r="L2192" s="24"/>
      <c r="M2192" s="15"/>
      <c r="N2192" s="15" t="s">
        <v>20441</v>
      </c>
      <c r="O2192" s="15"/>
      <c r="P2192" s="15" t="s">
        <v>3887</v>
      </c>
      <c r="Q2192" s="15"/>
      <c r="R2192" s="15" t="s">
        <v>20442</v>
      </c>
      <c r="S2192" s="24" t="s">
        <v>39</v>
      </c>
      <c r="T2192" s="24" t="s">
        <v>39</v>
      </c>
      <c r="U2192" s="24" t="s">
        <v>39</v>
      </c>
      <c r="V2192" s="24" t="s">
        <v>39</v>
      </c>
      <c r="W2192" s="24"/>
      <c r="X2192" s="24"/>
      <c r="Y2192" s="15"/>
      <c r="Z2192" s="15"/>
      <c r="AA2192" s="24"/>
      <c r="AB2192" s="24"/>
      <c r="AC2192" s="24"/>
      <c r="AD2192" s="24"/>
      <c r="AE2192" s="24"/>
      <c r="AF2192" s="24"/>
      <c r="AG2192" s="24"/>
      <c r="AH2192" s="24"/>
    </row>
    <row r="2193" spans="1:34" x14ac:dyDescent="0.25">
      <c r="A2193" s="24" t="str">
        <f>HYPERLINK("https://www.cpso.on.ca/DoctorDetails/Siva-Appavoo/0179226-75901","Appavoo, Siva")</f>
        <v>Appavoo, Siva</v>
      </c>
      <c r="B2193" s="25" t="s">
        <v>20443</v>
      </c>
      <c r="C2193" s="24" t="s">
        <v>20444</v>
      </c>
      <c r="D2193" s="24" t="s">
        <v>20445</v>
      </c>
      <c r="E2193" s="24" t="s">
        <v>29</v>
      </c>
      <c r="F2193" s="24" t="s">
        <v>30</v>
      </c>
      <c r="G2193" s="24" t="s">
        <v>4698</v>
      </c>
      <c r="H2193" s="24" t="s">
        <v>20446</v>
      </c>
      <c r="I2193" s="24" t="s">
        <v>20447</v>
      </c>
      <c r="J2193" s="24" t="s">
        <v>20448</v>
      </c>
      <c r="K2193" s="24" t="s">
        <v>20449</v>
      </c>
      <c r="L2193" s="24" t="s">
        <v>152</v>
      </c>
      <c r="M2193" s="15"/>
      <c r="N2193" s="15"/>
      <c r="O2193" s="15"/>
      <c r="P2193" s="15" t="s">
        <v>5889</v>
      </c>
      <c r="Q2193" s="15"/>
      <c r="R2193" s="15" t="s">
        <v>20450</v>
      </c>
      <c r="S2193" s="24" t="s">
        <v>39</v>
      </c>
      <c r="T2193" s="24" t="s">
        <v>39</v>
      </c>
      <c r="U2193" s="24" t="s">
        <v>39</v>
      </c>
      <c r="V2193" s="24" t="s">
        <v>39</v>
      </c>
      <c r="W2193" s="24"/>
      <c r="X2193" s="24"/>
      <c r="Y2193" s="15"/>
      <c r="Z2193" s="15"/>
      <c r="AA2193" s="24"/>
      <c r="AB2193" s="24"/>
      <c r="AC2193" s="24"/>
      <c r="AD2193" s="24"/>
      <c r="AE2193" s="24"/>
      <c r="AF2193" s="24"/>
      <c r="AG2193" s="24"/>
      <c r="AH2193" s="24"/>
    </row>
    <row r="2194" spans="1:34" x14ac:dyDescent="0.25">
      <c r="A2194" s="24" t="str">
        <f>HYPERLINK("https://www.cpso.on.ca/DoctorDetails/Sivakumaran-Devarajan/0224286-82378","Devarajan, Sivakumaran")</f>
        <v>Devarajan, Sivakumaran</v>
      </c>
      <c r="B2194" s="25" t="s">
        <v>20451</v>
      </c>
      <c r="C2194" s="24" t="s">
        <v>20452</v>
      </c>
      <c r="D2194" s="24" t="s">
        <v>20453</v>
      </c>
      <c r="E2194" s="24" t="s">
        <v>29</v>
      </c>
      <c r="F2194" s="24" t="s">
        <v>30</v>
      </c>
      <c r="G2194" s="24" t="s">
        <v>613</v>
      </c>
      <c r="H2194" s="24" t="s">
        <v>7428</v>
      </c>
      <c r="I2194" s="24" t="s">
        <v>20454</v>
      </c>
      <c r="J2194" s="24" t="s">
        <v>20455</v>
      </c>
      <c r="K2194" s="24" t="s">
        <v>17994</v>
      </c>
      <c r="L2194" s="24" t="s">
        <v>65</v>
      </c>
      <c r="M2194" s="15"/>
      <c r="N2194" s="15"/>
      <c r="O2194" s="15" t="s">
        <v>2785</v>
      </c>
      <c r="P2194" s="15" t="s">
        <v>2470</v>
      </c>
      <c r="Q2194" s="15"/>
      <c r="R2194" s="15" t="s">
        <v>20456</v>
      </c>
      <c r="S2194" s="24" t="s">
        <v>39</v>
      </c>
      <c r="T2194" s="24" t="s">
        <v>39</v>
      </c>
      <c r="U2194" s="24" t="s">
        <v>39</v>
      </c>
      <c r="V2194" s="24" t="s">
        <v>39</v>
      </c>
      <c r="W2194" s="24" t="s">
        <v>20457</v>
      </c>
      <c r="X2194" s="24" t="s">
        <v>20458</v>
      </c>
      <c r="Y2194" s="15" t="s">
        <v>20459</v>
      </c>
      <c r="Z2194" s="15" t="s">
        <v>18591</v>
      </c>
      <c r="AA2194" s="24"/>
      <c r="AB2194" s="24"/>
      <c r="AC2194" s="24"/>
      <c r="AD2194" s="24"/>
      <c r="AE2194" s="24"/>
      <c r="AF2194" s="24"/>
      <c r="AG2194" s="24"/>
      <c r="AH2194" s="24"/>
    </row>
    <row r="2195" spans="1:34" ht="75" x14ac:dyDescent="0.25">
      <c r="A2195" s="24" t="str">
        <f>HYPERLINK("https://www.cpso.on.ca/DoctorDetails/Sivan-Bega/0257896-90779","Bega, Sivan")</f>
        <v>Bega, Sivan</v>
      </c>
      <c r="B2195" s="25" t="s">
        <v>20460</v>
      </c>
      <c r="C2195" s="24" t="s">
        <v>20461</v>
      </c>
      <c r="D2195" s="24" t="s">
        <v>20462</v>
      </c>
      <c r="E2195" s="24" t="s">
        <v>20463</v>
      </c>
      <c r="F2195" s="24" t="s">
        <v>47</v>
      </c>
      <c r="G2195" s="24" t="s">
        <v>31</v>
      </c>
      <c r="H2195" s="24" t="s">
        <v>444</v>
      </c>
      <c r="I2195" s="24" t="s">
        <v>20464</v>
      </c>
      <c r="J2195" s="24" t="s">
        <v>20465</v>
      </c>
      <c r="K2195" s="24" t="s">
        <v>20465</v>
      </c>
      <c r="L2195" s="24" t="s">
        <v>52</v>
      </c>
      <c r="M2195" s="15"/>
      <c r="N2195" s="15" t="s">
        <v>4485</v>
      </c>
      <c r="O2195" s="15"/>
      <c r="P2195" s="15" t="s">
        <v>449</v>
      </c>
      <c r="Q2195" s="15" t="s">
        <v>450</v>
      </c>
      <c r="R2195" s="15" t="s">
        <v>20466</v>
      </c>
      <c r="S2195" s="24" t="s">
        <v>39</v>
      </c>
      <c r="T2195" s="24" t="s">
        <v>39</v>
      </c>
      <c r="U2195" s="24" t="s">
        <v>39</v>
      </c>
      <c r="V2195" s="24" t="s">
        <v>39</v>
      </c>
      <c r="W2195" s="24" t="s">
        <v>20467</v>
      </c>
      <c r="X2195" s="24" t="s">
        <v>20468</v>
      </c>
      <c r="Y2195" s="15" t="s">
        <v>20469</v>
      </c>
      <c r="Z2195" s="15" t="s">
        <v>20470</v>
      </c>
      <c r="AA2195" s="24"/>
      <c r="AB2195" s="24"/>
      <c r="AC2195" s="24"/>
      <c r="AD2195" s="24"/>
      <c r="AE2195" s="24"/>
      <c r="AF2195" s="24"/>
      <c r="AG2195" s="24"/>
      <c r="AH2195" s="24"/>
    </row>
    <row r="2196" spans="1:34" ht="30" x14ac:dyDescent="0.25">
      <c r="A2196" s="24" t="str">
        <f>HYPERLINK("https://www.cpso.on.ca/DoctorDetails/Sivasundara-Singarayer/0049040-63018","Singarayer, Sivasundara")</f>
        <v>Singarayer, Sivasundara</v>
      </c>
      <c r="B2196" s="25" t="s">
        <v>20471</v>
      </c>
      <c r="C2196" s="24" t="s">
        <v>20472</v>
      </c>
      <c r="D2196" s="24" t="s">
        <v>20473</v>
      </c>
      <c r="E2196" s="24" t="s">
        <v>29</v>
      </c>
      <c r="F2196" s="24" t="s">
        <v>47</v>
      </c>
      <c r="G2196" s="24" t="s">
        <v>613</v>
      </c>
      <c r="H2196" s="24" t="s">
        <v>614</v>
      </c>
      <c r="I2196" s="24" t="s">
        <v>7185</v>
      </c>
      <c r="J2196" s="24" t="s">
        <v>20474</v>
      </c>
      <c r="K2196" s="24" t="s">
        <v>20475</v>
      </c>
      <c r="L2196" s="24" t="s">
        <v>135</v>
      </c>
      <c r="M2196" s="15"/>
      <c r="N2196" s="15"/>
      <c r="O2196" s="15"/>
      <c r="P2196" s="15" t="s">
        <v>1094</v>
      </c>
      <c r="Q2196" s="15"/>
      <c r="R2196" s="15" t="s">
        <v>20476</v>
      </c>
      <c r="S2196" s="24" t="s">
        <v>39</v>
      </c>
      <c r="T2196" s="24" t="s">
        <v>39</v>
      </c>
      <c r="U2196" s="24" t="s">
        <v>39</v>
      </c>
      <c r="V2196" s="24" t="s">
        <v>39</v>
      </c>
      <c r="W2196" s="24"/>
      <c r="X2196" s="24"/>
      <c r="Y2196" s="15"/>
      <c r="Z2196" s="15"/>
      <c r="AA2196" s="24"/>
      <c r="AB2196" s="24"/>
      <c r="AC2196" s="24"/>
      <c r="AD2196" s="24"/>
      <c r="AE2196" s="24"/>
      <c r="AF2196" s="24"/>
      <c r="AG2196" s="24"/>
      <c r="AH2196" s="24"/>
    </row>
    <row r="2197" spans="1:34" x14ac:dyDescent="0.25">
      <c r="A2197" s="24" t="str">
        <f>HYPERLINK("https://www.cpso.on.ca/DoctorDetails/Smadar-Valerie-Tourjman/0245321-87958","Tourjman, Smadar Valerie")</f>
        <v>Tourjman, Smadar Valerie</v>
      </c>
      <c r="B2197" s="25" t="s">
        <v>20477</v>
      </c>
      <c r="C2197" s="24" t="s">
        <v>20478</v>
      </c>
      <c r="D2197" s="24" t="s">
        <v>20479</v>
      </c>
      <c r="E2197" s="24" t="s">
        <v>29</v>
      </c>
      <c r="F2197" s="24" t="s">
        <v>47</v>
      </c>
      <c r="G2197" s="24" t="s">
        <v>813</v>
      </c>
      <c r="H2197" s="24" t="s">
        <v>12948</v>
      </c>
      <c r="I2197" s="24" t="s">
        <v>11071</v>
      </c>
      <c r="J2197" s="24" t="s">
        <v>20480</v>
      </c>
      <c r="K2197" s="24" t="s">
        <v>20481</v>
      </c>
      <c r="L2197" s="24"/>
      <c r="M2197" s="15"/>
      <c r="N2197" s="15" t="s">
        <v>710</v>
      </c>
      <c r="O2197" s="15"/>
      <c r="P2197" s="15" t="s">
        <v>868</v>
      </c>
      <c r="Q2197" s="15"/>
      <c r="R2197" s="15" t="s">
        <v>20482</v>
      </c>
      <c r="S2197" s="24" t="s">
        <v>39</v>
      </c>
      <c r="T2197" s="24" t="s">
        <v>39</v>
      </c>
      <c r="U2197" s="24" t="s">
        <v>39</v>
      </c>
      <c r="V2197" s="24" t="s">
        <v>39</v>
      </c>
      <c r="W2197" s="24"/>
      <c r="X2197" s="24"/>
      <c r="Y2197" s="15"/>
      <c r="Z2197" s="15"/>
      <c r="AA2197" s="24"/>
      <c r="AB2197" s="24"/>
      <c r="AC2197" s="24"/>
      <c r="AD2197" s="24"/>
      <c r="AE2197" s="24"/>
      <c r="AF2197" s="24"/>
      <c r="AG2197" s="24"/>
      <c r="AH2197" s="24"/>
    </row>
    <row r="2198" spans="1:34" x14ac:dyDescent="0.25">
      <c r="A2198" s="24" t="str">
        <f>HYPERLINK("https://www.cpso.on.ca/DoctorDetails/Smit-Samarth-Sinha/0263718-92508","Sinha, Smit Samarth")</f>
        <v>Sinha, Smit Samarth</v>
      </c>
      <c r="B2198" s="25" t="s">
        <v>20483</v>
      </c>
      <c r="C2198" s="24" t="s">
        <v>20484</v>
      </c>
      <c r="D2198" s="24" t="s">
        <v>20485</v>
      </c>
      <c r="E2198" s="24" t="s">
        <v>29</v>
      </c>
      <c r="F2198" s="24" t="s">
        <v>30</v>
      </c>
      <c r="G2198" s="24" t="s">
        <v>31</v>
      </c>
      <c r="H2198" s="24" t="s">
        <v>2609</v>
      </c>
      <c r="I2198" s="24" t="s">
        <v>20486</v>
      </c>
      <c r="J2198" s="24" t="s">
        <v>20487</v>
      </c>
      <c r="K2198" s="24" t="s">
        <v>20488</v>
      </c>
      <c r="L2198" s="24" t="s">
        <v>52</v>
      </c>
      <c r="M2198" s="15"/>
      <c r="N2198" s="15"/>
      <c r="O2198" s="15"/>
      <c r="P2198" s="15" t="s">
        <v>20489</v>
      </c>
      <c r="Q2198" s="15"/>
      <c r="R2198" s="15" t="s">
        <v>20490</v>
      </c>
      <c r="S2198" s="24" t="s">
        <v>39</v>
      </c>
      <c r="T2198" s="24" t="s">
        <v>39</v>
      </c>
      <c r="U2198" s="24" t="s">
        <v>39</v>
      </c>
      <c r="V2198" s="24" t="s">
        <v>39</v>
      </c>
      <c r="W2198" s="24"/>
      <c r="X2198" s="24"/>
      <c r="Y2198" s="15"/>
      <c r="Z2198" s="15"/>
      <c r="AA2198" s="24"/>
      <c r="AB2198" s="24"/>
      <c r="AC2198" s="24"/>
      <c r="AD2198" s="24"/>
      <c r="AE2198" s="24"/>
      <c r="AF2198" s="24"/>
      <c r="AG2198" s="24"/>
      <c r="AH2198" s="24"/>
    </row>
    <row r="2199" spans="1:34" ht="60" x14ac:dyDescent="0.25">
      <c r="A2199" s="24" t="str">
        <f>HYPERLINK("https://www.cpso.on.ca/DoctorDetails/Smita-Vinay-Thatte/0039816-53792","Thatte, Smita Vinay")</f>
        <v>Thatte, Smita Vinay</v>
      </c>
      <c r="B2199" s="25" t="s">
        <v>20491</v>
      </c>
      <c r="C2199" s="24" t="s">
        <v>20492</v>
      </c>
      <c r="D2199" s="24" t="s">
        <v>20493</v>
      </c>
      <c r="E2199" s="24" t="s">
        <v>29</v>
      </c>
      <c r="F2199" s="24" t="s">
        <v>47</v>
      </c>
      <c r="G2199" s="24" t="s">
        <v>2248</v>
      </c>
      <c r="H2199" s="24" t="s">
        <v>20494</v>
      </c>
      <c r="I2199" s="24" t="s">
        <v>742</v>
      </c>
      <c r="J2199" s="24" t="s">
        <v>20495</v>
      </c>
      <c r="K2199" s="24" t="s">
        <v>20496</v>
      </c>
      <c r="L2199" s="24" t="s">
        <v>84</v>
      </c>
      <c r="M2199" s="15"/>
      <c r="N2199" s="15"/>
      <c r="O2199" s="15" t="s">
        <v>2156</v>
      </c>
      <c r="P2199" s="15" t="s">
        <v>20497</v>
      </c>
      <c r="Q2199" s="15" t="s">
        <v>20498</v>
      </c>
      <c r="R2199" s="15" t="s">
        <v>20499</v>
      </c>
      <c r="S2199" s="24" t="s">
        <v>39</v>
      </c>
      <c r="T2199" s="24" t="s">
        <v>39</v>
      </c>
      <c r="U2199" s="24" t="s">
        <v>39</v>
      </c>
      <c r="V2199" s="24" t="s">
        <v>39</v>
      </c>
      <c r="W2199" s="24" t="s">
        <v>20500</v>
      </c>
      <c r="X2199" s="24" t="s">
        <v>20501</v>
      </c>
      <c r="Y2199" s="15" t="s">
        <v>20502</v>
      </c>
      <c r="Z2199" s="15" t="s">
        <v>13073</v>
      </c>
      <c r="AA2199" s="24"/>
      <c r="AB2199" s="24"/>
      <c r="AC2199" s="24"/>
      <c r="AD2199" s="24"/>
      <c r="AE2199" s="24"/>
      <c r="AF2199" s="24"/>
      <c r="AG2199" s="24"/>
      <c r="AH2199" s="24"/>
    </row>
    <row r="2200" spans="1:34" ht="105" x14ac:dyDescent="0.25">
      <c r="A2200" s="24" t="str">
        <f>HYPERLINK("https://www.cpso.on.ca/DoctorDetails/Snezana-Susan-IlkovMoor/0168989-75269","Ilkov-Moor, Snezana Susan")</f>
        <v>Ilkov-Moor, Snezana Susan</v>
      </c>
      <c r="B2200" s="25" t="s">
        <v>20503</v>
      </c>
      <c r="C2200" s="24" t="s">
        <v>3642</v>
      </c>
      <c r="D2200" s="24" t="s">
        <v>4401</v>
      </c>
      <c r="E2200" s="24" t="s">
        <v>29</v>
      </c>
      <c r="F2200" s="24" t="s">
        <v>47</v>
      </c>
      <c r="G2200" s="24" t="s">
        <v>31</v>
      </c>
      <c r="H2200" s="24" t="s">
        <v>3333</v>
      </c>
      <c r="I2200" s="24" t="s">
        <v>20504</v>
      </c>
      <c r="J2200" s="24" t="s">
        <v>20505</v>
      </c>
      <c r="K2200" s="24" t="s">
        <v>20506</v>
      </c>
      <c r="L2200" s="24" t="s">
        <v>340</v>
      </c>
      <c r="M2200" s="15"/>
      <c r="N2200" s="15"/>
      <c r="O2200" s="15" t="s">
        <v>20507</v>
      </c>
      <c r="P2200" s="15" t="s">
        <v>20508</v>
      </c>
      <c r="Q2200" s="15" t="s">
        <v>20509</v>
      </c>
      <c r="R2200" s="15" t="s">
        <v>20510</v>
      </c>
      <c r="S2200" s="24" t="s">
        <v>39</v>
      </c>
      <c r="T2200" s="24" t="s">
        <v>39</v>
      </c>
      <c r="U2200" s="24" t="s">
        <v>39</v>
      </c>
      <c r="V2200" s="24" t="s">
        <v>39</v>
      </c>
      <c r="W2200" s="24" t="s">
        <v>20511</v>
      </c>
      <c r="X2200" s="24" t="s">
        <v>20512</v>
      </c>
      <c r="Y2200" s="15"/>
      <c r="Z2200" s="15"/>
      <c r="AA2200" s="24"/>
      <c r="AB2200" s="24"/>
      <c r="AC2200" s="24"/>
      <c r="AD2200" s="24"/>
      <c r="AE2200" s="24"/>
      <c r="AF2200" s="24"/>
      <c r="AG2200" s="24"/>
      <c r="AH2200" s="24"/>
    </row>
    <row r="2201" spans="1:34" ht="120" x14ac:dyDescent="0.25">
      <c r="A2201" s="24" t="str">
        <f>HYPERLINK("https://www.cpso.on.ca/DoctorDetails/SohYoon-Min/0232712-84567","Min, Soh-Yoon")</f>
        <v>Min, Soh-Yoon</v>
      </c>
      <c r="B2201" s="25" t="s">
        <v>20513</v>
      </c>
      <c r="C2201" s="24" t="s">
        <v>18135</v>
      </c>
      <c r="D2201" s="24" t="s">
        <v>18136</v>
      </c>
      <c r="E2201" s="24" t="s">
        <v>29</v>
      </c>
      <c r="F2201" s="24" t="s">
        <v>47</v>
      </c>
      <c r="G2201" s="24" t="s">
        <v>20514</v>
      </c>
      <c r="H2201" s="24" t="s">
        <v>15872</v>
      </c>
      <c r="I2201" s="24" t="s">
        <v>20515</v>
      </c>
      <c r="J2201" s="24" t="s">
        <v>4361</v>
      </c>
      <c r="K2201" s="24" t="s">
        <v>20516</v>
      </c>
      <c r="L2201" s="24" t="s">
        <v>184</v>
      </c>
      <c r="M2201" s="15"/>
      <c r="N2201" s="15"/>
      <c r="O2201" s="15" t="s">
        <v>20517</v>
      </c>
      <c r="P2201" s="15" t="s">
        <v>20518</v>
      </c>
      <c r="Q2201" s="15" t="s">
        <v>20519</v>
      </c>
      <c r="R2201" s="15" t="s">
        <v>20520</v>
      </c>
      <c r="S2201" s="24" t="s">
        <v>39</v>
      </c>
      <c r="T2201" s="24" t="s">
        <v>39</v>
      </c>
      <c r="U2201" s="24" t="s">
        <v>39</v>
      </c>
      <c r="V2201" s="24" t="s">
        <v>39</v>
      </c>
      <c r="W2201" s="24" t="s">
        <v>20521</v>
      </c>
      <c r="X2201" s="24" t="s">
        <v>20522</v>
      </c>
      <c r="Y2201" s="15" t="s">
        <v>20523</v>
      </c>
      <c r="Z2201" s="15" t="s">
        <v>20524</v>
      </c>
      <c r="AA2201" s="24"/>
      <c r="AB2201" s="24"/>
      <c r="AC2201" s="24"/>
      <c r="AD2201" s="24"/>
      <c r="AE2201" s="24"/>
      <c r="AF2201" s="24"/>
      <c r="AG2201" s="24"/>
      <c r="AH2201" s="24"/>
    </row>
    <row r="2202" spans="1:34" ht="105" x14ac:dyDescent="0.25">
      <c r="A2202" s="24" t="str">
        <f>HYPERLINK("https://www.cpso.on.ca/DoctorDetails/Sohail-Makhdoom/0244839-87799","Makhdoom, Sohail")</f>
        <v>Makhdoom, Sohail</v>
      </c>
      <c r="B2202" s="25" t="s">
        <v>20525</v>
      </c>
      <c r="C2202" s="24" t="s">
        <v>20526</v>
      </c>
      <c r="D2202" s="24" t="s">
        <v>20527</v>
      </c>
      <c r="E2202" s="24" t="s">
        <v>29</v>
      </c>
      <c r="F2202" s="24" t="s">
        <v>30</v>
      </c>
      <c r="G2202" s="24" t="s">
        <v>1445</v>
      </c>
      <c r="H2202" s="24" t="s">
        <v>20528</v>
      </c>
      <c r="I2202" s="24" t="s">
        <v>20529</v>
      </c>
      <c r="J2202" s="24" t="s">
        <v>20530</v>
      </c>
      <c r="K2202" s="24" t="s">
        <v>16106</v>
      </c>
      <c r="L2202" s="24" t="s">
        <v>135</v>
      </c>
      <c r="M2202" s="15"/>
      <c r="N2202" s="15"/>
      <c r="O2202" s="15" t="s">
        <v>20531</v>
      </c>
      <c r="P2202" s="15" t="s">
        <v>20532</v>
      </c>
      <c r="Q2202" s="15"/>
      <c r="R2202" s="15" t="s">
        <v>20533</v>
      </c>
      <c r="S2202" s="24" t="s">
        <v>71</v>
      </c>
      <c r="T2202" s="24" t="s">
        <v>39</v>
      </c>
      <c r="U2202" s="24" t="s">
        <v>39</v>
      </c>
      <c r="V2202" s="24" t="s">
        <v>71</v>
      </c>
      <c r="W2202" s="24" t="s">
        <v>20534</v>
      </c>
      <c r="X2202" s="24" t="s">
        <v>20535</v>
      </c>
      <c r="Y2202" s="15" t="s">
        <v>20536</v>
      </c>
      <c r="Z2202" s="15" t="s">
        <v>20537</v>
      </c>
      <c r="AA2202" s="24"/>
      <c r="AB2202" s="24"/>
      <c r="AC2202" s="24"/>
      <c r="AD2202" s="24"/>
      <c r="AE2202" s="24"/>
      <c r="AF2202" s="24"/>
      <c r="AG2202" s="24"/>
      <c r="AH2202" s="24"/>
    </row>
    <row r="2203" spans="1:34" ht="30" x14ac:dyDescent="0.25">
      <c r="A2203" s="24" t="str">
        <f>HYPERLINK("https://www.cpso.on.ca/DoctorDetails/Sol-Julian-Goldstein/0016672-21457","Goldstein, Sol Julian")</f>
        <v>Goldstein, Sol Julian</v>
      </c>
      <c r="B2203" s="25" t="s">
        <v>20538</v>
      </c>
      <c r="C2203" s="24" t="s">
        <v>20539</v>
      </c>
      <c r="D2203" s="24" t="s">
        <v>20540</v>
      </c>
      <c r="E2203" s="24" t="s">
        <v>29</v>
      </c>
      <c r="F2203" s="24" t="s">
        <v>30</v>
      </c>
      <c r="G2203" s="24" t="s">
        <v>11138</v>
      </c>
      <c r="H2203" s="24" t="s">
        <v>20541</v>
      </c>
      <c r="I2203" s="24" t="s">
        <v>20542</v>
      </c>
      <c r="J2203" s="24" t="s">
        <v>20543</v>
      </c>
      <c r="K2203" s="24" t="s">
        <v>20544</v>
      </c>
      <c r="L2203" s="24" t="s">
        <v>52</v>
      </c>
      <c r="M2203" s="15" t="s">
        <v>20545</v>
      </c>
      <c r="N2203" s="15"/>
      <c r="O2203" s="15"/>
      <c r="P2203" s="15" t="s">
        <v>7422</v>
      </c>
      <c r="Q2203" s="15"/>
      <c r="R2203" s="15" t="s">
        <v>20546</v>
      </c>
      <c r="S2203" s="24" t="s">
        <v>39</v>
      </c>
      <c r="T2203" s="24" t="s">
        <v>39</v>
      </c>
      <c r="U2203" s="24" t="s">
        <v>71</v>
      </c>
      <c r="V2203" s="24" t="s">
        <v>71</v>
      </c>
      <c r="W2203" s="24" t="s">
        <v>20547</v>
      </c>
      <c r="X2203" s="24" t="s">
        <v>20548</v>
      </c>
      <c r="Y2203" s="15" t="s">
        <v>20549</v>
      </c>
      <c r="Z2203" s="15" t="s">
        <v>20550</v>
      </c>
      <c r="AA2203" s="24"/>
      <c r="AB2203" s="24"/>
      <c r="AC2203" s="24"/>
      <c r="AD2203" s="24"/>
      <c r="AE2203" s="24"/>
      <c r="AF2203" s="24"/>
      <c r="AG2203" s="24"/>
      <c r="AH2203" s="24"/>
    </row>
    <row r="2204" spans="1:34" ht="30" x14ac:dyDescent="0.25">
      <c r="A2204" s="24" t="str">
        <f>HYPERLINK("https://www.cpso.on.ca/DoctorDetails/Soliman-Moones-Sonbol/0049320-63298","Sonbol, Soliman Moones")</f>
        <v>Sonbol, Soliman Moones</v>
      </c>
      <c r="B2204" s="25" t="s">
        <v>20551</v>
      </c>
      <c r="C2204" s="24" t="s">
        <v>20552</v>
      </c>
      <c r="D2204" s="24" t="s">
        <v>20553</v>
      </c>
      <c r="E2204" s="24" t="s">
        <v>29</v>
      </c>
      <c r="F2204" s="24" t="s">
        <v>30</v>
      </c>
      <c r="G2204" s="24" t="s">
        <v>105</v>
      </c>
      <c r="H2204" s="24" t="s">
        <v>11854</v>
      </c>
      <c r="I2204" s="24" t="s">
        <v>20554</v>
      </c>
      <c r="J2204" s="24" t="s">
        <v>20555</v>
      </c>
      <c r="K2204" s="24" t="s">
        <v>12730</v>
      </c>
      <c r="L2204" s="24" t="s">
        <v>36</v>
      </c>
      <c r="M2204" s="15" t="s">
        <v>20556</v>
      </c>
      <c r="N2204" s="15"/>
      <c r="O2204" s="15" t="s">
        <v>20557</v>
      </c>
      <c r="P2204" s="15" t="s">
        <v>12762</v>
      </c>
      <c r="Q2204" s="15" t="s">
        <v>20558</v>
      </c>
      <c r="R2204" s="15" t="s">
        <v>20559</v>
      </c>
      <c r="S2204" s="24" t="s">
        <v>39</v>
      </c>
      <c r="T2204" s="24" t="s">
        <v>39</v>
      </c>
      <c r="U2204" s="24" t="s">
        <v>39</v>
      </c>
      <c r="V2204" s="24" t="s">
        <v>39</v>
      </c>
      <c r="W2204" s="24"/>
      <c r="X2204" s="24"/>
      <c r="Y2204" s="15"/>
      <c r="Z2204" s="15"/>
      <c r="AA2204" s="24"/>
      <c r="AB2204" s="24"/>
      <c r="AC2204" s="24"/>
      <c r="AD2204" s="24"/>
      <c r="AE2204" s="24"/>
      <c r="AF2204" s="24"/>
      <c r="AG2204" s="24"/>
      <c r="AH2204" s="24"/>
    </row>
    <row r="2205" spans="1:34" ht="30" x14ac:dyDescent="0.25">
      <c r="A2205" s="24" t="str">
        <f>HYPERLINK("https://www.cpso.on.ca/DoctorDetails/Solomon-Marc-Shapiro/0044959-58937","Shapiro, Solomon Marc")</f>
        <v>Shapiro, Solomon Marc</v>
      </c>
      <c r="B2205" s="25" t="s">
        <v>20560</v>
      </c>
      <c r="C2205" s="24" t="s">
        <v>20561</v>
      </c>
      <c r="D2205" s="24" t="s">
        <v>20562</v>
      </c>
      <c r="E2205" s="24" t="s">
        <v>29</v>
      </c>
      <c r="F2205" s="24" t="s">
        <v>30</v>
      </c>
      <c r="G2205" s="24" t="s">
        <v>813</v>
      </c>
      <c r="H2205" s="24" t="s">
        <v>11627</v>
      </c>
      <c r="I2205" s="24" t="s">
        <v>20563</v>
      </c>
      <c r="J2205" s="24" t="s">
        <v>20564</v>
      </c>
      <c r="K2205" s="24" t="s">
        <v>5723</v>
      </c>
      <c r="L2205" s="24" t="s">
        <v>52</v>
      </c>
      <c r="M2205" s="15" t="s">
        <v>20565</v>
      </c>
      <c r="N2205" s="15"/>
      <c r="O2205" s="15"/>
      <c r="P2205" s="15" t="s">
        <v>20566</v>
      </c>
      <c r="Q2205" s="15"/>
      <c r="R2205" s="15" t="s">
        <v>20567</v>
      </c>
      <c r="S2205" s="24" t="s">
        <v>39</v>
      </c>
      <c r="T2205" s="24" t="s">
        <v>39</v>
      </c>
      <c r="U2205" s="24" t="s">
        <v>39</v>
      </c>
      <c r="V2205" s="24" t="s">
        <v>39</v>
      </c>
      <c r="W2205" s="24" t="s">
        <v>20568</v>
      </c>
      <c r="X2205" s="24" t="s">
        <v>6449</v>
      </c>
      <c r="Y2205" s="15" t="s">
        <v>20569</v>
      </c>
      <c r="Z2205" s="15" t="s">
        <v>20570</v>
      </c>
      <c r="AA2205" s="24"/>
      <c r="AB2205" s="24"/>
      <c r="AC2205" s="24"/>
      <c r="AD2205" s="24"/>
      <c r="AE2205" s="24"/>
      <c r="AF2205" s="24"/>
      <c r="AG2205" s="24"/>
      <c r="AH2205" s="24"/>
    </row>
    <row r="2206" spans="1:34" ht="75" x14ac:dyDescent="0.25">
      <c r="A2206" s="24" t="str">
        <f>HYPERLINK("https://www.cpso.on.ca/DoctorDetails/Sonia-Maria-Cruickshanks/0057635-69223","Cruickshanks, Sonia Maria")</f>
        <v>Cruickshanks, Sonia Maria</v>
      </c>
      <c r="B2206" s="25" t="s">
        <v>20571</v>
      </c>
      <c r="C2206" s="24" t="s">
        <v>20572</v>
      </c>
      <c r="D2206" s="24" t="s">
        <v>20573</v>
      </c>
      <c r="E2206" s="15" t="s">
        <v>20574</v>
      </c>
      <c r="F2206" s="24" t="s">
        <v>47</v>
      </c>
      <c r="G2206" s="24" t="s">
        <v>20575</v>
      </c>
      <c r="H2206" s="24" t="s">
        <v>4511</v>
      </c>
      <c r="I2206" s="24" t="s">
        <v>20576</v>
      </c>
      <c r="J2206" s="24" t="s">
        <v>20577</v>
      </c>
      <c r="K2206" s="24" t="s">
        <v>20578</v>
      </c>
      <c r="L2206" s="24" t="s">
        <v>36</v>
      </c>
      <c r="M2206" s="15"/>
      <c r="N2206" s="15"/>
      <c r="O2206" s="15"/>
      <c r="P2206" s="15" t="s">
        <v>5426</v>
      </c>
      <c r="Q2206" s="15" t="s">
        <v>4714</v>
      </c>
      <c r="R2206" s="15" t="s">
        <v>20579</v>
      </c>
      <c r="S2206" s="24" t="s">
        <v>39</v>
      </c>
      <c r="T2206" s="24" t="s">
        <v>39</v>
      </c>
      <c r="U2206" s="24" t="s">
        <v>39</v>
      </c>
      <c r="V2206" s="24" t="s">
        <v>39</v>
      </c>
      <c r="W2206" s="24"/>
      <c r="X2206" s="24"/>
      <c r="Y2206" s="15"/>
      <c r="Z2206" s="15"/>
      <c r="AA2206" s="24"/>
      <c r="AB2206" s="24"/>
      <c r="AC2206" s="24"/>
      <c r="AD2206" s="24"/>
      <c r="AE2206" s="24"/>
      <c r="AF2206" s="24"/>
      <c r="AG2206" s="24"/>
      <c r="AH2206" s="24"/>
    </row>
    <row r="2207" spans="1:34" ht="150" x14ac:dyDescent="0.25">
      <c r="A2207" s="24" t="str">
        <f>HYPERLINK("https://www.cpso.on.ca/DoctorDetails/Sonia-Wadhwa/0288589-100453","Wadhwa, Sonia")</f>
        <v>Wadhwa, Sonia</v>
      </c>
      <c r="B2207" s="25" t="s">
        <v>20580</v>
      </c>
      <c r="C2207" s="24" t="s">
        <v>199</v>
      </c>
      <c r="D2207" s="24" t="s">
        <v>20581</v>
      </c>
      <c r="E2207" s="24" t="s">
        <v>29</v>
      </c>
      <c r="F2207" s="24" t="s">
        <v>47</v>
      </c>
      <c r="G2207" s="24" t="s">
        <v>31</v>
      </c>
      <c r="H2207" s="24" t="s">
        <v>20582</v>
      </c>
      <c r="I2207" s="24" t="s">
        <v>18449</v>
      </c>
      <c r="J2207" s="24" t="s">
        <v>4115</v>
      </c>
      <c r="K2207" s="24"/>
      <c r="L2207" s="24" t="s">
        <v>135</v>
      </c>
      <c r="M2207" s="15"/>
      <c r="N2207" s="15"/>
      <c r="O2207" s="15"/>
      <c r="P2207" s="15" t="s">
        <v>20583</v>
      </c>
      <c r="Q2207" s="15" t="s">
        <v>20584</v>
      </c>
      <c r="R2207" s="15" t="s">
        <v>20585</v>
      </c>
      <c r="S2207" s="24" t="s">
        <v>39</v>
      </c>
      <c r="T2207" s="24" t="s">
        <v>39</v>
      </c>
      <c r="U2207" s="24" t="s">
        <v>39</v>
      </c>
      <c r="V2207" s="24" t="s">
        <v>39</v>
      </c>
      <c r="W2207" s="24"/>
      <c r="X2207" s="24"/>
      <c r="Y2207" s="15"/>
      <c r="Z2207" s="15"/>
      <c r="AA2207" s="24"/>
      <c r="AB2207" s="24"/>
      <c r="AC2207" s="24"/>
      <c r="AD2207" s="24"/>
      <c r="AE2207" s="24"/>
      <c r="AF2207" s="24"/>
      <c r="AG2207" s="24"/>
      <c r="AH2207" s="24"/>
    </row>
    <row r="2208" spans="1:34" ht="135" x14ac:dyDescent="0.25">
      <c r="A2208" s="24" t="str">
        <f>HYPERLINK("https://www.cpso.on.ca/DoctorDetails/Soojin-Chun/0259483-91247","Chun, Soojin")</f>
        <v>Chun, Soojin</v>
      </c>
      <c r="B2208" s="25" t="s">
        <v>20586</v>
      </c>
      <c r="C2208" s="24" t="s">
        <v>20587</v>
      </c>
      <c r="D2208" s="24" t="s">
        <v>20588</v>
      </c>
      <c r="E2208" s="24" t="s">
        <v>29</v>
      </c>
      <c r="F2208" s="24" t="s">
        <v>47</v>
      </c>
      <c r="G2208" s="24" t="s">
        <v>31</v>
      </c>
      <c r="H2208" s="24" t="s">
        <v>3586</v>
      </c>
      <c r="I2208" s="24" t="s">
        <v>20589</v>
      </c>
      <c r="J2208" s="24" t="s">
        <v>20590</v>
      </c>
      <c r="K2208" s="24"/>
      <c r="L2208" s="24" t="s">
        <v>84</v>
      </c>
      <c r="M2208" s="15"/>
      <c r="N2208" s="15"/>
      <c r="O2208" s="15" t="s">
        <v>498</v>
      </c>
      <c r="P2208" s="15" t="s">
        <v>20591</v>
      </c>
      <c r="Q2208" s="15" t="s">
        <v>20592</v>
      </c>
      <c r="R2208" s="15" t="s">
        <v>20593</v>
      </c>
      <c r="S2208" s="24" t="s">
        <v>39</v>
      </c>
      <c r="T2208" s="24" t="s">
        <v>39</v>
      </c>
      <c r="U2208" s="24" t="s">
        <v>39</v>
      </c>
      <c r="V2208" s="24" t="s">
        <v>39</v>
      </c>
      <c r="W2208" s="24" t="s">
        <v>6811</v>
      </c>
      <c r="X2208" s="24" t="s">
        <v>6812</v>
      </c>
      <c r="Y2208" s="15" t="s">
        <v>6813</v>
      </c>
      <c r="Z2208" s="15" t="s">
        <v>6814</v>
      </c>
      <c r="AA2208" s="24"/>
      <c r="AB2208" s="24"/>
      <c r="AC2208" s="24"/>
      <c r="AD2208" s="24"/>
      <c r="AE2208" s="24"/>
      <c r="AF2208" s="24"/>
      <c r="AG2208" s="24"/>
      <c r="AH2208" s="24"/>
    </row>
    <row r="2209" spans="1:34" ht="45" x14ac:dyDescent="0.25">
      <c r="A2209" s="24" t="str">
        <f>HYPERLINK("https://www.cpso.on.ca/DoctorDetails/Sophia-Hrycko/0154321-72805","Hrycko, Sophia")</f>
        <v>Hrycko, Sophia</v>
      </c>
      <c r="B2209" s="25" t="s">
        <v>20594</v>
      </c>
      <c r="C2209" s="24" t="s">
        <v>14005</v>
      </c>
      <c r="D2209" s="24" t="s">
        <v>837</v>
      </c>
      <c r="E2209" s="24" t="s">
        <v>29</v>
      </c>
      <c r="F2209" s="24" t="s">
        <v>47</v>
      </c>
      <c r="G2209" s="24" t="s">
        <v>813</v>
      </c>
      <c r="H2209" s="24" t="s">
        <v>1933</v>
      </c>
      <c r="I2209" s="24" t="s">
        <v>20595</v>
      </c>
      <c r="J2209" s="24" t="s">
        <v>20596</v>
      </c>
      <c r="K2209" s="24" t="s">
        <v>20597</v>
      </c>
      <c r="L2209" s="24" t="s">
        <v>84</v>
      </c>
      <c r="M2209" s="15"/>
      <c r="N2209" s="15" t="s">
        <v>710</v>
      </c>
      <c r="O2209" s="15" t="s">
        <v>4570</v>
      </c>
      <c r="P2209" s="15" t="s">
        <v>303</v>
      </c>
      <c r="Q2209" s="15"/>
      <c r="R2209" s="15" t="s">
        <v>14012</v>
      </c>
      <c r="S2209" s="24" t="s">
        <v>39</v>
      </c>
      <c r="T2209" s="24" t="s">
        <v>39</v>
      </c>
      <c r="U2209" s="24" t="s">
        <v>39</v>
      </c>
      <c r="V2209" s="24" t="s">
        <v>39</v>
      </c>
      <c r="W2209" s="24" t="s">
        <v>20598</v>
      </c>
      <c r="X2209" s="24" t="s">
        <v>20599</v>
      </c>
      <c r="Y2209" s="15" t="s">
        <v>20600</v>
      </c>
      <c r="Z2209" s="15" t="s">
        <v>12585</v>
      </c>
      <c r="AA2209" s="24"/>
      <c r="AB2209" s="24"/>
      <c r="AC2209" s="24"/>
      <c r="AD2209" s="24"/>
      <c r="AE2209" s="24"/>
      <c r="AF2209" s="24"/>
      <c r="AG2209" s="24"/>
      <c r="AH2209" s="24"/>
    </row>
    <row r="2210" spans="1:34" ht="165" x14ac:dyDescent="0.25">
      <c r="A2210" s="24" t="str">
        <f>HYPERLINK("https://www.cpso.on.ca/DoctorDetails/Sophia-Julie-Lakatoo-Hunt/0232939-84344","Lakatoo Hunt, Sophia Julie")</f>
        <v>Lakatoo Hunt, Sophia Julie</v>
      </c>
      <c r="B2210" s="25" t="s">
        <v>20601</v>
      </c>
      <c r="C2210" s="24" t="s">
        <v>16397</v>
      </c>
      <c r="D2210" s="24" t="s">
        <v>16398</v>
      </c>
      <c r="E2210" s="24" t="s">
        <v>20602</v>
      </c>
      <c r="F2210" s="24" t="s">
        <v>47</v>
      </c>
      <c r="G2210" s="24" t="s">
        <v>31</v>
      </c>
      <c r="H2210" s="24" t="s">
        <v>2613</v>
      </c>
      <c r="I2210" s="24" t="s">
        <v>19520</v>
      </c>
      <c r="J2210" s="24" t="s">
        <v>1378</v>
      </c>
      <c r="K2210" s="24"/>
      <c r="L2210" s="24" t="s">
        <v>36</v>
      </c>
      <c r="M2210" s="15"/>
      <c r="N2210" s="15"/>
      <c r="O2210" s="15"/>
      <c r="P2210" s="15" t="s">
        <v>14661</v>
      </c>
      <c r="Q2210" s="15" t="s">
        <v>20603</v>
      </c>
      <c r="R2210" s="15" t="s">
        <v>20604</v>
      </c>
      <c r="S2210" s="24" t="s">
        <v>39</v>
      </c>
      <c r="T2210" s="24" t="s">
        <v>39</v>
      </c>
      <c r="U2210" s="24" t="s">
        <v>39</v>
      </c>
      <c r="V2210" s="24" t="s">
        <v>39</v>
      </c>
      <c r="W2210" s="24"/>
      <c r="X2210" s="24"/>
      <c r="Y2210" s="15"/>
      <c r="Z2210" s="15"/>
      <c r="AA2210" s="24"/>
      <c r="AB2210" s="24"/>
      <c r="AC2210" s="24"/>
      <c r="AD2210" s="24"/>
      <c r="AE2210" s="24"/>
      <c r="AF2210" s="24"/>
      <c r="AG2210" s="24"/>
      <c r="AH2210" s="24"/>
    </row>
    <row r="2211" spans="1:34" ht="90" x14ac:dyDescent="0.25">
      <c r="A2211" s="24" t="str">
        <f>HYPERLINK("https://www.cpso.on.ca/DoctorDetails/Sophie-Grigoriadis/0140039-71335","Grigoriadis, Sophie")</f>
        <v>Grigoriadis, Sophie</v>
      </c>
      <c r="B2211" s="25" t="s">
        <v>20605</v>
      </c>
      <c r="C2211" s="24" t="s">
        <v>1390</v>
      </c>
      <c r="D2211" s="24" t="s">
        <v>1391</v>
      </c>
      <c r="E2211" s="24" t="s">
        <v>29</v>
      </c>
      <c r="F2211" s="24" t="s">
        <v>47</v>
      </c>
      <c r="G2211" s="24" t="s">
        <v>31</v>
      </c>
      <c r="H2211" s="24" t="s">
        <v>1393</v>
      </c>
      <c r="I2211" s="24" t="s">
        <v>20606</v>
      </c>
      <c r="J2211" s="24" t="s">
        <v>20607</v>
      </c>
      <c r="K2211" s="24" t="s">
        <v>1396</v>
      </c>
      <c r="L2211" s="24" t="s">
        <v>52</v>
      </c>
      <c r="M2211" s="15"/>
      <c r="N2211" s="15"/>
      <c r="O2211" s="15" t="s">
        <v>1397</v>
      </c>
      <c r="P2211" s="15" t="s">
        <v>1398</v>
      </c>
      <c r="Q2211" s="15" t="s">
        <v>20608</v>
      </c>
      <c r="R2211" s="15" t="s">
        <v>1400</v>
      </c>
      <c r="S2211" s="24" t="s">
        <v>39</v>
      </c>
      <c r="T2211" s="24" t="s">
        <v>39</v>
      </c>
      <c r="U2211" s="24" t="s">
        <v>39</v>
      </c>
      <c r="V2211" s="24" t="s">
        <v>39</v>
      </c>
      <c r="W2211" s="24" t="s">
        <v>20609</v>
      </c>
      <c r="X2211" s="24" t="s">
        <v>20610</v>
      </c>
      <c r="Y2211" s="15" t="s">
        <v>20611</v>
      </c>
      <c r="Z2211" s="15" t="s">
        <v>20612</v>
      </c>
      <c r="AA2211" s="24"/>
      <c r="AB2211" s="24"/>
      <c r="AC2211" s="24"/>
      <c r="AD2211" s="24"/>
      <c r="AE2211" s="24"/>
      <c r="AF2211" s="24"/>
      <c r="AG2211" s="24"/>
      <c r="AH2211" s="24"/>
    </row>
    <row r="2212" spans="1:34" ht="105" x14ac:dyDescent="0.25">
      <c r="A2212" s="24" t="str">
        <f>HYPERLINK("https://www.cpso.on.ca/DoctorDetails/Sophiya-Benjamin/0285704-100014","Benjamin, Sophiya")</f>
        <v>Benjamin, Sophiya</v>
      </c>
      <c r="B2212" s="25" t="s">
        <v>20613</v>
      </c>
      <c r="C2212" s="24" t="s">
        <v>6045</v>
      </c>
      <c r="D2212" s="24" t="s">
        <v>6046</v>
      </c>
      <c r="E2212" s="24" t="s">
        <v>29</v>
      </c>
      <c r="F2212" s="24" t="s">
        <v>47</v>
      </c>
      <c r="G2212" s="24" t="s">
        <v>2255</v>
      </c>
      <c r="H2212" s="24" t="s">
        <v>8364</v>
      </c>
      <c r="I2212" s="24" t="s">
        <v>20614</v>
      </c>
      <c r="J2212" s="24" t="s">
        <v>20615</v>
      </c>
      <c r="K2212" s="24" t="s">
        <v>6050</v>
      </c>
      <c r="L2212" s="24" t="s">
        <v>152</v>
      </c>
      <c r="M2212" s="15" t="s">
        <v>20616</v>
      </c>
      <c r="N2212" s="15"/>
      <c r="O2212" s="15" t="s">
        <v>6052</v>
      </c>
      <c r="P2212" s="15" t="s">
        <v>20617</v>
      </c>
      <c r="Q2212" s="15"/>
      <c r="R2212" s="15" t="s">
        <v>20618</v>
      </c>
      <c r="S2212" s="24" t="s">
        <v>71</v>
      </c>
      <c r="T2212" s="24" t="s">
        <v>39</v>
      </c>
      <c r="U2212" s="24" t="s">
        <v>39</v>
      </c>
      <c r="V2212" s="24" t="s">
        <v>39</v>
      </c>
      <c r="W2212" s="24" t="s">
        <v>6055</v>
      </c>
      <c r="X2212" s="24" t="s">
        <v>6056</v>
      </c>
      <c r="Y2212" s="15" t="s">
        <v>6057</v>
      </c>
      <c r="Z2212" s="15" t="s">
        <v>6058</v>
      </c>
      <c r="AA2212" s="24"/>
      <c r="AB2212" s="24"/>
      <c r="AC2212" s="24"/>
      <c r="AD2212" s="24"/>
      <c r="AE2212" s="24"/>
      <c r="AF2212" s="24"/>
      <c r="AG2212" s="24"/>
      <c r="AH2212" s="24"/>
    </row>
    <row r="2213" spans="1:34" ht="75" x14ac:dyDescent="0.25">
      <c r="A2213" s="24" t="str">
        <f>HYPERLINK("https://www.cpso.on.ca/DoctorDetails/Soraya-Sofia-Mumtaz/0273251-95396","Mumtaz, Soraya Sofia")</f>
        <v>Mumtaz, Soraya Sofia</v>
      </c>
      <c r="B2213" s="25" t="s">
        <v>20619</v>
      </c>
      <c r="C2213" s="24" t="s">
        <v>20620</v>
      </c>
      <c r="D2213" s="24" t="s">
        <v>20621</v>
      </c>
      <c r="E2213" s="24" t="s">
        <v>29</v>
      </c>
      <c r="F2213" s="24" t="s">
        <v>47</v>
      </c>
      <c r="G2213" s="24" t="s">
        <v>31</v>
      </c>
      <c r="H2213" s="24" t="s">
        <v>1267</v>
      </c>
      <c r="I2213" s="24" t="s">
        <v>20622</v>
      </c>
      <c r="J2213" s="24" t="s">
        <v>4478</v>
      </c>
      <c r="K2213" s="24"/>
      <c r="L2213" s="24" t="s">
        <v>52</v>
      </c>
      <c r="M2213" s="15"/>
      <c r="N2213" s="15"/>
      <c r="O2213" s="15"/>
      <c r="P2213" s="15" t="s">
        <v>973</v>
      </c>
      <c r="Q2213" s="15" t="s">
        <v>4058</v>
      </c>
      <c r="R2213" s="15" t="s">
        <v>20623</v>
      </c>
      <c r="S2213" s="24" t="s">
        <v>39</v>
      </c>
      <c r="T2213" s="24" t="s">
        <v>39</v>
      </c>
      <c r="U2213" s="24" t="s">
        <v>39</v>
      </c>
      <c r="V2213" s="24" t="s">
        <v>39</v>
      </c>
      <c r="W2213" s="24" t="s">
        <v>20624</v>
      </c>
      <c r="X2213" s="24" t="s">
        <v>20625</v>
      </c>
      <c r="Y2213" s="15" t="s">
        <v>20626</v>
      </c>
      <c r="Z2213" s="15" t="s">
        <v>20627</v>
      </c>
      <c r="AA2213" s="24"/>
      <c r="AB2213" s="24"/>
      <c r="AC2213" s="24"/>
      <c r="AD2213" s="24"/>
      <c r="AE2213" s="24"/>
      <c r="AF2213" s="24"/>
      <c r="AG2213" s="24"/>
      <c r="AH2213" s="24"/>
    </row>
    <row r="2214" spans="1:34" x14ac:dyDescent="0.25">
      <c r="A2214" s="24" t="str">
        <f>HYPERLINK("https://www.cpso.on.ca/DoctorDetails/Soroush-Sadafi/0299354-114053","Sadafi, Soroush")</f>
        <v>Sadafi, Soroush</v>
      </c>
      <c r="B2214" s="25" t="s">
        <v>20628</v>
      </c>
      <c r="C2214" s="24" t="s">
        <v>20629</v>
      </c>
      <c r="D2214" s="24" t="s">
        <v>20630</v>
      </c>
      <c r="E2214" s="24" t="s">
        <v>29</v>
      </c>
      <c r="F2214" s="24" t="s">
        <v>30</v>
      </c>
      <c r="G2214" s="24" t="s">
        <v>20631</v>
      </c>
      <c r="H2214" s="24" t="s">
        <v>20632</v>
      </c>
      <c r="I2214" s="24" t="s">
        <v>243</v>
      </c>
      <c r="J2214" s="24" t="s">
        <v>19097</v>
      </c>
      <c r="K2214" s="24"/>
      <c r="L2214" s="24" t="s">
        <v>36</v>
      </c>
      <c r="M2214" s="15"/>
      <c r="N2214" s="15" t="s">
        <v>194</v>
      </c>
      <c r="O2214" s="15" t="s">
        <v>4094</v>
      </c>
      <c r="P2214" s="15" t="s">
        <v>20633</v>
      </c>
      <c r="Q2214" s="15"/>
      <c r="R2214" s="15" t="s">
        <v>20634</v>
      </c>
      <c r="S2214" s="24" t="s">
        <v>39</v>
      </c>
      <c r="T2214" s="24" t="s">
        <v>39</v>
      </c>
      <c r="U2214" s="24" t="s">
        <v>39</v>
      </c>
      <c r="V2214" s="24" t="s">
        <v>39</v>
      </c>
      <c r="W2214" s="24" t="s">
        <v>20635</v>
      </c>
      <c r="X2214" s="24" t="s">
        <v>20636</v>
      </c>
      <c r="Y2214" s="15" t="s">
        <v>20637</v>
      </c>
      <c r="Z2214" s="15" t="s">
        <v>243</v>
      </c>
      <c r="AA2214" s="24"/>
      <c r="AB2214" s="24"/>
      <c r="AC2214" s="24"/>
      <c r="AD2214" s="24"/>
      <c r="AE2214" s="24"/>
      <c r="AF2214" s="24"/>
      <c r="AG2214" s="24"/>
      <c r="AH2214" s="24"/>
    </row>
    <row r="2215" spans="1:34" ht="60" x14ac:dyDescent="0.25">
      <c r="A2215" s="24" t="str">
        <f>HYPERLINK("https://www.cpso.on.ca/DoctorDetails/Spencer-Alan-Tighe/0042907-56885","Tighe, Spencer Alan")</f>
        <v>Tighe, Spencer Alan</v>
      </c>
      <c r="B2215" s="25" t="s">
        <v>20638</v>
      </c>
      <c r="C2215" s="24" t="s">
        <v>3427</v>
      </c>
      <c r="D2215" s="24" t="s">
        <v>4831</v>
      </c>
      <c r="E2215" s="24" t="s">
        <v>29</v>
      </c>
      <c r="F2215" s="24" t="s">
        <v>30</v>
      </c>
      <c r="G2215" s="24" t="s">
        <v>31</v>
      </c>
      <c r="H2215" s="24" t="s">
        <v>3429</v>
      </c>
      <c r="I2215" s="24" t="s">
        <v>20639</v>
      </c>
      <c r="J2215" s="24" t="s">
        <v>20640</v>
      </c>
      <c r="K2215" s="24" t="s">
        <v>20641</v>
      </c>
      <c r="L2215" s="24" t="s">
        <v>84</v>
      </c>
      <c r="M2215" s="15"/>
      <c r="N2215" s="15"/>
      <c r="O2215" s="15"/>
      <c r="P2215" s="15" t="s">
        <v>6227</v>
      </c>
      <c r="Q2215" s="15" t="s">
        <v>20642</v>
      </c>
      <c r="R2215" s="15" t="s">
        <v>20643</v>
      </c>
      <c r="S2215" s="24" t="s">
        <v>39</v>
      </c>
      <c r="T2215" s="24" t="s">
        <v>39</v>
      </c>
      <c r="U2215" s="24" t="s">
        <v>39</v>
      </c>
      <c r="V2215" s="24" t="s">
        <v>39</v>
      </c>
      <c r="W2215" s="24"/>
      <c r="X2215" s="24"/>
      <c r="Y2215" s="15"/>
      <c r="Z2215" s="15"/>
      <c r="AA2215" s="24"/>
      <c r="AB2215" s="24"/>
      <c r="AC2215" s="24"/>
      <c r="AD2215" s="24"/>
      <c r="AE2215" s="24"/>
      <c r="AF2215" s="24"/>
      <c r="AG2215" s="24"/>
      <c r="AH2215" s="24"/>
    </row>
    <row r="2216" spans="1:34" ht="90" x14ac:dyDescent="0.25">
      <c r="A2216" s="24" t="str">
        <f>HYPERLINK("https://www.cpso.on.ca/DoctorDetails/Sreelatha-Panicker-Varapravan/0210495-81379","Varapravan, Sreelatha Panicker")</f>
        <v>Varapravan, Sreelatha Panicker</v>
      </c>
      <c r="B2216" s="25" t="s">
        <v>20644</v>
      </c>
      <c r="C2216" s="24" t="s">
        <v>20645</v>
      </c>
      <c r="D2216" s="24" t="s">
        <v>20646</v>
      </c>
      <c r="E2216" s="24" t="s">
        <v>29</v>
      </c>
      <c r="F2216" s="24" t="s">
        <v>47</v>
      </c>
      <c r="G2216" s="24" t="s">
        <v>20647</v>
      </c>
      <c r="H2216" s="24" t="s">
        <v>16695</v>
      </c>
      <c r="I2216" s="24" t="s">
        <v>20648</v>
      </c>
      <c r="J2216" s="24" t="s">
        <v>20649</v>
      </c>
      <c r="K2216" s="24" t="s">
        <v>20650</v>
      </c>
      <c r="L2216" s="24" t="s">
        <v>135</v>
      </c>
      <c r="M2216" s="15"/>
      <c r="N2216" s="15"/>
      <c r="O2216" s="15" t="s">
        <v>20372</v>
      </c>
      <c r="P2216" s="15" t="s">
        <v>20651</v>
      </c>
      <c r="Q2216" s="15" t="s">
        <v>20652</v>
      </c>
      <c r="R2216" s="15" t="s">
        <v>20653</v>
      </c>
      <c r="S2216" s="24" t="s">
        <v>39</v>
      </c>
      <c r="T2216" s="24" t="s">
        <v>39</v>
      </c>
      <c r="U2216" s="24" t="s">
        <v>39</v>
      </c>
      <c r="V2216" s="24" t="s">
        <v>39</v>
      </c>
      <c r="W2216" s="24" t="s">
        <v>20654</v>
      </c>
      <c r="X2216" s="24" t="s">
        <v>3311</v>
      </c>
      <c r="Y2216" s="15" t="s">
        <v>20655</v>
      </c>
      <c r="Z2216" s="15" t="s">
        <v>20656</v>
      </c>
      <c r="AA2216" s="24"/>
      <c r="AB2216" s="24"/>
      <c r="AC2216" s="24"/>
      <c r="AD2216" s="24"/>
      <c r="AE2216" s="24"/>
      <c r="AF2216" s="24"/>
      <c r="AG2216" s="24"/>
      <c r="AH2216" s="24"/>
    </row>
    <row r="2217" spans="1:34" x14ac:dyDescent="0.25">
      <c r="A2217" s="24" t="str">
        <f>HYPERLINK("https://www.cpso.on.ca/DoctorDetails/Sreenivasa-Murthy-Bhaskara/0297346-104932","Bhaskara, Sreenivasa Murthy")</f>
        <v>Bhaskara, Sreenivasa Murthy</v>
      </c>
      <c r="B2217" s="25" t="s">
        <v>20657</v>
      </c>
      <c r="C2217" s="24" t="s">
        <v>14084</v>
      </c>
      <c r="D2217" s="24" t="s">
        <v>14085</v>
      </c>
      <c r="E2217" s="24" t="s">
        <v>29</v>
      </c>
      <c r="F2217" s="24" t="s">
        <v>30</v>
      </c>
      <c r="G2217" s="24" t="s">
        <v>12372</v>
      </c>
      <c r="H2217" s="24" t="s">
        <v>20658</v>
      </c>
      <c r="I2217" s="24" t="s">
        <v>20659</v>
      </c>
      <c r="J2217" s="24" t="s">
        <v>20660</v>
      </c>
      <c r="K2217" s="24"/>
      <c r="L2217" s="24"/>
      <c r="M2217" s="15"/>
      <c r="N2217" s="15" t="s">
        <v>194</v>
      </c>
      <c r="O2217" s="15"/>
      <c r="P2217" s="15" t="s">
        <v>6158</v>
      </c>
      <c r="Q2217" s="15"/>
      <c r="R2217" s="15" t="s">
        <v>20661</v>
      </c>
      <c r="S2217" s="24" t="s">
        <v>39</v>
      </c>
      <c r="T2217" s="24" t="s">
        <v>39</v>
      </c>
      <c r="U2217" s="24" t="s">
        <v>39</v>
      </c>
      <c r="V2217" s="24" t="s">
        <v>39</v>
      </c>
      <c r="W2217" s="24"/>
      <c r="X2217" s="24"/>
      <c r="Y2217" s="15"/>
      <c r="Z2217" s="15"/>
      <c r="AA2217" s="24"/>
      <c r="AB2217" s="24"/>
      <c r="AC2217" s="24"/>
      <c r="AD2217" s="24"/>
      <c r="AE2217" s="24"/>
      <c r="AF2217" s="24"/>
      <c r="AG2217" s="24"/>
      <c r="AH2217" s="24"/>
    </row>
    <row r="2218" spans="1:34" x14ac:dyDescent="0.25">
      <c r="A2218" s="24" t="str">
        <f>HYPERLINK("https://www.cpso.on.ca/DoctorDetails/Stanley-Edward-Goldstein/0017884-22670","Goldstein, Stanley Edward")</f>
        <v>Goldstein, Stanley Edward</v>
      </c>
      <c r="B2218" s="25" t="s">
        <v>20662</v>
      </c>
      <c r="C2218" s="24" t="s">
        <v>20663</v>
      </c>
      <c r="D2218" s="24" t="s">
        <v>20664</v>
      </c>
      <c r="E2218" s="24" t="s">
        <v>29</v>
      </c>
      <c r="F2218" s="24" t="s">
        <v>30</v>
      </c>
      <c r="G2218" s="24" t="s">
        <v>31</v>
      </c>
      <c r="H2218" s="24" t="s">
        <v>17363</v>
      </c>
      <c r="I2218" s="24" t="s">
        <v>20665</v>
      </c>
      <c r="J2218" s="24" t="s">
        <v>20666</v>
      </c>
      <c r="K2218" s="24" t="s">
        <v>20667</v>
      </c>
      <c r="L2218" s="24" t="s">
        <v>84</v>
      </c>
      <c r="M2218" s="15"/>
      <c r="N2218" s="15"/>
      <c r="O2218" s="15"/>
      <c r="P2218" s="15" t="s">
        <v>20668</v>
      </c>
      <c r="Q2218" s="15"/>
      <c r="R2218" s="15" t="s">
        <v>20669</v>
      </c>
      <c r="S2218" s="24" t="s">
        <v>39</v>
      </c>
      <c r="T2218" s="24" t="s">
        <v>39</v>
      </c>
      <c r="U2218" s="24" t="s">
        <v>39</v>
      </c>
      <c r="V2218" s="24" t="s">
        <v>39</v>
      </c>
      <c r="W2218" s="24"/>
      <c r="X2218" s="24"/>
      <c r="Y2218" s="15"/>
      <c r="Z2218" s="15"/>
      <c r="AA2218" s="24"/>
      <c r="AB2218" s="24"/>
      <c r="AC2218" s="24"/>
      <c r="AD2218" s="24"/>
      <c r="AE2218" s="24"/>
      <c r="AF2218" s="24"/>
      <c r="AG2218" s="24"/>
      <c r="AH2218" s="24"/>
    </row>
    <row r="2219" spans="1:34" ht="30" x14ac:dyDescent="0.25">
      <c r="A2219" s="24" t="str">
        <f>HYPERLINK("https://www.cpso.on.ca/DoctorDetails/Stanley-Lawrence-Debow/0014889-19673","Debow, Stanley Lawrence")</f>
        <v>Debow, Stanley Lawrence</v>
      </c>
      <c r="B2219" s="25" t="s">
        <v>20670</v>
      </c>
      <c r="C2219" s="24" t="s">
        <v>20671</v>
      </c>
      <c r="D2219" s="24" t="s">
        <v>20672</v>
      </c>
      <c r="E2219" s="24" t="s">
        <v>29</v>
      </c>
      <c r="F2219" s="24" t="s">
        <v>30</v>
      </c>
      <c r="G2219" s="24" t="s">
        <v>31</v>
      </c>
      <c r="H2219" s="24" t="s">
        <v>3108</v>
      </c>
      <c r="I2219" s="24" t="s">
        <v>20673</v>
      </c>
      <c r="J2219" s="24" t="s">
        <v>20674</v>
      </c>
      <c r="K2219" s="24" t="s">
        <v>20675</v>
      </c>
      <c r="L2219" s="24" t="s">
        <v>52</v>
      </c>
      <c r="M2219" s="15"/>
      <c r="N2219" s="15"/>
      <c r="O2219" s="15"/>
      <c r="P2219" s="15" t="s">
        <v>11118</v>
      </c>
      <c r="Q2219" s="15"/>
      <c r="R2219" s="15" t="s">
        <v>20676</v>
      </c>
      <c r="S2219" s="24" t="s">
        <v>39</v>
      </c>
      <c r="T2219" s="24" t="s">
        <v>39</v>
      </c>
      <c r="U2219" s="24" t="s">
        <v>39</v>
      </c>
      <c r="V2219" s="24" t="s">
        <v>39</v>
      </c>
      <c r="W2219" s="24" t="s">
        <v>20677</v>
      </c>
      <c r="X2219" s="24" t="s">
        <v>5764</v>
      </c>
      <c r="Y2219" s="15" t="s">
        <v>20678</v>
      </c>
      <c r="Z2219" s="15" t="s">
        <v>20679</v>
      </c>
      <c r="AA2219" s="24"/>
      <c r="AB2219" s="24"/>
      <c r="AC2219" s="24"/>
      <c r="AD2219" s="24"/>
      <c r="AE2219" s="24"/>
      <c r="AF2219" s="24"/>
      <c r="AG2219" s="24"/>
      <c r="AH2219" s="24"/>
    </row>
    <row r="2220" spans="1:34" ht="45" x14ac:dyDescent="0.25">
      <c r="A2220" s="24" t="str">
        <f>HYPERLINK("https://www.cpso.on.ca/DoctorDetails/Stanley-Perry-Barron/0016532-21317","Barron, Stanley Perry")</f>
        <v>Barron, Stanley Perry</v>
      </c>
      <c r="B2220" s="25" t="s">
        <v>20680</v>
      </c>
      <c r="C2220" s="24" t="s">
        <v>20681</v>
      </c>
      <c r="D2220" s="24" t="s">
        <v>20682</v>
      </c>
      <c r="E2220" s="24" t="s">
        <v>29</v>
      </c>
      <c r="F2220" s="24" t="s">
        <v>30</v>
      </c>
      <c r="G2220" s="24" t="s">
        <v>31</v>
      </c>
      <c r="H2220" s="24" t="s">
        <v>3108</v>
      </c>
      <c r="I2220" s="24" t="s">
        <v>20683</v>
      </c>
      <c r="J2220" s="24" t="s">
        <v>6399</v>
      </c>
      <c r="K2220" s="24"/>
      <c r="L2220" s="24" t="s">
        <v>52</v>
      </c>
      <c r="M2220" s="15" t="s">
        <v>20684</v>
      </c>
      <c r="N2220" s="15"/>
      <c r="O2220" s="15" t="s">
        <v>20685</v>
      </c>
      <c r="P2220" s="15" t="s">
        <v>20686</v>
      </c>
      <c r="Q2220" s="15"/>
      <c r="R2220" s="15" t="s">
        <v>20687</v>
      </c>
      <c r="S2220" s="24" t="s">
        <v>39</v>
      </c>
      <c r="T2220" s="24" t="s">
        <v>39</v>
      </c>
      <c r="U2220" s="24" t="s">
        <v>39</v>
      </c>
      <c r="V2220" s="24" t="s">
        <v>39</v>
      </c>
      <c r="W2220" s="24"/>
      <c r="X2220" s="24"/>
      <c r="Y2220" s="15"/>
      <c r="Z2220" s="15"/>
      <c r="AA2220" s="24"/>
      <c r="AB2220" s="24"/>
      <c r="AC2220" s="24"/>
      <c r="AD2220" s="24"/>
      <c r="AE2220" s="24"/>
      <c r="AF2220" s="24"/>
      <c r="AG2220" s="24"/>
      <c r="AH2220" s="24"/>
    </row>
    <row r="2221" spans="1:34" ht="45" x14ac:dyDescent="0.25">
      <c r="A2221" s="24" t="str">
        <f>HYPERLINK("https://www.cpso.on.ca/DoctorDetails/Stefan-Markus-Kloiber/0307210-108414","Kloiber, Stefan Markus")</f>
        <v>Kloiber, Stefan Markus</v>
      </c>
      <c r="B2221" s="25" t="s">
        <v>20688</v>
      </c>
      <c r="C2221" s="24" t="s">
        <v>20689</v>
      </c>
      <c r="D2221" s="24" t="s">
        <v>20690</v>
      </c>
      <c r="E2221" s="24" t="s">
        <v>29</v>
      </c>
      <c r="F2221" s="24" t="s">
        <v>30</v>
      </c>
      <c r="G2221" s="24" t="s">
        <v>6608</v>
      </c>
      <c r="H2221" s="24" t="s">
        <v>20691</v>
      </c>
      <c r="I2221" s="24" t="s">
        <v>20692</v>
      </c>
      <c r="J2221" s="24" t="s">
        <v>20693</v>
      </c>
      <c r="K2221" s="24" t="s">
        <v>20694</v>
      </c>
      <c r="L2221" s="24" t="s">
        <v>52</v>
      </c>
      <c r="M2221" s="15"/>
      <c r="N2221" s="15"/>
      <c r="O2221" s="15" t="s">
        <v>981</v>
      </c>
      <c r="P2221" s="15" t="s">
        <v>20695</v>
      </c>
      <c r="Q2221" s="15"/>
      <c r="R2221" s="15" t="s">
        <v>20696</v>
      </c>
      <c r="S2221" s="24" t="s">
        <v>71</v>
      </c>
      <c r="T2221" s="24" t="s">
        <v>39</v>
      </c>
      <c r="U2221" s="24" t="s">
        <v>39</v>
      </c>
      <c r="V2221" s="24" t="s">
        <v>39</v>
      </c>
      <c r="W2221" s="24"/>
      <c r="X2221" s="24"/>
      <c r="Y2221" s="15"/>
      <c r="Z2221" s="15"/>
      <c r="AA2221" s="24"/>
      <c r="AB2221" s="24"/>
      <c r="AC2221" s="24"/>
      <c r="AD2221" s="24"/>
      <c r="AE2221" s="24"/>
      <c r="AF2221" s="24"/>
      <c r="AG2221" s="24"/>
      <c r="AH2221" s="24"/>
    </row>
    <row r="2222" spans="1:34" x14ac:dyDescent="0.25">
      <c r="A2222" s="24" t="str">
        <f>HYPERLINK("https://www.cpso.on.ca/DoctorDetails/Stefanos-Patmanidis/0028163-32986","Patmanidis, Stefanos")</f>
        <v>Patmanidis, Stefanos</v>
      </c>
      <c r="B2222" s="25" t="s">
        <v>20697</v>
      </c>
      <c r="C2222" s="24" t="s">
        <v>11021</v>
      </c>
      <c r="D2222" s="24" t="s">
        <v>11022</v>
      </c>
      <c r="E2222" s="24" t="s">
        <v>29</v>
      </c>
      <c r="F2222" s="24" t="s">
        <v>30</v>
      </c>
      <c r="G2222" s="24" t="s">
        <v>536</v>
      </c>
      <c r="H2222" s="24" t="s">
        <v>9177</v>
      </c>
      <c r="I2222" s="24" t="s">
        <v>20698</v>
      </c>
      <c r="J2222" s="24" t="s">
        <v>20699</v>
      </c>
      <c r="K2222" s="24" t="s">
        <v>20700</v>
      </c>
      <c r="L2222" s="24" t="s">
        <v>52</v>
      </c>
      <c r="M2222" s="15"/>
      <c r="N2222" s="15"/>
      <c r="O2222" s="15" t="s">
        <v>20701</v>
      </c>
      <c r="P2222" s="15" t="s">
        <v>17022</v>
      </c>
      <c r="Q2222" s="15"/>
      <c r="R2222" s="15" t="s">
        <v>11024</v>
      </c>
      <c r="S2222" s="24" t="s">
        <v>39</v>
      </c>
      <c r="T2222" s="24" t="s">
        <v>39</v>
      </c>
      <c r="U2222" s="24" t="s">
        <v>39</v>
      </c>
      <c r="V2222" s="24" t="s">
        <v>39</v>
      </c>
      <c r="W2222" s="24" t="s">
        <v>20702</v>
      </c>
      <c r="X2222" s="24" t="s">
        <v>11860</v>
      </c>
      <c r="Y2222" s="15" t="s">
        <v>20703</v>
      </c>
      <c r="Z2222" s="15" t="s">
        <v>20704</v>
      </c>
      <c r="AA2222" s="24"/>
      <c r="AB2222" s="24"/>
      <c r="AC2222" s="24"/>
      <c r="AD2222" s="24"/>
      <c r="AE2222" s="24"/>
      <c r="AF2222" s="24"/>
      <c r="AG2222" s="24"/>
      <c r="AH2222" s="24"/>
    </row>
    <row r="2223" spans="1:34" x14ac:dyDescent="0.25">
      <c r="A2223" s="24" t="str">
        <f>HYPERLINK("https://www.cpso.on.ca/DoctorDetails/Stephane-Proulx/0052096-66075","Proulx, Stephane")</f>
        <v>Proulx, Stephane</v>
      </c>
      <c r="B2223" s="25" t="s">
        <v>20705</v>
      </c>
      <c r="C2223" s="24" t="s">
        <v>20706</v>
      </c>
      <c r="D2223" s="24" t="s">
        <v>20707</v>
      </c>
      <c r="E2223" s="24" t="s">
        <v>29</v>
      </c>
      <c r="F2223" s="24" t="s">
        <v>30</v>
      </c>
      <c r="G2223" s="24" t="s">
        <v>813</v>
      </c>
      <c r="H2223" s="24" t="s">
        <v>9419</v>
      </c>
      <c r="I2223" s="24" t="s">
        <v>20708</v>
      </c>
      <c r="J2223" s="24" t="s">
        <v>20709</v>
      </c>
      <c r="K2223" s="24" t="s">
        <v>20710</v>
      </c>
      <c r="L2223" s="24"/>
      <c r="M2223" s="15"/>
      <c r="N2223" s="15" t="s">
        <v>710</v>
      </c>
      <c r="O2223" s="15"/>
      <c r="P2223" s="15" t="s">
        <v>1330</v>
      </c>
      <c r="Q2223" s="15"/>
      <c r="R2223" s="15" t="s">
        <v>20711</v>
      </c>
      <c r="S2223" s="24" t="s">
        <v>39</v>
      </c>
      <c r="T2223" s="24" t="s">
        <v>39</v>
      </c>
      <c r="U2223" s="24" t="s">
        <v>39</v>
      </c>
      <c r="V2223" s="24" t="s">
        <v>39</v>
      </c>
      <c r="W2223" s="24"/>
      <c r="X2223" s="24"/>
      <c r="Y2223" s="15"/>
      <c r="Z2223" s="15"/>
      <c r="AA2223" s="24"/>
      <c r="AB2223" s="24"/>
      <c r="AC2223" s="24"/>
      <c r="AD2223" s="24"/>
      <c r="AE2223" s="24"/>
      <c r="AF2223" s="24"/>
      <c r="AG2223" s="24"/>
      <c r="AH2223" s="24"/>
    </row>
    <row r="2224" spans="1:34" ht="30" x14ac:dyDescent="0.25">
      <c r="A2224" s="24" t="str">
        <f>HYPERLINK("https://www.cpso.on.ca/DoctorDetails/Stephane-Treyvaud/0039116-53092","Treyvaud, Stephane")</f>
        <v>Treyvaud, Stephane</v>
      </c>
      <c r="B2224" s="25" t="s">
        <v>20712</v>
      </c>
      <c r="C2224" s="24" t="s">
        <v>2000</v>
      </c>
      <c r="D2224" s="24" t="s">
        <v>20713</v>
      </c>
      <c r="E2224" s="24" t="s">
        <v>29</v>
      </c>
      <c r="F2224" s="24" t="s">
        <v>30</v>
      </c>
      <c r="G2224" s="24" t="s">
        <v>4986</v>
      </c>
      <c r="H2224" s="24" t="s">
        <v>20714</v>
      </c>
      <c r="I2224" s="24" t="s">
        <v>20715</v>
      </c>
      <c r="J2224" s="24" t="s">
        <v>20716</v>
      </c>
      <c r="K2224" s="24" t="s">
        <v>20717</v>
      </c>
      <c r="L2224" s="24" t="s">
        <v>184</v>
      </c>
      <c r="M2224" s="15"/>
      <c r="N2224" s="15"/>
      <c r="O2224" s="15"/>
      <c r="P2224" s="15" t="s">
        <v>3443</v>
      </c>
      <c r="Q2224" s="15"/>
      <c r="R2224" s="15" t="s">
        <v>20718</v>
      </c>
      <c r="S2224" s="24" t="s">
        <v>39</v>
      </c>
      <c r="T2224" s="24" t="s">
        <v>39</v>
      </c>
      <c r="U2224" s="24" t="s">
        <v>39</v>
      </c>
      <c r="V2224" s="24" t="s">
        <v>39</v>
      </c>
      <c r="W2224" s="24" t="s">
        <v>20719</v>
      </c>
      <c r="X2224" s="24" t="s">
        <v>20720</v>
      </c>
      <c r="Y2224" s="15" t="s">
        <v>20721</v>
      </c>
      <c r="Z2224" s="15" t="s">
        <v>20722</v>
      </c>
      <c r="AA2224" s="24"/>
      <c r="AB2224" s="24"/>
      <c r="AC2224" s="24"/>
      <c r="AD2224" s="24"/>
      <c r="AE2224" s="24"/>
      <c r="AF2224" s="24"/>
      <c r="AG2224" s="24"/>
      <c r="AH2224" s="24"/>
    </row>
    <row r="2225" spans="1:34" ht="135" x14ac:dyDescent="0.25">
      <c r="A2225" s="24" t="str">
        <f>HYPERLINK("https://www.cpso.on.ca/DoctorDetails/Stephanie-Hope-Ameis/0210115-80710","Ameis, Stephanie Hope")</f>
        <v>Ameis, Stephanie Hope</v>
      </c>
      <c r="B2225" s="25" t="s">
        <v>20723</v>
      </c>
      <c r="C2225" s="24" t="s">
        <v>45</v>
      </c>
      <c r="D2225" s="24" t="s">
        <v>2343</v>
      </c>
      <c r="E2225" s="24" t="s">
        <v>29</v>
      </c>
      <c r="F2225" s="24" t="s">
        <v>47</v>
      </c>
      <c r="G2225" s="24" t="s">
        <v>31</v>
      </c>
      <c r="H2225" s="24" t="s">
        <v>48</v>
      </c>
      <c r="I2225" s="24" t="s">
        <v>20724</v>
      </c>
      <c r="J2225" s="24" t="s">
        <v>20725</v>
      </c>
      <c r="K2225" s="24"/>
      <c r="L2225" s="24" t="s">
        <v>52</v>
      </c>
      <c r="M2225" s="15"/>
      <c r="N2225" s="15"/>
      <c r="O2225" s="15" t="s">
        <v>14715</v>
      </c>
      <c r="P2225" s="15" t="s">
        <v>2348</v>
      </c>
      <c r="Q2225" s="15" t="s">
        <v>20726</v>
      </c>
      <c r="R2225" s="15" t="s">
        <v>20727</v>
      </c>
      <c r="S2225" s="24" t="s">
        <v>39</v>
      </c>
      <c r="T2225" s="24" t="s">
        <v>39</v>
      </c>
      <c r="U2225" s="24" t="s">
        <v>39</v>
      </c>
      <c r="V2225" s="24" t="s">
        <v>39</v>
      </c>
      <c r="W2225" s="24"/>
      <c r="X2225" s="24"/>
      <c r="Y2225" s="15"/>
      <c r="Z2225" s="15"/>
      <c r="AA2225" s="24"/>
      <c r="AB2225" s="24"/>
      <c r="AC2225" s="24"/>
      <c r="AD2225" s="24"/>
      <c r="AE2225" s="24"/>
      <c r="AF2225" s="24"/>
      <c r="AG2225" s="24"/>
      <c r="AH2225" s="24"/>
    </row>
    <row r="2226" spans="1:34" ht="105" x14ac:dyDescent="0.25">
      <c r="A2226" s="24" t="str">
        <f>HYPERLINK("https://www.cpso.on.ca/DoctorDetails/Stephanie-Lynn-Bouskill/0288531-101614","Bouskill, Stephanie Lynn")</f>
        <v>Bouskill, Stephanie Lynn</v>
      </c>
      <c r="B2226" s="25" t="s">
        <v>20728</v>
      </c>
      <c r="C2226" s="24" t="s">
        <v>199</v>
      </c>
      <c r="D2226" s="24" t="s">
        <v>20729</v>
      </c>
      <c r="E2226" s="24" t="s">
        <v>29</v>
      </c>
      <c r="F2226" s="24" t="s">
        <v>47</v>
      </c>
      <c r="G2226" s="24" t="s">
        <v>31</v>
      </c>
      <c r="H2226" s="24" t="s">
        <v>20730</v>
      </c>
      <c r="I2226" s="24" t="s">
        <v>20731</v>
      </c>
      <c r="J2226" s="24" t="s">
        <v>16141</v>
      </c>
      <c r="K2226" s="24"/>
      <c r="L2226" s="24" t="s">
        <v>184</v>
      </c>
      <c r="M2226" s="15"/>
      <c r="N2226" s="15"/>
      <c r="O2226" s="15"/>
      <c r="P2226" s="15" t="s">
        <v>205</v>
      </c>
      <c r="Q2226" s="15" t="s">
        <v>20732</v>
      </c>
      <c r="R2226" s="15" t="s">
        <v>20733</v>
      </c>
      <c r="S2226" s="24" t="s">
        <v>39</v>
      </c>
      <c r="T2226" s="24" t="s">
        <v>39</v>
      </c>
      <c r="U2226" s="24" t="s">
        <v>39</v>
      </c>
      <c r="V2226" s="24" t="s">
        <v>39</v>
      </c>
      <c r="W2226" s="24"/>
      <c r="X2226" s="24"/>
      <c r="Y2226" s="15"/>
      <c r="Z2226" s="15"/>
      <c r="AA2226" s="24"/>
      <c r="AB2226" s="24"/>
      <c r="AC2226" s="24"/>
      <c r="AD2226" s="24"/>
      <c r="AE2226" s="24"/>
      <c r="AF2226" s="24"/>
      <c r="AG2226" s="24"/>
      <c r="AH2226" s="24"/>
    </row>
    <row r="2227" spans="1:34" ht="120" x14ac:dyDescent="0.25">
      <c r="A2227" s="24" t="str">
        <f>HYPERLINK("https://www.cpso.on.ca/DoctorDetails/Stephanie-Renee-Wiesenthal/0191249-78005","Wiesenthal, Stephanie Renee")</f>
        <v>Wiesenthal, Stephanie Renee</v>
      </c>
      <c r="B2227" s="25" t="s">
        <v>20734</v>
      </c>
      <c r="C2227" s="24" t="s">
        <v>921</v>
      </c>
      <c r="D2227" s="24" t="s">
        <v>2343</v>
      </c>
      <c r="E2227" s="24" t="s">
        <v>29</v>
      </c>
      <c r="F2227" s="24" t="s">
        <v>47</v>
      </c>
      <c r="G2227" s="24" t="s">
        <v>31</v>
      </c>
      <c r="H2227" s="24" t="s">
        <v>4433</v>
      </c>
      <c r="I2227" s="24" t="s">
        <v>20735</v>
      </c>
      <c r="J2227" s="24" t="s">
        <v>20736</v>
      </c>
      <c r="K2227" s="24" t="s">
        <v>3578</v>
      </c>
      <c r="L2227" s="24" t="s">
        <v>52</v>
      </c>
      <c r="M2227" s="15" t="s">
        <v>20737</v>
      </c>
      <c r="N2227" s="15" t="s">
        <v>1370</v>
      </c>
      <c r="O2227" s="15" t="s">
        <v>1191</v>
      </c>
      <c r="P2227" s="15" t="s">
        <v>2348</v>
      </c>
      <c r="Q2227" s="15" t="s">
        <v>20738</v>
      </c>
      <c r="R2227" s="15" t="s">
        <v>20739</v>
      </c>
      <c r="S2227" s="24" t="s">
        <v>39</v>
      </c>
      <c r="T2227" s="24" t="s">
        <v>39</v>
      </c>
      <c r="U2227" s="24" t="s">
        <v>39</v>
      </c>
      <c r="V2227" s="24" t="s">
        <v>39</v>
      </c>
      <c r="W2227" s="24" t="s">
        <v>20740</v>
      </c>
      <c r="X2227" s="24" t="s">
        <v>12545</v>
      </c>
      <c r="Y2227" s="15" t="s">
        <v>20741</v>
      </c>
      <c r="Z2227" s="15" t="s">
        <v>20742</v>
      </c>
      <c r="AA2227" s="24" t="s">
        <v>20743</v>
      </c>
      <c r="AB2227" s="24" t="s">
        <v>4669</v>
      </c>
      <c r="AC2227" s="24" t="s">
        <v>20744</v>
      </c>
      <c r="AD2227" s="24" t="s">
        <v>20745</v>
      </c>
      <c r="AE2227" s="24"/>
      <c r="AF2227" s="24"/>
      <c r="AG2227" s="24"/>
      <c r="AH2227" s="24"/>
    </row>
    <row r="2228" spans="1:34" ht="30" x14ac:dyDescent="0.25">
      <c r="A2228" s="24" t="str">
        <f>HYPERLINK("https://www.cpso.on.ca/DoctorDetails/Stephen-Abram-Barsky/0038473-52449","Barsky, Stephen Abram")</f>
        <v>Barsky, Stephen Abram</v>
      </c>
      <c r="B2228" s="25" t="s">
        <v>20746</v>
      </c>
      <c r="C2228" s="24" t="s">
        <v>3561</v>
      </c>
      <c r="D2228" s="24" t="s">
        <v>20747</v>
      </c>
      <c r="E2228" s="24" t="s">
        <v>29</v>
      </c>
      <c r="F2228" s="24" t="s">
        <v>30</v>
      </c>
      <c r="G2228" s="24" t="s">
        <v>31</v>
      </c>
      <c r="H2228" s="24" t="s">
        <v>10788</v>
      </c>
      <c r="I2228" s="24" t="s">
        <v>20748</v>
      </c>
      <c r="J2228" s="24" t="s">
        <v>5760</v>
      </c>
      <c r="K2228" s="24" t="s">
        <v>9018</v>
      </c>
      <c r="L2228" s="24" t="s">
        <v>52</v>
      </c>
      <c r="M2228" s="15"/>
      <c r="N2228" s="15"/>
      <c r="O2228" s="15" t="s">
        <v>5761</v>
      </c>
      <c r="P2228" s="15" t="s">
        <v>3857</v>
      </c>
      <c r="Q2228" s="15"/>
      <c r="R2228" s="15" t="s">
        <v>20749</v>
      </c>
      <c r="S2228" s="24" t="s">
        <v>39</v>
      </c>
      <c r="T2228" s="24" t="s">
        <v>39</v>
      </c>
      <c r="U2228" s="24" t="s">
        <v>39</v>
      </c>
      <c r="V2228" s="24" t="s">
        <v>39</v>
      </c>
      <c r="W2228" s="24" t="s">
        <v>20750</v>
      </c>
      <c r="X2228" s="24" t="s">
        <v>20751</v>
      </c>
      <c r="Y2228" s="15" t="s">
        <v>20752</v>
      </c>
      <c r="Z2228" s="15" t="s">
        <v>20753</v>
      </c>
      <c r="AA2228" s="24"/>
      <c r="AB2228" s="24"/>
      <c r="AC2228" s="24"/>
      <c r="AD2228" s="24"/>
      <c r="AE2228" s="24"/>
      <c r="AF2228" s="24"/>
      <c r="AG2228" s="24"/>
      <c r="AH2228" s="24"/>
    </row>
    <row r="2229" spans="1:34" ht="30" x14ac:dyDescent="0.25">
      <c r="A2229" s="24" t="str">
        <f>HYPERLINK("https://www.cpso.on.ca/DoctorDetails/Stephen-Bernard-Stokl/0025324-30147","Stokl, Stephen Bernard")</f>
        <v>Stokl, Stephen Bernard</v>
      </c>
      <c r="B2229" s="25" t="s">
        <v>20754</v>
      </c>
      <c r="C2229" s="24" t="s">
        <v>7958</v>
      </c>
      <c r="D2229" s="24" t="s">
        <v>20755</v>
      </c>
      <c r="E2229" s="24" t="s">
        <v>29</v>
      </c>
      <c r="F2229" s="24" t="s">
        <v>30</v>
      </c>
      <c r="G2229" s="24" t="s">
        <v>31</v>
      </c>
      <c r="H2229" s="24" t="s">
        <v>14317</v>
      </c>
      <c r="I2229" s="24" t="s">
        <v>20756</v>
      </c>
      <c r="J2229" s="24" t="s">
        <v>20757</v>
      </c>
      <c r="K2229" s="24" t="s">
        <v>20758</v>
      </c>
      <c r="L2229" s="24" t="s">
        <v>36</v>
      </c>
      <c r="M2229" s="15"/>
      <c r="N2229" s="15"/>
      <c r="O2229" s="15"/>
      <c r="P2229" s="15" t="s">
        <v>2484</v>
      </c>
      <c r="Q2229" s="15"/>
      <c r="R2229" s="15" t="s">
        <v>20759</v>
      </c>
      <c r="S2229" s="24" t="s">
        <v>39</v>
      </c>
      <c r="T2229" s="24" t="s">
        <v>39</v>
      </c>
      <c r="U2229" s="24" t="s">
        <v>39</v>
      </c>
      <c r="V2229" s="24" t="s">
        <v>39</v>
      </c>
      <c r="W2229" s="24" t="s">
        <v>20760</v>
      </c>
      <c r="X2229" s="24" t="s">
        <v>20761</v>
      </c>
      <c r="Y2229" s="15" t="s">
        <v>20762</v>
      </c>
      <c r="Z2229" s="15" t="s">
        <v>20763</v>
      </c>
      <c r="AA2229" s="24"/>
      <c r="AB2229" s="24"/>
      <c r="AC2229" s="24"/>
      <c r="AD2229" s="24"/>
      <c r="AE2229" s="24"/>
      <c r="AF2229" s="24"/>
      <c r="AG2229" s="24"/>
      <c r="AH2229" s="24"/>
    </row>
    <row r="2230" spans="1:34" ht="45" x14ac:dyDescent="0.25">
      <c r="A2230" s="24" t="str">
        <f>HYPERLINK("https://www.cpso.on.ca/DoctorDetails/Stephen-Collins/0050644-64623","Collins, Stephen")</f>
        <v>Collins, Stephen</v>
      </c>
      <c r="B2230" s="25" t="s">
        <v>20764</v>
      </c>
      <c r="C2230" s="24" t="s">
        <v>3831</v>
      </c>
      <c r="D2230" s="24" t="s">
        <v>20765</v>
      </c>
      <c r="E2230" s="24" t="s">
        <v>29</v>
      </c>
      <c r="F2230" s="24" t="s">
        <v>30</v>
      </c>
      <c r="G2230" s="24" t="s">
        <v>4698</v>
      </c>
      <c r="H2230" s="24" t="s">
        <v>20766</v>
      </c>
      <c r="I2230" s="24" t="s">
        <v>20767</v>
      </c>
      <c r="J2230" s="24" t="s">
        <v>14087</v>
      </c>
      <c r="K2230" s="24" t="s">
        <v>725</v>
      </c>
      <c r="L2230" s="24" t="s">
        <v>184</v>
      </c>
      <c r="M2230" s="15"/>
      <c r="N2230" s="15"/>
      <c r="O2230" s="15" t="s">
        <v>4002</v>
      </c>
      <c r="P2230" s="15" t="s">
        <v>169</v>
      </c>
      <c r="Q2230" s="15"/>
      <c r="R2230" s="15" t="s">
        <v>20768</v>
      </c>
      <c r="S2230" s="24" t="s">
        <v>39</v>
      </c>
      <c r="T2230" s="24" t="s">
        <v>39</v>
      </c>
      <c r="U2230" s="24" t="s">
        <v>39</v>
      </c>
      <c r="V2230" s="24" t="s">
        <v>39</v>
      </c>
      <c r="W2230" s="24"/>
      <c r="X2230" s="24"/>
      <c r="Y2230" s="15"/>
      <c r="Z2230" s="15"/>
      <c r="AA2230" s="24"/>
      <c r="AB2230" s="24"/>
      <c r="AC2230" s="24"/>
      <c r="AD2230" s="24"/>
      <c r="AE2230" s="24"/>
      <c r="AF2230" s="24"/>
      <c r="AG2230" s="24"/>
      <c r="AH2230" s="24"/>
    </row>
    <row r="2231" spans="1:34" ht="75" x14ac:dyDescent="0.25">
      <c r="A2231" s="24" t="str">
        <f>HYPERLINK("https://www.cpso.on.ca/DoctorDetails/Stephen-Edward-Gallant/0117245-69878","Gallant, Stephen Edward")</f>
        <v>Gallant, Stephen Edward</v>
      </c>
      <c r="B2231" s="25" t="s">
        <v>20769</v>
      </c>
      <c r="C2231" s="24" t="s">
        <v>2673</v>
      </c>
      <c r="D2231" s="24" t="s">
        <v>2674</v>
      </c>
      <c r="E2231" s="24" t="s">
        <v>29</v>
      </c>
      <c r="F2231" s="24" t="s">
        <v>30</v>
      </c>
      <c r="G2231" s="24" t="s">
        <v>31</v>
      </c>
      <c r="H2231" s="24" t="s">
        <v>3814</v>
      </c>
      <c r="I2231" s="24" t="s">
        <v>20770</v>
      </c>
      <c r="J2231" s="24" t="s">
        <v>20771</v>
      </c>
      <c r="K2231" s="24"/>
      <c r="L2231" s="24" t="s">
        <v>36</v>
      </c>
      <c r="M2231" s="15"/>
      <c r="N2231" s="15"/>
      <c r="O2231" s="15"/>
      <c r="P2231" s="15" t="s">
        <v>2678</v>
      </c>
      <c r="Q2231" s="15" t="s">
        <v>1112</v>
      </c>
      <c r="R2231" s="15" t="s">
        <v>2680</v>
      </c>
      <c r="S2231" s="24" t="s">
        <v>39</v>
      </c>
      <c r="T2231" s="24" t="s">
        <v>39</v>
      </c>
      <c r="U2231" s="24" t="s">
        <v>39</v>
      </c>
      <c r="V2231" s="24" t="s">
        <v>39</v>
      </c>
      <c r="W2231" s="24"/>
      <c r="X2231" s="24"/>
      <c r="Y2231" s="15"/>
      <c r="Z2231" s="15"/>
      <c r="AA2231" s="24"/>
      <c r="AB2231" s="24"/>
      <c r="AC2231" s="24"/>
      <c r="AD2231" s="24"/>
      <c r="AE2231" s="24"/>
      <c r="AF2231" s="24"/>
      <c r="AG2231" s="24"/>
      <c r="AH2231" s="24"/>
    </row>
    <row r="2232" spans="1:34" ht="90" x14ac:dyDescent="0.25">
      <c r="A2232" s="24" t="str">
        <f>HYPERLINK("https://www.cpso.on.ca/DoctorDetails/Stephen-Floyd-Michael-Wood/0257775-91027","Wood, Stephen Floyd Michael")</f>
        <v>Wood, Stephen Floyd Michael</v>
      </c>
      <c r="B2232" s="25" t="s">
        <v>20772</v>
      </c>
      <c r="C2232" s="24" t="s">
        <v>442</v>
      </c>
      <c r="D2232" s="24" t="s">
        <v>20773</v>
      </c>
      <c r="E2232" s="24" t="s">
        <v>29</v>
      </c>
      <c r="F2232" s="24" t="s">
        <v>30</v>
      </c>
      <c r="G2232" s="24" t="s">
        <v>31</v>
      </c>
      <c r="H2232" s="24" t="s">
        <v>3586</v>
      </c>
      <c r="I2232" s="24" t="s">
        <v>20774</v>
      </c>
      <c r="J2232" s="24" t="s">
        <v>8160</v>
      </c>
      <c r="K2232" s="24"/>
      <c r="L2232" s="24" t="s">
        <v>84</v>
      </c>
      <c r="M2232" s="15"/>
      <c r="N2232" s="15"/>
      <c r="O2232" s="15" t="s">
        <v>1309</v>
      </c>
      <c r="P2232" s="15" t="s">
        <v>20775</v>
      </c>
      <c r="Q2232" s="15" t="s">
        <v>20776</v>
      </c>
      <c r="R2232" s="15" t="s">
        <v>20777</v>
      </c>
      <c r="S2232" s="24" t="s">
        <v>39</v>
      </c>
      <c r="T2232" s="24" t="s">
        <v>39</v>
      </c>
      <c r="U2232" s="24" t="s">
        <v>39</v>
      </c>
      <c r="V2232" s="24" t="s">
        <v>39</v>
      </c>
      <c r="W2232" s="24"/>
      <c r="X2232" s="24"/>
      <c r="Y2232" s="15"/>
      <c r="Z2232" s="15"/>
      <c r="AA2232" s="24"/>
      <c r="AB2232" s="24"/>
      <c r="AC2232" s="24"/>
      <c r="AD2232" s="24"/>
      <c r="AE2232" s="24"/>
      <c r="AF2232" s="24"/>
      <c r="AG2232" s="24"/>
      <c r="AH2232" s="24"/>
    </row>
    <row r="2233" spans="1:34" ht="30" x14ac:dyDescent="0.25">
      <c r="A2233" s="24" t="str">
        <f>HYPERLINK("https://www.cpso.on.ca/DoctorDetails/Stephen-Fortus-Signer/0028142-32965","Signer, Stephen Fortus")</f>
        <v>Signer, Stephen Fortus</v>
      </c>
      <c r="B2233" s="25" t="s">
        <v>20778</v>
      </c>
      <c r="C2233" s="24" t="s">
        <v>826</v>
      </c>
      <c r="D2233" s="24" t="s">
        <v>20779</v>
      </c>
      <c r="E2233" s="24" t="s">
        <v>29</v>
      </c>
      <c r="F2233" s="24" t="s">
        <v>30</v>
      </c>
      <c r="G2233" s="24" t="s">
        <v>813</v>
      </c>
      <c r="H2233" s="24" t="s">
        <v>5639</v>
      </c>
      <c r="I2233" s="24" t="s">
        <v>20780</v>
      </c>
      <c r="J2233" s="24" t="s">
        <v>20781</v>
      </c>
      <c r="K2233" s="24" t="s">
        <v>20782</v>
      </c>
      <c r="L2233" s="24"/>
      <c r="M2233" s="15" t="s">
        <v>20783</v>
      </c>
      <c r="N2233" s="15" t="s">
        <v>735</v>
      </c>
      <c r="O2233" s="15"/>
      <c r="P2233" s="15" t="s">
        <v>499</v>
      </c>
      <c r="Q2233" s="15"/>
      <c r="R2233" s="15" t="s">
        <v>20784</v>
      </c>
      <c r="S2233" s="24" t="s">
        <v>39</v>
      </c>
      <c r="T2233" s="24" t="s">
        <v>39</v>
      </c>
      <c r="U2233" s="24" t="s">
        <v>39</v>
      </c>
      <c r="V2233" s="24" t="s">
        <v>39</v>
      </c>
      <c r="W2233" s="24"/>
      <c r="X2233" s="24"/>
      <c r="Y2233" s="15"/>
      <c r="Z2233" s="15"/>
      <c r="AA2233" s="24"/>
      <c r="AB2233" s="24"/>
      <c r="AC2233" s="24"/>
      <c r="AD2233" s="24"/>
      <c r="AE2233" s="24"/>
      <c r="AF2233" s="24"/>
      <c r="AG2233" s="24"/>
      <c r="AH2233" s="24"/>
    </row>
    <row r="2234" spans="1:34" ht="75" x14ac:dyDescent="0.25">
      <c r="A2234" s="24" t="str">
        <f>HYPERLINK("https://www.cpso.on.ca/DoctorDetails/Stephen-Geoffrey-Gelber/0168978-74896","Gelber, Stephen Geoffrey")</f>
        <v>Gelber, Stephen Geoffrey</v>
      </c>
      <c r="B2234" s="25" t="s">
        <v>20785</v>
      </c>
      <c r="C2234" s="24" t="s">
        <v>20786</v>
      </c>
      <c r="D2234" s="24" t="s">
        <v>20787</v>
      </c>
      <c r="E2234" s="24" t="s">
        <v>29</v>
      </c>
      <c r="F2234" s="24" t="s">
        <v>30</v>
      </c>
      <c r="G2234" s="24" t="s">
        <v>31</v>
      </c>
      <c r="H2234" s="24" t="s">
        <v>3333</v>
      </c>
      <c r="I2234" s="24" t="s">
        <v>20788</v>
      </c>
      <c r="J2234" s="24" t="s">
        <v>20789</v>
      </c>
      <c r="K2234" s="24" t="s">
        <v>8943</v>
      </c>
      <c r="L2234" s="24" t="s">
        <v>52</v>
      </c>
      <c r="M2234" s="15" t="s">
        <v>20790</v>
      </c>
      <c r="N2234" s="15"/>
      <c r="O2234" s="15" t="s">
        <v>3112</v>
      </c>
      <c r="P2234" s="15" t="s">
        <v>1239</v>
      </c>
      <c r="Q2234" s="15" t="s">
        <v>3659</v>
      </c>
      <c r="R2234" s="15" t="s">
        <v>20791</v>
      </c>
      <c r="S2234" s="24" t="s">
        <v>39</v>
      </c>
      <c r="T2234" s="24" t="s">
        <v>39</v>
      </c>
      <c r="U2234" s="24" t="s">
        <v>39</v>
      </c>
      <c r="V2234" s="24" t="s">
        <v>39</v>
      </c>
      <c r="W2234" s="24" t="s">
        <v>20792</v>
      </c>
      <c r="X2234" s="24" t="s">
        <v>6873</v>
      </c>
      <c r="Y2234" s="15" t="s">
        <v>20793</v>
      </c>
      <c r="Z2234" s="15" t="s">
        <v>20794</v>
      </c>
      <c r="AA2234" s="24"/>
      <c r="AB2234" s="24"/>
      <c r="AC2234" s="24"/>
      <c r="AD2234" s="24"/>
      <c r="AE2234" s="24"/>
      <c r="AF2234" s="24"/>
      <c r="AG2234" s="24"/>
      <c r="AH2234" s="24"/>
    </row>
    <row r="2235" spans="1:34" ht="30" x14ac:dyDescent="0.25">
      <c r="A2235" s="24" t="str">
        <f>HYPERLINK("https://www.cpso.on.ca/DoctorDetails/Stephen-Harvey-McNevin/0046051-60029","McNevin, Stephen Harvey")</f>
        <v>McNevin, Stephen Harvey</v>
      </c>
      <c r="B2235" s="25" t="s">
        <v>20795</v>
      </c>
      <c r="C2235" s="24" t="s">
        <v>20796</v>
      </c>
      <c r="D2235" s="24" t="s">
        <v>20797</v>
      </c>
      <c r="E2235" s="24" t="s">
        <v>29</v>
      </c>
      <c r="F2235" s="24" t="s">
        <v>30</v>
      </c>
      <c r="G2235" s="24" t="s">
        <v>31</v>
      </c>
      <c r="H2235" s="24" t="s">
        <v>19138</v>
      </c>
      <c r="I2235" s="24" t="s">
        <v>20798</v>
      </c>
      <c r="J2235" s="24" t="s">
        <v>20799</v>
      </c>
      <c r="K2235" s="24" t="s">
        <v>20800</v>
      </c>
      <c r="L2235" s="24" t="s">
        <v>340</v>
      </c>
      <c r="M2235" s="15"/>
      <c r="N2235" s="15"/>
      <c r="O2235" s="15" t="s">
        <v>1122</v>
      </c>
      <c r="P2235" s="15" t="s">
        <v>1924</v>
      </c>
      <c r="Q2235" s="15"/>
      <c r="R2235" s="15" t="s">
        <v>20801</v>
      </c>
      <c r="S2235" s="24" t="s">
        <v>39</v>
      </c>
      <c r="T2235" s="24" t="s">
        <v>39</v>
      </c>
      <c r="U2235" s="24" t="s">
        <v>39</v>
      </c>
      <c r="V2235" s="24" t="s">
        <v>39</v>
      </c>
      <c r="W2235" s="24"/>
      <c r="X2235" s="24"/>
      <c r="Y2235" s="15"/>
      <c r="Z2235" s="15"/>
      <c r="AA2235" s="24"/>
      <c r="AB2235" s="24"/>
      <c r="AC2235" s="24"/>
      <c r="AD2235" s="24"/>
      <c r="AE2235" s="24"/>
      <c r="AF2235" s="24"/>
      <c r="AG2235" s="24"/>
      <c r="AH2235" s="24"/>
    </row>
    <row r="2236" spans="1:34" ht="60" x14ac:dyDescent="0.25">
      <c r="A2236" s="24" t="str">
        <f>HYPERLINK("https://www.cpso.on.ca/DoctorDetails/Stephen-Jeffrey-Sibalis/0027689-32512","Sibalis, Stephen Jeffrey")</f>
        <v>Sibalis, Stephen Jeffrey</v>
      </c>
      <c r="B2236" s="25" t="s">
        <v>20802</v>
      </c>
      <c r="C2236" s="24" t="s">
        <v>2000</v>
      </c>
      <c r="D2236" s="24" t="s">
        <v>20803</v>
      </c>
      <c r="E2236" s="24" t="s">
        <v>29</v>
      </c>
      <c r="F2236" s="24" t="s">
        <v>30</v>
      </c>
      <c r="G2236" s="24" t="s">
        <v>31</v>
      </c>
      <c r="H2236" s="24" t="s">
        <v>2805</v>
      </c>
      <c r="I2236" s="24" t="s">
        <v>20804</v>
      </c>
      <c r="J2236" s="24" t="s">
        <v>20805</v>
      </c>
      <c r="K2236" s="24" t="s">
        <v>20806</v>
      </c>
      <c r="L2236" s="24" t="s">
        <v>52</v>
      </c>
      <c r="M2236" s="15"/>
      <c r="N2236" s="15" t="s">
        <v>5614</v>
      </c>
      <c r="O2236" s="15" t="s">
        <v>1191</v>
      </c>
      <c r="P2236" s="15" t="s">
        <v>1947</v>
      </c>
      <c r="Q2236" s="15"/>
      <c r="R2236" s="15" t="s">
        <v>20807</v>
      </c>
      <c r="S2236" s="24" t="s">
        <v>39</v>
      </c>
      <c r="T2236" s="24" t="s">
        <v>39</v>
      </c>
      <c r="U2236" s="24" t="s">
        <v>39</v>
      </c>
      <c r="V2236" s="24" t="s">
        <v>39</v>
      </c>
      <c r="W2236" s="24" t="s">
        <v>20808</v>
      </c>
      <c r="X2236" s="24" t="s">
        <v>20809</v>
      </c>
      <c r="Y2236" s="15" t="s">
        <v>20810</v>
      </c>
      <c r="Z2236" s="15" t="s">
        <v>20811</v>
      </c>
      <c r="AA2236" s="24"/>
      <c r="AB2236" s="24"/>
      <c r="AC2236" s="24"/>
      <c r="AD2236" s="24"/>
      <c r="AE2236" s="24"/>
      <c r="AF2236" s="24"/>
      <c r="AG2236" s="24"/>
      <c r="AH2236" s="24"/>
    </row>
    <row r="2237" spans="1:34" ht="60" x14ac:dyDescent="0.25">
      <c r="A2237" s="24" t="str">
        <f>HYPERLINK("https://www.cpso.on.ca/DoctorDetails/Stephen-Joel-List/0041369-55345","List, Stephen Joel")</f>
        <v>List, Stephen Joel</v>
      </c>
      <c r="B2237" s="25" t="s">
        <v>20812</v>
      </c>
      <c r="C2237" s="24" t="s">
        <v>2132</v>
      </c>
      <c r="D2237" s="24" t="s">
        <v>5256</v>
      </c>
      <c r="E2237" s="24" t="s">
        <v>29</v>
      </c>
      <c r="F2237" s="24" t="s">
        <v>30</v>
      </c>
      <c r="G2237" s="24" t="s">
        <v>31</v>
      </c>
      <c r="H2237" s="24" t="s">
        <v>4592</v>
      </c>
      <c r="I2237" s="24" t="s">
        <v>20813</v>
      </c>
      <c r="J2237" s="24" t="s">
        <v>10314</v>
      </c>
      <c r="K2237" s="24" t="s">
        <v>20814</v>
      </c>
      <c r="L2237" s="24" t="s">
        <v>184</v>
      </c>
      <c r="M2237" s="15"/>
      <c r="N2237" s="15"/>
      <c r="O2237" s="15" t="s">
        <v>1135</v>
      </c>
      <c r="P2237" s="15" t="s">
        <v>2137</v>
      </c>
      <c r="Q2237" s="15" t="s">
        <v>20815</v>
      </c>
      <c r="R2237" s="15" t="s">
        <v>20816</v>
      </c>
      <c r="S2237" s="24" t="s">
        <v>39</v>
      </c>
      <c r="T2237" s="24" t="s">
        <v>39</v>
      </c>
      <c r="U2237" s="24" t="s">
        <v>39</v>
      </c>
      <c r="V2237" s="24" t="s">
        <v>39</v>
      </c>
      <c r="W2237" s="24"/>
      <c r="X2237" s="24"/>
      <c r="Y2237" s="15"/>
      <c r="Z2237" s="15"/>
      <c r="AA2237" s="24"/>
      <c r="AB2237" s="24"/>
      <c r="AC2237" s="24"/>
      <c r="AD2237" s="24"/>
      <c r="AE2237" s="24"/>
      <c r="AF2237" s="24"/>
      <c r="AG2237" s="24"/>
      <c r="AH2237" s="24"/>
    </row>
    <row r="2238" spans="1:34" ht="45" x14ac:dyDescent="0.25">
      <c r="A2238" s="24" t="str">
        <f>HYPERLINK("https://www.cpso.on.ca/DoctorDetails/Stephen-John-Charman-Hucker/0030326-42306","Hucker, Stephen John Charman")</f>
        <v>Hucker, Stephen John Charman</v>
      </c>
      <c r="B2238" s="25" t="s">
        <v>20817</v>
      </c>
      <c r="C2238" s="24" t="s">
        <v>20818</v>
      </c>
      <c r="D2238" s="24" t="s">
        <v>20819</v>
      </c>
      <c r="E2238" s="24" t="s">
        <v>29</v>
      </c>
      <c r="F2238" s="24" t="s">
        <v>30</v>
      </c>
      <c r="G2238" s="24" t="s">
        <v>31</v>
      </c>
      <c r="H2238" s="24" t="s">
        <v>20820</v>
      </c>
      <c r="I2238" s="24" t="s">
        <v>20821</v>
      </c>
      <c r="J2238" s="24" t="s">
        <v>20822</v>
      </c>
      <c r="K2238" s="24" t="s">
        <v>20823</v>
      </c>
      <c r="L2238" s="24" t="s">
        <v>340</v>
      </c>
      <c r="M2238" s="15"/>
      <c r="N2238" s="15"/>
      <c r="O2238" s="15"/>
      <c r="P2238" s="15" t="s">
        <v>4862</v>
      </c>
      <c r="Q2238" s="15"/>
      <c r="R2238" s="15" t="s">
        <v>20824</v>
      </c>
      <c r="S2238" s="24" t="s">
        <v>39</v>
      </c>
      <c r="T2238" s="24" t="s">
        <v>39</v>
      </c>
      <c r="U2238" s="24" t="s">
        <v>39</v>
      </c>
      <c r="V2238" s="24" t="s">
        <v>39</v>
      </c>
      <c r="W2238" s="24" t="s">
        <v>20825</v>
      </c>
      <c r="X2238" s="24" t="s">
        <v>20826</v>
      </c>
      <c r="Y2238" s="15" t="s">
        <v>20827</v>
      </c>
      <c r="Z2238" s="15" t="s">
        <v>20828</v>
      </c>
      <c r="AA2238" s="24"/>
      <c r="AB2238" s="24"/>
      <c r="AC2238" s="24"/>
      <c r="AD2238" s="24"/>
      <c r="AE2238" s="24"/>
      <c r="AF2238" s="24"/>
      <c r="AG2238" s="24"/>
      <c r="AH2238" s="24"/>
    </row>
    <row r="2239" spans="1:34" ht="30" x14ac:dyDescent="0.25">
      <c r="A2239" s="24" t="str">
        <f>HYPERLINK("https://www.cpso.on.ca/DoctorDetails/Stephen-Leslie-Connell/0027756-32579","Connell, Stephen Leslie")</f>
        <v>Connell, Stephen Leslie</v>
      </c>
      <c r="B2239" s="25" t="s">
        <v>20829</v>
      </c>
      <c r="C2239" s="24" t="s">
        <v>492</v>
      </c>
      <c r="D2239" s="24" t="s">
        <v>20830</v>
      </c>
      <c r="E2239" s="24" t="s">
        <v>29</v>
      </c>
      <c r="F2239" s="24" t="s">
        <v>30</v>
      </c>
      <c r="G2239" s="24" t="s">
        <v>31</v>
      </c>
      <c r="H2239" s="24" t="s">
        <v>803</v>
      </c>
      <c r="I2239" s="24" t="s">
        <v>20831</v>
      </c>
      <c r="J2239" s="24" t="s">
        <v>20832</v>
      </c>
      <c r="K2239" s="24" t="s">
        <v>20833</v>
      </c>
      <c r="L2239" s="24" t="s">
        <v>52</v>
      </c>
      <c r="M2239" s="15"/>
      <c r="N2239" s="15"/>
      <c r="O2239" s="15"/>
      <c r="P2239" s="15" t="s">
        <v>1924</v>
      </c>
      <c r="Q2239" s="15"/>
      <c r="R2239" s="15" t="s">
        <v>20834</v>
      </c>
      <c r="S2239" s="24" t="s">
        <v>39</v>
      </c>
      <c r="T2239" s="24" t="s">
        <v>39</v>
      </c>
      <c r="U2239" s="24" t="s">
        <v>39</v>
      </c>
      <c r="V2239" s="24" t="s">
        <v>71</v>
      </c>
      <c r="W2239" s="24"/>
      <c r="X2239" s="24"/>
      <c r="Y2239" s="15"/>
      <c r="Z2239" s="15"/>
      <c r="AA2239" s="24"/>
      <c r="AB2239" s="24"/>
      <c r="AC2239" s="24"/>
      <c r="AD2239" s="24"/>
      <c r="AE2239" s="24"/>
      <c r="AF2239" s="24"/>
      <c r="AG2239" s="24"/>
      <c r="AH2239" s="24"/>
    </row>
    <row r="2240" spans="1:34" ht="60" x14ac:dyDescent="0.25">
      <c r="A2240" s="24" t="str">
        <f>HYPERLINK("https://www.cpso.on.ca/DoctorDetails/Stephen-Paul-Webb/0040719-54695","Webb, Stephen Paul")</f>
        <v>Webb, Stephen Paul</v>
      </c>
      <c r="B2240" s="25" t="s">
        <v>20835</v>
      </c>
      <c r="C2240" s="24" t="s">
        <v>20836</v>
      </c>
      <c r="D2240" s="24" t="s">
        <v>20837</v>
      </c>
      <c r="E2240" s="24" t="s">
        <v>29</v>
      </c>
      <c r="F2240" s="24" t="s">
        <v>30</v>
      </c>
      <c r="G2240" s="24" t="s">
        <v>31</v>
      </c>
      <c r="H2240" s="24" t="s">
        <v>3412</v>
      </c>
      <c r="I2240" s="24" t="s">
        <v>20838</v>
      </c>
      <c r="J2240" s="24" t="s">
        <v>10159</v>
      </c>
      <c r="K2240" s="24" t="s">
        <v>11040</v>
      </c>
      <c r="L2240" s="24" t="s">
        <v>184</v>
      </c>
      <c r="M2240" s="15" t="s">
        <v>20839</v>
      </c>
      <c r="N2240" s="15"/>
      <c r="O2240" s="15" t="s">
        <v>20840</v>
      </c>
      <c r="P2240" s="15" t="s">
        <v>2640</v>
      </c>
      <c r="Q2240" s="15"/>
      <c r="R2240" s="15" t="s">
        <v>20841</v>
      </c>
      <c r="S2240" s="24" t="s">
        <v>39</v>
      </c>
      <c r="T2240" s="24" t="s">
        <v>39</v>
      </c>
      <c r="U2240" s="24" t="s">
        <v>39</v>
      </c>
      <c r="V2240" s="24" t="s">
        <v>39</v>
      </c>
      <c r="W2240" s="24" t="s">
        <v>20842</v>
      </c>
      <c r="X2240" s="24" t="s">
        <v>20843</v>
      </c>
      <c r="Y2240" s="15" t="s">
        <v>20844</v>
      </c>
      <c r="Z2240" s="15" t="s">
        <v>20845</v>
      </c>
      <c r="AA2240" s="24"/>
      <c r="AB2240" s="24"/>
      <c r="AC2240" s="24"/>
      <c r="AD2240" s="24"/>
      <c r="AE2240" s="24"/>
      <c r="AF2240" s="24"/>
      <c r="AG2240" s="24"/>
      <c r="AH2240" s="24"/>
    </row>
    <row r="2241" spans="1:34" ht="45" x14ac:dyDescent="0.25">
      <c r="A2241" s="24" t="str">
        <f>HYPERLINK("https://www.cpso.on.ca/DoctorDetails/Stephen-Robin-Leibow/0026675-31498","Leibow, Stephen Robin")</f>
        <v>Leibow, Stephen Robin</v>
      </c>
      <c r="B2241" s="25" t="s">
        <v>20846</v>
      </c>
      <c r="C2241" s="24" t="s">
        <v>20847</v>
      </c>
      <c r="D2241" s="24" t="s">
        <v>20848</v>
      </c>
      <c r="E2241" s="24" t="s">
        <v>29</v>
      </c>
      <c r="F2241" s="24" t="s">
        <v>30</v>
      </c>
      <c r="G2241" s="24" t="s">
        <v>31</v>
      </c>
      <c r="H2241" s="24" t="s">
        <v>1216</v>
      </c>
      <c r="I2241" s="24" t="s">
        <v>20849</v>
      </c>
      <c r="J2241" s="24" t="s">
        <v>20850</v>
      </c>
      <c r="K2241" s="24"/>
      <c r="L2241" s="24" t="s">
        <v>52</v>
      </c>
      <c r="M2241" s="15"/>
      <c r="N2241" s="15"/>
      <c r="O2241" s="15"/>
      <c r="P2241" s="15" t="s">
        <v>5889</v>
      </c>
      <c r="Q2241" s="15"/>
      <c r="R2241" s="15" t="s">
        <v>20851</v>
      </c>
      <c r="S2241" s="24" t="s">
        <v>39</v>
      </c>
      <c r="T2241" s="24" t="s">
        <v>39</v>
      </c>
      <c r="U2241" s="24" t="s">
        <v>39</v>
      </c>
      <c r="V2241" s="24" t="s">
        <v>39</v>
      </c>
      <c r="W2241" s="24"/>
      <c r="X2241" s="24"/>
      <c r="Y2241" s="15"/>
      <c r="Z2241" s="15"/>
      <c r="AA2241" s="24"/>
      <c r="AB2241" s="24"/>
      <c r="AC2241" s="24"/>
      <c r="AD2241" s="24"/>
      <c r="AE2241" s="24"/>
      <c r="AF2241" s="24"/>
      <c r="AG2241" s="24"/>
      <c r="AH2241" s="24"/>
    </row>
    <row r="2242" spans="1:34" ht="60" x14ac:dyDescent="0.25">
      <c r="A2242" s="24" t="str">
        <f>HYPERLINK("https://www.cpso.on.ca/DoctorDetails/Stephen-Thomas-Harold-Sokolov/0045157-59135","Sokolov, Stephen Thomas Harold")</f>
        <v>Sokolov, Stephen Thomas Harold</v>
      </c>
      <c r="B2242" s="25" t="s">
        <v>20852</v>
      </c>
      <c r="C2242" s="24" t="s">
        <v>3463</v>
      </c>
      <c r="D2242" s="24" t="s">
        <v>3677</v>
      </c>
      <c r="E2242" s="24" t="s">
        <v>29</v>
      </c>
      <c r="F2242" s="24" t="s">
        <v>30</v>
      </c>
      <c r="G2242" s="24" t="s">
        <v>31</v>
      </c>
      <c r="H2242" s="24" t="s">
        <v>17341</v>
      </c>
      <c r="I2242" s="24" t="s">
        <v>20853</v>
      </c>
      <c r="J2242" s="24" t="s">
        <v>20854</v>
      </c>
      <c r="K2242" s="24" t="s">
        <v>4960</v>
      </c>
      <c r="L2242" s="24" t="s">
        <v>52</v>
      </c>
      <c r="M2242" s="15"/>
      <c r="N2242" s="15"/>
      <c r="O2242" s="15" t="s">
        <v>2483</v>
      </c>
      <c r="P2242" s="15" t="s">
        <v>2597</v>
      </c>
      <c r="Q2242" s="15" t="s">
        <v>5084</v>
      </c>
      <c r="R2242" s="15" t="s">
        <v>20855</v>
      </c>
      <c r="S2242" s="24" t="s">
        <v>39</v>
      </c>
      <c r="T2242" s="24" t="s">
        <v>39</v>
      </c>
      <c r="U2242" s="24" t="s">
        <v>39</v>
      </c>
      <c r="V2242" s="24" t="s">
        <v>39</v>
      </c>
      <c r="W2242" s="24" t="s">
        <v>20856</v>
      </c>
      <c r="X2242" s="24" t="s">
        <v>20857</v>
      </c>
      <c r="Y2242" s="15"/>
      <c r="Z2242" s="15"/>
      <c r="AA2242" s="24" t="s">
        <v>20856</v>
      </c>
      <c r="AB2242" s="24" t="s">
        <v>20858</v>
      </c>
      <c r="AC2242" s="24" t="s">
        <v>20859</v>
      </c>
      <c r="AD2242" s="15" t="s">
        <v>20860</v>
      </c>
      <c r="AE2242" s="24"/>
      <c r="AF2242" s="24"/>
      <c r="AG2242" s="24"/>
      <c r="AH2242" s="24"/>
    </row>
    <row r="2243" spans="1:34" ht="75" x14ac:dyDescent="0.25">
      <c r="A2243" s="24" t="str">
        <f>HYPERLINK("https://www.cpso.on.ca/DoctorDetails/Steven-Armando-PerezYoussoufian/0242592-86631","Perez-Youssoufian, Steven Armando")</f>
        <v>Perez-Youssoufian, Steven Armando</v>
      </c>
      <c r="B2243" s="25" t="s">
        <v>20861</v>
      </c>
      <c r="C2243" s="24" t="s">
        <v>1115</v>
      </c>
      <c r="D2243" s="24" t="s">
        <v>1594</v>
      </c>
      <c r="E2243" s="24" t="s">
        <v>29</v>
      </c>
      <c r="F2243" s="24" t="s">
        <v>30</v>
      </c>
      <c r="G2243" s="24" t="s">
        <v>31</v>
      </c>
      <c r="H2243" s="24" t="s">
        <v>2714</v>
      </c>
      <c r="I2243" s="24" t="s">
        <v>20862</v>
      </c>
      <c r="J2243" s="24" t="s">
        <v>15378</v>
      </c>
      <c r="K2243" s="24" t="s">
        <v>865</v>
      </c>
      <c r="L2243" s="24" t="s">
        <v>36</v>
      </c>
      <c r="M2243" s="15"/>
      <c r="N2243" s="15"/>
      <c r="O2243" s="15" t="s">
        <v>867</v>
      </c>
      <c r="P2243" s="15" t="s">
        <v>1074</v>
      </c>
      <c r="Q2243" s="15" t="s">
        <v>1601</v>
      </c>
      <c r="R2243" s="15" t="s">
        <v>1602</v>
      </c>
      <c r="S2243" s="24" t="s">
        <v>39</v>
      </c>
      <c r="T2243" s="24" t="s">
        <v>39</v>
      </c>
      <c r="U2243" s="24" t="s">
        <v>39</v>
      </c>
      <c r="V2243" s="24" t="s">
        <v>39</v>
      </c>
      <c r="W2243" s="24" t="s">
        <v>20863</v>
      </c>
      <c r="X2243" s="24" t="s">
        <v>15249</v>
      </c>
      <c r="Y2243" s="15" t="s">
        <v>20864</v>
      </c>
      <c r="Z2243" s="15" t="s">
        <v>20865</v>
      </c>
      <c r="AA2243" s="24"/>
      <c r="AB2243" s="24"/>
      <c r="AC2243" s="24"/>
      <c r="AD2243" s="24"/>
      <c r="AE2243" s="24"/>
      <c r="AF2243" s="24"/>
      <c r="AG2243" s="24"/>
      <c r="AH2243" s="24"/>
    </row>
    <row r="2244" spans="1:34" ht="30" x14ac:dyDescent="0.25">
      <c r="A2244" s="24" t="str">
        <f>HYPERLINK("https://www.cpso.on.ca/DoctorDetails/Steven-Daniel-Fishman/0042068-56046","Fishman, Steven Daniel")</f>
        <v>Fishman, Steven Daniel</v>
      </c>
      <c r="B2244" s="25" t="s">
        <v>20866</v>
      </c>
      <c r="C2244" s="24" t="s">
        <v>2132</v>
      </c>
      <c r="D2244" s="24" t="s">
        <v>5970</v>
      </c>
      <c r="E2244" s="24" t="s">
        <v>29</v>
      </c>
      <c r="F2244" s="24" t="s">
        <v>30</v>
      </c>
      <c r="G2244" s="24" t="s">
        <v>31</v>
      </c>
      <c r="H2244" s="24" t="s">
        <v>12948</v>
      </c>
      <c r="I2244" s="24" t="s">
        <v>20867</v>
      </c>
      <c r="J2244" s="24" t="s">
        <v>20868</v>
      </c>
      <c r="K2244" s="24" t="s">
        <v>6400</v>
      </c>
      <c r="L2244" s="24" t="s">
        <v>52</v>
      </c>
      <c r="M2244" s="15"/>
      <c r="N2244" s="15"/>
      <c r="O2244" s="15" t="s">
        <v>958</v>
      </c>
      <c r="P2244" s="15" t="s">
        <v>2640</v>
      </c>
      <c r="Q2244" s="15"/>
      <c r="R2244" s="15" t="s">
        <v>20869</v>
      </c>
      <c r="S2244" s="24" t="s">
        <v>39</v>
      </c>
      <c r="T2244" s="24" t="s">
        <v>39</v>
      </c>
      <c r="U2244" s="24" t="s">
        <v>39</v>
      </c>
      <c r="V2244" s="24" t="s">
        <v>39</v>
      </c>
      <c r="W2244" s="24" t="s">
        <v>20870</v>
      </c>
      <c r="X2244" s="24" t="s">
        <v>20871</v>
      </c>
      <c r="Y2244" s="15" t="s">
        <v>20872</v>
      </c>
      <c r="Z2244" s="15" t="s">
        <v>20873</v>
      </c>
      <c r="AA2244" s="24"/>
      <c r="AB2244" s="24"/>
      <c r="AC2244" s="24"/>
      <c r="AD2244" s="24"/>
      <c r="AE2244" s="24"/>
      <c r="AF2244" s="24"/>
      <c r="AG2244" s="24"/>
      <c r="AH2244" s="24"/>
    </row>
    <row r="2245" spans="1:34" ht="210" x14ac:dyDescent="0.25">
      <c r="A2245" s="24" t="str">
        <f>HYPERLINK("https://www.cpso.on.ca/DoctorDetails/Steven-John-Wesley/0057286-68874","Wesley, Steven John")</f>
        <v>Wesley, Steven John</v>
      </c>
      <c r="B2245" s="25" t="s">
        <v>20874</v>
      </c>
      <c r="C2245" s="24" t="s">
        <v>20875</v>
      </c>
      <c r="D2245" s="24" t="s">
        <v>20876</v>
      </c>
      <c r="E2245" s="24" t="s">
        <v>29</v>
      </c>
      <c r="F2245" s="24" t="s">
        <v>30</v>
      </c>
      <c r="G2245" s="24" t="s">
        <v>813</v>
      </c>
      <c r="H2245" s="24" t="s">
        <v>1338</v>
      </c>
      <c r="I2245" s="24" t="s">
        <v>20877</v>
      </c>
      <c r="J2245" s="24" t="s">
        <v>574</v>
      </c>
      <c r="K2245" s="24"/>
      <c r="L2245" s="24" t="s">
        <v>184</v>
      </c>
      <c r="M2245" s="15" t="s">
        <v>20878</v>
      </c>
      <c r="N2245" s="15"/>
      <c r="O2245" s="15" t="s">
        <v>1135</v>
      </c>
      <c r="P2245" s="15" t="s">
        <v>12348</v>
      </c>
      <c r="Q2245" s="15" t="s">
        <v>20879</v>
      </c>
      <c r="R2245" s="15" t="s">
        <v>20880</v>
      </c>
      <c r="S2245" s="24" t="s">
        <v>39</v>
      </c>
      <c r="T2245" s="24" t="s">
        <v>71</v>
      </c>
      <c r="U2245" s="24" t="s">
        <v>39</v>
      </c>
      <c r="V2245" s="24" t="s">
        <v>39</v>
      </c>
      <c r="W2245" s="24" t="s">
        <v>20881</v>
      </c>
      <c r="X2245" s="24" t="s">
        <v>20882</v>
      </c>
      <c r="Y2245" s="15" t="s">
        <v>20883</v>
      </c>
      <c r="Z2245" s="15" t="s">
        <v>20884</v>
      </c>
      <c r="AA2245" s="24"/>
      <c r="AB2245" s="24"/>
      <c r="AC2245" s="24"/>
      <c r="AD2245" s="24"/>
      <c r="AE2245" s="24"/>
      <c r="AF2245" s="24"/>
      <c r="AG2245" s="24"/>
      <c r="AH2245" s="24"/>
    </row>
    <row r="2246" spans="1:34" ht="75" x14ac:dyDescent="0.25">
      <c r="A2246" s="24" t="str">
        <f>HYPERLINK("https://www.cpso.on.ca/DoctorDetails/Steven-Kyle-Selchen/0233088-84850","Selchen, Steven Kyle")</f>
        <v>Selchen, Steven Kyle</v>
      </c>
      <c r="B2246" s="25" t="s">
        <v>20885</v>
      </c>
      <c r="C2246" s="24" t="s">
        <v>647</v>
      </c>
      <c r="D2246" s="24" t="s">
        <v>648</v>
      </c>
      <c r="E2246" s="24" t="s">
        <v>29</v>
      </c>
      <c r="F2246" s="24" t="s">
        <v>30</v>
      </c>
      <c r="G2246" s="24" t="s">
        <v>31</v>
      </c>
      <c r="H2246" s="24" t="s">
        <v>649</v>
      </c>
      <c r="I2246" s="24" t="s">
        <v>20886</v>
      </c>
      <c r="J2246" s="24" t="s">
        <v>20887</v>
      </c>
      <c r="K2246" s="24" t="s">
        <v>20888</v>
      </c>
      <c r="L2246" s="24" t="s">
        <v>52</v>
      </c>
      <c r="M2246" s="15" t="s">
        <v>20889</v>
      </c>
      <c r="N2246" s="15"/>
      <c r="O2246" s="15" t="s">
        <v>20890</v>
      </c>
      <c r="P2246" s="15" t="s">
        <v>654</v>
      </c>
      <c r="Q2246" s="15" t="s">
        <v>655</v>
      </c>
      <c r="R2246" s="15" t="s">
        <v>656</v>
      </c>
      <c r="S2246" s="24" t="s">
        <v>39</v>
      </c>
      <c r="T2246" s="24" t="s">
        <v>39</v>
      </c>
      <c r="U2246" s="24" t="s">
        <v>39</v>
      </c>
      <c r="V2246" s="24" t="s">
        <v>39</v>
      </c>
      <c r="W2246" s="24"/>
      <c r="X2246" s="24"/>
      <c r="Y2246" s="15"/>
      <c r="Z2246" s="15"/>
      <c r="AA2246" s="24"/>
      <c r="AB2246" s="24"/>
      <c r="AC2246" s="24"/>
      <c r="AD2246" s="24"/>
      <c r="AE2246" s="24"/>
      <c r="AF2246" s="24"/>
      <c r="AG2246" s="24"/>
      <c r="AH2246" s="24"/>
    </row>
    <row r="2247" spans="1:34" ht="30" x14ac:dyDescent="0.25">
      <c r="A2247" s="24" t="str">
        <f>HYPERLINK("https://www.cpso.on.ca/DoctorDetails/Steven-Neill-Cohen/0243733-87382","Cohen, Steven Neill")</f>
        <v>Cohen, Steven Neill</v>
      </c>
      <c r="B2247" s="25" t="s">
        <v>20891</v>
      </c>
      <c r="C2247" s="24" t="s">
        <v>20892</v>
      </c>
      <c r="D2247" s="24" t="s">
        <v>20893</v>
      </c>
      <c r="E2247" s="24" t="s">
        <v>29</v>
      </c>
      <c r="F2247" s="24" t="s">
        <v>30</v>
      </c>
      <c r="G2247" s="24" t="s">
        <v>31</v>
      </c>
      <c r="H2247" s="24" t="s">
        <v>14927</v>
      </c>
      <c r="I2247" s="24" t="s">
        <v>20894</v>
      </c>
      <c r="J2247" s="24" t="s">
        <v>20895</v>
      </c>
      <c r="K2247" s="24"/>
      <c r="L2247" s="24" t="s">
        <v>52</v>
      </c>
      <c r="M2247" s="15"/>
      <c r="N2247" s="15"/>
      <c r="O2247" s="15" t="s">
        <v>20896</v>
      </c>
      <c r="P2247" s="15" t="s">
        <v>488</v>
      </c>
      <c r="Q2247" s="15" t="s">
        <v>20897</v>
      </c>
      <c r="R2247" s="15" t="s">
        <v>20898</v>
      </c>
      <c r="S2247" s="24" t="s">
        <v>39</v>
      </c>
      <c r="T2247" s="24" t="s">
        <v>39</v>
      </c>
      <c r="U2247" s="24" t="s">
        <v>39</v>
      </c>
      <c r="V2247" s="24" t="s">
        <v>39</v>
      </c>
      <c r="W2247" s="24" t="s">
        <v>20899</v>
      </c>
      <c r="X2247" s="24" t="s">
        <v>20900</v>
      </c>
      <c r="Y2247" s="15" t="s">
        <v>20901</v>
      </c>
      <c r="Z2247" s="15" t="s">
        <v>20902</v>
      </c>
      <c r="AA2247" s="24"/>
      <c r="AB2247" s="24"/>
      <c r="AC2247" s="24"/>
      <c r="AD2247" s="24"/>
      <c r="AE2247" s="24"/>
      <c r="AF2247" s="24"/>
      <c r="AG2247" s="24"/>
      <c r="AH2247" s="24"/>
    </row>
    <row r="2248" spans="1:34" ht="75" x14ac:dyDescent="0.25">
      <c r="A2248" s="24" t="str">
        <f>HYPERLINK("https://www.cpso.on.ca/DoctorDetails/Stewart-Hanna-Dief/0149285-72471","Dief, Stewart Hanna")</f>
        <v>Dief, Stewart Hanna</v>
      </c>
      <c r="B2248" s="25" t="s">
        <v>20903</v>
      </c>
      <c r="C2248" s="24" t="s">
        <v>954</v>
      </c>
      <c r="D2248" s="24" t="s">
        <v>1323</v>
      </c>
      <c r="E2248" s="24" t="s">
        <v>20904</v>
      </c>
      <c r="F2248" s="24" t="s">
        <v>30</v>
      </c>
      <c r="G2248" s="24" t="s">
        <v>31</v>
      </c>
      <c r="H2248" s="24" t="s">
        <v>20905</v>
      </c>
      <c r="I2248" s="24" t="s">
        <v>20906</v>
      </c>
      <c r="J2248" s="24" t="s">
        <v>20868</v>
      </c>
      <c r="K2248" s="24" t="s">
        <v>20907</v>
      </c>
      <c r="L2248" s="24" t="s">
        <v>52</v>
      </c>
      <c r="M2248" s="15"/>
      <c r="N2248" s="15"/>
      <c r="O2248" s="15" t="s">
        <v>958</v>
      </c>
      <c r="P2248" s="15" t="s">
        <v>1330</v>
      </c>
      <c r="Q2248" s="15" t="s">
        <v>2170</v>
      </c>
      <c r="R2248" s="15" t="s">
        <v>2171</v>
      </c>
      <c r="S2248" s="24" t="s">
        <v>39</v>
      </c>
      <c r="T2248" s="24" t="s">
        <v>39</v>
      </c>
      <c r="U2248" s="24" t="s">
        <v>39</v>
      </c>
      <c r="V2248" s="24" t="s">
        <v>39</v>
      </c>
      <c r="W2248" s="24" t="s">
        <v>20908</v>
      </c>
      <c r="X2248" s="24" t="s">
        <v>17787</v>
      </c>
      <c r="Y2248" s="15" t="s">
        <v>20909</v>
      </c>
      <c r="Z2248" s="15" t="s">
        <v>20910</v>
      </c>
      <c r="AA2248" s="24"/>
      <c r="AB2248" s="24"/>
      <c r="AC2248" s="24"/>
      <c r="AD2248" s="24"/>
      <c r="AE2248" s="24"/>
      <c r="AF2248" s="24"/>
      <c r="AG2248" s="24"/>
      <c r="AH2248" s="24"/>
    </row>
    <row r="2249" spans="1:34" ht="60" x14ac:dyDescent="0.25">
      <c r="A2249" s="24" t="str">
        <f>HYPERLINK("https://www.cpso.on.ca/DoctorDetails/Stuart-Ian-Musgrave/0040525-54501","Musgrave, Stuart Ian")</f>
        <v>Musgrave, Stuart Ian</v>
      </c>
      <c r="B2249" s="25" t="s">
        <v>20911</v>
      </c>
      <c r="C2249" s="24" t="s">
        <v>20912</v>
      </c>
      <c r="D2249" s="24" t="s">
        <v>20913</v>
      </c>
      <c r="E2249" s="24" t="s">
        <v>29</v>
      </c>
      <c r="F2249" s="24" t="s">
        <v>30</v>
      </c>
      <c r="G2249" s="24" t="s">
        <v>31</v>
      </c>
      <c r="H2249" s="24" t="s">
        <v>7846</v>
      </c>
      <c r="I2249" s="24" t="s">
        <v>20914</v>
      </c>
      <c r="J2249" s="24" t="s">
        <v>20915</v>
      </c>
      <c r="K2249" s="24"/>
      <c r="L2249" s="24" t="s">
        <v>135</v>
      </c>
      <c r="M2249" s="15"/>
      <c r="N2249" s="15"/>
      <c r="O2249" s="15" t="s">
        <v>20916</v>
      </c>
      <c r="P2249" s="15" t="s">
        <v>3857</v>
      </c>
      <c r="Q2249" s="15" t="s">
        <v>20917</v>
      </c>
      <c r="R2249" s="15" t="s">
        <v>20918</v>
      </c>
      <c r="S2249" s="24" t="s">
        <v>39</v>
      </c>
      <c r="T2249" s="24" t="s">
        <v>39</v>
      </c>
      <c r="U2249" s="24" t="s">
        <v>39</v>
      </c>
      <c r="V2249" s="24" t="s">
        <v>39</v>
      </c>
      <c r="W2249" s="24"/>
      <c r="X2249" s="24"/>
      <c r="Y2249" s="15"/>
      <c r="Z2249" s="15"/>
      <c r="AA2249" s="24"/>
      <c r="AB2249" s="24"/>
      <c r="AC2249" s="24"/>
      <c r="AD2249" s="24"/>
      <c r="AE2249" s="24"/>
      <c r="AF2249" s="24"/>
      <c r="AG2249" s="24"/>
      <c r="AH2249" s="24"/>
    </row>
    <row r="2250" spans="1:34" x14ac:dyDescent="0.25">
      <c r="A2250" s="24" t="str">
        <f>HYPERLINK("https://www.cpso.on.ca/DoctorDetails/Sturla-Erling-BruunMeyer/0024568-29390","Bruun-Meyer, Sturla Erling")</f>
        <v>Bruun-Meyer, Sturla Erling</v>
      </c>
      <c r="B2250" s="25" t="s">
        <v>20919</v>
      </c>
      <c r="C2250" s="24" t="s">
        <v>20920</v>
      </c>
      <c r="D2250" s="24" t="s">
        <v>20921</v>
      </c>
      <c r="E2250" s="24" t="s">
        <v>29</v>
      </c>
      <c r="F2250" s="24" t="s">
        <v>30</v>
      </c>
      <c r="G2250" s="24" t="s">
        <v>20922</v>
      </c>
      <c r="H2250" s="24" t="s">
        <v>10562</v>
      </c>
      <c r="I2250" s="24" t="s">
        <v>20923</v>
      </c>
      <c r="J2250" s="24" t="s">
        <v>20924</v>
      </c>
      <c r="K2250" s="24" t="s">
        <v>20925</v>
      </c>
      <c r="L2250" s="24" t="s">
        <v>52</v>
      </c>
      <c r="M2250" s="15"/>
      <c r="N2250" s="15"/>
      <c r="O2250" s="15"/>
      <c r="P2250" s="15" t="s">
        <v>727</v>
      </c>
      <c r="Q2250" s="15"/>
      <c r="R2250" s="15" t="s">
        <v>20926</v>
      </c>
      <c r="S2250" s="24" t="s">
        <v>39</v>
      </c>
      <c r="T2250" s="24" t="s">
        <v>39</v>
      </c>
      <c r="U2250" s="24" t="s">
        <v>39</v>
      </c>
      <c r="V2250" s="24" t="s">
        <v>39</v>
      </c>
      <c r="W2250" s="24"/>
      <c r="X2250" s="24"/>
      <c r="Y2250" s="15"/>
      <c r="Z2250" s="15"/>
      <c r="AA2250" s="24"/>
      <c r="AB2250" s="24"/>
      <c r="AC2250" s="24"/>
      <c r="AD2250" s="24"/>
      <c r="AE2250" s="24"/>
      <c r="AF2250" s="24"/>
      <c r="AG2250" s="24"/>
      <c r="AH2250" s="24"/>
    </row>
    <row r="2251" spans="1:34" ht="90" x14ac:dyDescent="0.25">
      <c r="A2251" s="24" t="str">
        <f>HYPERLINK("https://www.cpso.on.ca/DoctorDetails/Subramanya-Sastry-Bhagavatula/0198748-78733","Bhagavatula, Subramanya Sastry")</f>
        <v>Bhagavatula, Subramanya Sastry</v>
      </c>
      <c r="B2251" s="25" t="s">
        <v>20927</v>
      </c>
      <c r="C2251" s="24" t="s">
        <v>20928</v>
      </c>
      <c r="D2251" s="24" t="s">
        <v>20929</v>
      </c>
      <c r="E2251" s="24" t="s">
        <v>29</v>
      </c>
      <c r="F2251" s="24" t="s">
        <v>30</v>
      </c>
      <c r="G2251" s="24" t="s">
        <v>20930</v>
      </c>
      <c r="H2251" s="24" t="s">
        <v>2591</v>
      </c>
      <c r="I2251" s="24" t="s">
        <v>20931</v>
      </c>
      <c r="J2251" s="24" t="s">
        <v>1769</v>
      </c>
      <c r="K2251" s="24" t="s">
        <v>1744</v>
      </c>
      <c r="L2251" s="24" t="s">
        <v>328</v>
      </c>
      <c r="M2251" s="15"/>
      <c r="N2251" s="15"/>
      <c r="O2251" s="15" t="s">
        <v>1746</v>
      </c>
      <c r="P2251" s="15" t="s">
        <v>9245</v>
      </c>
      <c r="Q2251" s="15" t="s">
        <v>20932</v>
      </c>
      <c r="R2251" s="15" t="s">
        <v>20933</v>
      </c>
      <c r="S2251" s="24" t="s">
        <v>39</v>
      </c>
      <c r="T2251" s="24" t="s">
        <v>39</v>
      </c>
      <c r="U2251" s="24" t="s">
        <v>39</v>
      </c>
      <c r="V2251" s="24" t="s">
        <v>39</v>
      </c>
      <c r="W2251" s="24" t="s">
        <v>20934</v>
      </c>
      <c r="X2251" s="24" t="s">
        <v>20935</v>
      </c>
      <c r="Y2251" s="15" t="s">
        <v>20936</v>
      </c>
      <c r="Z2251" s="15" t="s">
        <v>20937</v>
      </c>
      <c r="AA2251" s="24"/>
      <c r="AB2251" s="24"/>
      <c r="AC2251" s="24"/>
      <c r="AD2251" s="24"/>
      <c r="AE2251" s="24"/>
      <c r="AF2251" s="24"/>
      <c r="AG2251" s="24"/>
      <c r="AH2251" s="24"/>
    </row>
    <row r="2252" spans="1:34" ht="45" x14ac:dyDescent="0.25">
      <c r="A2252" s="24" t="str">
        <f>HYPERLINK("https://www.cpso.on.ca/DoctorDetails/Suchitra-Joshi/0325635-116807","Joshi, Suchitra")</f>
        <v>Joshi, Suchitra</v>
      </c>
      <c r="B2252" s="25" t="s">
        <v>20938</v>
      </c>
      <c r="C2252" s="24" t="s">
        <v>20939</v>
      </c>
      <c r="D2252" s="24" t="s">
        <v>20940</v>
      </c>
      <c r="E2252" s="24" t="s">
        <v>29</v>
      </c>
      <c r="F2252" s="24" t="s">
        <v>47</v>
      </c>
      <c r="G2252" s="24" t="s">
        <v>31</v>
      </c>
      <c r="H2252" s="24" t="s">
        <v>20941</v>
      </c>
      <c r="I2252" s="24" t="s">
        <v>20942</v>
      </c>
      <c r="J2252" s="24" t="s">
        <v>20943</v>
      </c>
      <c r="K2252" s="24"/>
      <c r="L2252" s="24" t="s">
        <v>52</v>
      </c>
      <c r="M2252" s="15" t="s">
        <v>20944</v>
      </c>
      <c r="N2252" s="15"/>
      <c r="O2252" s="15"/>
      <c r="P2252" s="15" t="s">
        <v>20945</v>
      </c>
      <c r="Q2252" s="15"/>
      <c r="R2252" s="15" t="s">
        <v>20946</v>
      </c>
      <c r="S2252" s="24" t="s">
        <v>71</v>
      </c>
      <c r="T2252" s="24" t="s">
        <v>39</v>
      </c>
      <c r="U2252" s="24" t="s">
        <v>39</v>
      </c>
      <c r="V2252" s="24" t="s">
        <v>39</v>
      </c>
      <c r="W2252" s="24"/>
      <c r="X2252" s="24"/>
      <c r="Y2252" s="15"/>
      <c r="Z2252" s="15"/>
      <c r="AA2252" s="24"/>
      <c r="AB2252" s="24"/>
      <c r="AC2252" s="24"/>
      <c r="AD2252" s="24"/>
      <c r="AE2252" s="24"/>
      <c r="AF2252" s="24"/>
      <c r="AG2252" s="24"/>
      <c r="AH2252" s="24"/>
    </row>
    <row r="2253" spans="1:34" x14ac:dyDescent="0.25">
      <c r="A2253" s="24" t="str">
        <f>HYPERLINK("https://www.cpso.on.ca/DoctorDetails/Sudhir-Rajkhowa/0144579-71854","Rajkhowa, Sudhir")</f>
        <v>Rajkhowa, Sudhir</v>
      </c>
      <c r="B2253" s="25" t="s">
        <v>20947</v>
      </c>
      <c r="C2253" s="24" t="s">
        <v>20948</v>
      </c>
      <c r="D2253" s="24" t="s">
        <v>20949</v>
      </c>
      <c r="E2253" s="24" t="s">
        <v>29</v>
      </c>
      <c r="F2253" s="24" t="s">
        <v>30</v>
      </c>
      <c r="G2253" s="24" t="s">
        <v>31</v>
      </c>
      <c r="H2253" s="24" t="s">
        <v>20950</v>
      </c>
      <c r="I2253" s="24" t="s">
        <v>20951</v>
      </c>
      <c r="J2253" s="24" t="s">
        <v>20952</v>
      </c>
      <c r="K2253" s="24" t="s">
        <v>20953</v>
      </c>
      <c r="L2253" s="24" t="s">
        <v>36</v>
      </c>
      <c r="M2253" s="15"/>
      <c r="N2253" s="15"/>
      <c r="O2253" s="15"/>
      <c r="P2253" s="15" t="s">
        <v>2470</v>
      </c>
      <c r="Q2253" s="15"/>
      <c r="R2253" s="15" t="s">
        <v>20954</v>
      </c>
      <c r="S2253" s="24" t="s">
        <v>39</v>
      </c>
      <c r="T2253" s="24" t="s">
        <v>39</v>
      </c>
      <c r="U2253" s="24" t="s">
        <v>39</v>
      </c>
      <c r="V2253" s="24" t="s">
        <v>39</v>
      </c>
      <c r="W2253" s="24" t="s">
        <v>20955</v>
      </c>
      <c r="X2253" s="24" t="s">
        <v>20956</v>
      </c>
      <c r="Y2253" s="15" t="s">
        <v>20957</v>
      </c>
      <c r="Z2253" s="15" t="s">
        <v>20958</v>
      </c>
      <c r="AA2253" s="24"/>
      <c r="AB2253" s="24"/>
      <c r="AC2253" s="24"/>
      <c r="AD2253" s="24"/>
      <c r="AE2253" s="24"/>
      <c r="AF2253" s="24"/>
      <c r="AG2253" s="24"/>
      <c r="AH2253" s="24"/>
    </row>
    <row r="2254" spans="1:34" ht="75" x14ac:dyDescent="0.25">
      <c r="A2254" s="24" t="str">
        <f>HYPERLINK("https://www.cpso.on.ca/DoctorDetails/Sujata-Ojha/0304132-108061","Ojha, Sujata")</f>
        <v>Ojha, Sujata</v>
      </c>
      <c r="B2254" s="25" t="s">
        <v>20959</v>
      </c>
      <c r="C2254" s="24" t="s">
        <v>20960</v>
      </c>
      <c r="D2254" s="24" t="s">
        <v>20961</v>
      </c>
      <c r="E2254" s="24" t="s">
        <v>29</v>
      </c>
      <c r="F2254" s="24" t="s">
        <v>47</v>
      </c>
      <c r="G2254" s="24" t="s">
        <v>2248</v>
      </c>
      <c r="H2254" s="24" t="s">
        <v>20962</v>
      </c>
      <c r="I2254" s="24" t="s">
        <v>20963</v>
      </c>
      <c r="J2254" s="24" t="s">
        <v>20964</v>
      </c>
      <c r="K2254" s="24"/>
      <c r="L2254" s="24" t="s">
        <v>135</v>
      </c>
      <c r="M2254" s="15"/>
      <c r="N2254" s="15"/>
      <c r="O2254" s="15"/>
      <c r="P2254" s="15" t="s">
        <v>20965</v>
      </c>
      <c r="Q2254" s="15" t="s">
        <v>20966</v>
      </c>
      <c r="R2254" s="15" t="s">
        <v>20967</v>
      </c>
      <c r="S2254" s="24" t="s">
        <v>71</v>
      </c>
      <c r="T2254" s="24" t="s">
        <v>39</v>
      </c>
      <c r="U2254" s="24" t="s">
        <v>39</v>
      </c>
      <c r="V2254" s="24" t="s">
        <v>39</v>
      </c>
      <c r="W2254" s="24" t="s">
        <v>20968</v>
      </c>
      <c r="X2254" s="24" t="s">
        <v>14788</v>
      </c>
      <c r="Y2254" s="15" t="s">
        <v>20969</v>
      </c>
      <c r="Z2254" s="15" t="s">
        <v>20970</v>
      </c>
      <c r="AA2254" s="24"/>
      <c r="AB2254" s="24"/>
      <c r="AC2254" s="24"/>
      <c r="AD2254" s="24"/>
      <c r="AE2254" s="24"/>
      <c r="AF2254" s="24"/>
      <c r="AG2254" s="24"/>
      <c r="AH2254" s="24"/>
    </row>
    <row r="2255" spans="1:34" ht="30" x14ac:dyDescent="0.25">
      <c r="A2255" s="24" t="str">
        <f>HYPERLINK("https://www.cpso.on.ca/DoctorDetails/Sujay-Vinod-Patel/0251840-89405","Patel, Sujay Vinod")</f>
        <v>Patel, Sujay Vinod</v>
      </c>
      <c r="B2255" s="25" t="s">
        <v>20971</v>
      </c>
      <c r="C2255" s="24" t="s">
        <v>20972</v>
      </c>
      <c r="D2255" s="24" t="s">
        <v>872</v>
      </c>
      <c r="E2255" s="24" t="s">
        <v>29</v>
      </c>
      <c r="F2255" s="24" t="s">
        <v>30</v>
      </c>
      <c r="G2255" s="24" t="s">
        <v>31</v>
      </c>
      <c r="H2255" s="24" t="s">
        <v>20973</v>
      </c>
      <c r="I2255" s="24" t="s">
        <v>107</v>
      </c>
      <c r="J2255" s="24"/>
      <c r="K2255" s="24"/>
      <c r="L2255" s="24"/>
      <c r="M2255" s="15"/>
      <c r="N2255" s="15" t="s">
        <v>20974</v>
      </c>
      <c r="O2255" s="15" t="s">
        <v>3768</v>
      </c>
      <c r="P2255" s="15" t="s">
        <v>880</v>
      </c>
      <c r="Q2255" s="15"/>
      <c r="R2255" s="15" t="s">
        <v>20975</v>
      </c>
      <c r="S2255" s="24" t="s">
        <v>39</v>
      </c>
      <c r="T2255" s="24" t="s">
        <v>39</v>
      </c>
      <c r="U2255" s="24" t="s">
        <v>39</v>
      </c>
      <c r="V2255" s="24" t="s">
        <v>39</v>
      </c>
      <c r="W2255" s="24" t="s">
        <v>20976</v>
      </c>
      <c r="X2255" s="24" t="s">
        <v>20977</v>
      </c>
      <c r="Y2255" s="15" t="s">
        <v>20978</v>
      </c>
      <c r="Z2255" s="15" t="s">
        <v>3997</v>
      </c>
      <c r="AA2255" s="24"/>
      <c r="AB2255" s="24"/>
      <c r="AC2255" s="24"/>
      <c r="AD2255" s="24"/>
      <c r="AE2255" s="24"/>
      <c r="AF2255" s="24"/>
      <c r="AG2255" s="24"/>
      <c r="AH2255" s="24"/>
    </row>
    <row r="2256" spans="1:34" ht="165" x14ac:dyDescent="0.25">
      <c r="A2256" s="24" t="str">
        <f>HYPERLINK("https://www.cpso.on.ca/DoctorDetails/Sulaiman-E-H-Sh-Alkhadhari/0204231-79530","Alkhadhari, Sulaiman E H Sh")</f>
        <v>Alkhadhari, Sulaiman E H Sh</v>
      </c>
      <c r="B2256" s="25" t="s">
        <v>20979</v>
      </c>
      <c r="C2256" s="24" t="s">
        <v>20980</v>
      </c>
      <c r="D2256" s="24" t="s">
        <v>20981</v>
      </c>
      <c r="E2256" s="24" t="s">
        <v>29</v>
      </c>
      <c r="F2256" s="24" t="s">
        <v>30</v>
      </c>
      <c r="G2256" s="24" t="s">
        <v>105</v>
      </c>
      <c r="H2256" s="24" t="s">
        <v>20982</v>
      </c>
      <c r="I2256" s="24" t="s">
        <v>107</v>
      </c>
      <c r="J2256" s="24"/>
      <c r="K2256" s="24"/>
      <c r="L2256" s="24"/>
      <c r="M2256" s="15"/>
      <c r="N2256" s="15" t="s">
        <v>108</v>
      </c>
      <c r="O2256" s="15"/>
      <c r="P2256" s="15" t="s">
        <v>20983</v>
      </c>
      <c r="Q2256" s="15" t="s">
        <v>20984</v>
      </c>
      <c r="R2256" s="15" t="s">
        <v>20985</v>
      </c>
      <c r="S2256" s="24" t="s">
        <v>39</v>
      </c>
      <c r="T2256" s="24" t="s">
        <v>39</v>
      </c>
      <c r="U2256" s="24" t="s">
        <v>39</v>
      </c>
      <c r="V2256" s="24" t="s">
        <v>39</v>
      </c>
      <c r="W2256" s="24"/>
      <c r="X2256" s="24"/>
      <c r="Y2256" s="15"/>
      <c r="Z2256" s="15"/>
      <c r="AA2256" s="24"/>
      <c r="AB2256" s="24"/>
      <c r="AC2256" s="24"/>
      <c r="AD2256" s="24"/>
      <c r="AE2256" s="24"/>
      <c r="AF2256" s="24"/>
      <c r="AG2256" s="24"/>
      <c r="AH2256" s="24"/>
    </row>
    <row r="2257" spans="1:34" ht="75" x14ac:dyDescent="0.25">
      <c r="A2257" s="24" t="str">
        <f>HYPERLINK("https://www.cpso.on.ca/DoctorDetails/Sumeeta-Chatterjee/0168824-74853","Chatterjee, Sumeeta")</f>
        <v>Chatterjee, Sumeeta</v>
      </c>
      <c r="B2257" s="25" t="s">
        <v>20986</v>
      </c>
      <c r="C2257" s="24" t="s">
        <v>3642</v>
      </c>
      <c r="D2257" s="24" t="s">
        <v>1234</v>
      </c>
      <c r="E2257" s="24" t="s">
        <v>29</v>
      </c>
      <c r="F2257" s="24" t="s">
        <v>47</v>
      </c>
      <c r="G2257" s="24" t="s">
        <v>31</v>
      </c>
      <c r="H2257" s="24" t="s">
        <v>20987</v>
      </c>
      <c r="I2257" s="24" t="s">
        <v>20988</v>
      </c>
      <c r="J2257" s="24" t="s">
        <v>20989</v>
      </c>
      <c r="K2257" s="24" t="s">
        <v>20990</v>
      </c>
      <c r="L2257" s="24" t="s">
        <v>52</v>
      </c>
      <c r="M2257" s="15"/>
      <c r="N2257" s="15"/>
      <c r="O2257" s="15" t="s">
        <v>981</v>
      </c>
      <c r="P2257" s="15" t="s">
        <v>1239</v>
      </c>
      <c r="Q2257" s="15" t="s">
        <v>3659</v>
      </c>
      <c r="R2257" s="15" t="s">
        <v>3649</v>
      </c>
      <c r="S2257" s="24" t="s">
        <v>39</v>
      </c>
      <c r="T2257" s="24" t="s">
        <v>39</v>
      </c>
      <c r="U2257" s="24" t="s">
        <v>39</v>
      </c>
      <c r="V2257" s="24" t="s">
        <v>39</v>
      </c>
      <c r="W2257" s="24" t="s">
        <v>12061</v>
      </c>
      <c r="X2257" s="24" t="s">
        <v>12062</v>
      </c>
      <c r="Y2257" s="15" t="s">
        <v>12063</v>
      </c>
      <c r="Z2257" s="15" t="s">
        <v>12064</v>
      </c>
      <c r="AA2257" s="24"/>
      <c r="AB2257" s="24"/>
      <c r="AC2257" s="24"/>
      <c r="AD2257" s="24"/>
      <c r="AE2257" s="24"/>
      <c r="AF2257" s="24"/>
      <c r="AG2257" s="24"/>
      <c r="AH2257" s="24"/>
    </row>
    <row r="2258" spans="1:34" ht="75" x14ac:dyDescent="0.25">
      <c r="A2258" s="24" t="str">
        <f>HYPERLINK("https://www.cpso.on.ca/DoctorDetails/Sunday-Adeolu-Adewuyi/0312580-110937","Adewuyi, Sunday Adeolu")</f>
        <v>Adewuyi, Sunday Adeolu</v>
      </c>
      <c r="B2258" s="25" t="s">
        <v>20991</v>
      </c>
      <c r="C2258" s="24" t="s">
        <v>10911</v>
      </c>
      <c r="D2258" s="24" t="s">
        <v>10912</v>
      </c>
      <c r="E2258" s="24" t="s">
        <v>29</v>
      </c>
      <c r="F2258" s="24" t="s">
        <v>30</v>
      </c>
      <c r="G2258" s="24" t="s">
        <v>31</v>
      </c>
      <c r="H2258" s="24" t="s">
        <v>11889</v>
      </c>
      <c r="I2258" s="24" t="s">
        <v>20992</v>
      </c>
      <c r="J2258" s="24" t="s">
        <v>9093</v>
      </c>
      <c r="K2258" s="24"/>
      <c r="L2258" s="24" t="s">
        <v>3849</v>
      </c>
      <c r="M2258" s="15" t="s">
        <v>20993</v>
      </c>
      <c r="N2258" s="15"/>
      <c r="O2258" s="15"/>
      <c r="P2258" s="15" t="s">
        <v>10915</v>
      </c>
      <c r="Q2258" s="15"/>
      <c r="R2258" s="15" t="s">
        <v>20994</v>
      </c>
      <c r="S2258" s="24" t="s">
        <v>71</v>
      </c>
      <c r="T2258" s="24" t="s">
        <v>39</v>
      </c>
      <c r="U2258" s="24" t="s">
        <v>39</v>
      </c>
      <c r="V2258" s="24" t="s">
        <v>39</v>
      </c>
      <c r="W2258" s="24"/>
      <c r="X2258" s="24"/>
      <c r="Y2258" s="15"/>
      <c r="Z2258" s="15"/>
      <c r="AA2258" s="24"/>
      <c r="AB2258" s="24"/>
      <c r="AC2258" s="24"/>
      <c r="AD2258" s="24"/>
      <c r="AE2258" s="24"/>
      <c r="AF2258" s="24"/>
      <c r="AG2258" s="24"/>
      <c r="AH2258" s="24"/>
    </row>
    <row r="2259" spans="1:34" ht="45" x14ac:dyDescent="0.25">
      <c r="A2259" s="24" t="str">
        <f>HYPERLINK("https://www.cpso.on.ca/DoctorDetails/Sunder-Singh-Arora/0030524-42504","Arora, Sunder Singh")</f>
        <v>Arora, Sunder Singh</v>
      </c>
      <c r="B2259" s="25" t="s">
        <v>20995</v>
      </c>
      <c r="C2259" s="24" t="s">
        <v>20996</v>
      </c>
      <c r="D2259" s="24" t="s">
        <v>20997</v>
      </c>
      <c r="E2259" s="24" t="s">
        <v>29</v>
      </c>
      <c r="F2259" s="24" t="s">
        <v>30</v>
      </c>
      <c r="G2259" s="24" t="s">
        <v>61</v>
      </c>
      <c r="H2259" s="24" t="s">
        <v>20998</v>
      </c>
      <c r="I2259" s="24" t="s">
        <v>20999</v>
      </c>
      <c r="J2259" s="24" t="s">
        <v>21000</v>
      </c>
      <c r="K2259" s="24" t="s">
        <v>21000</v>
      </c>
      <c r="L2259" s="24" t="s">
        <v>84</v>
      </c>
      <c r="M2259" s="15"/>
      <c r="N2259" s="15"/>
      <c r="O2259" s="15" t="s">
        <v>2156</v>
      </c>
      <c r="P2259" s="15" t="s">
        <v>745</v>
      </c>
      <c r="Q2259" s="15"/>
      <c r="R2259" s="15" t="s">
        <v>21001</v>
      </c>
      <c r="S2259" s="24" t="s">
        <v>39</v>
      </c>
      <c r="T2259" s="24" t="s">
        <v>39</v>
      </c>
      <c r="U2259" s="24" t="s">
        <v>39</v>
      </c>
      <c r="V2259" s="24" t="s">
        <v>39</v>
      </c>
      <c r="W2259" s="24"/>
      <c r="X2259" s="24"/>
      <c r="Y2259" s="15"/>
      <c r="Z2259" s="15"/>
      <c r="AA2259" s="24"/>
      <c r="AB2259" s="24"/>
      <c r="AC2259" s="24"/>
      <c r="AD2259" s="24"/>
      <c r="AE2259" s="24"/>
      <c r="AF2259" s="24"/>
      <c r="AG2259" s="24"/>
      <c r="AH2259" s="24"/>
    </row>
    <row r="2260" spans="1:34" x14ac:dyDescent="0.25">
      <c r="A2260" s="24" t="str">
        <f>HYPERLINK("https://www.cpso.on.ca/DoctorDetails/Suneeta-Monga/0164104-74160","Monga, Suneeta")</f>
        <v>Monga, Suneeta</v>
      </c>
      <c r="B2260" s="25" t="s">
        <v>21002</v>
      </c>
      <c r="C2260" s="24" t="s">
        <v>1765</v>
      </c>
      <c r="D2260" s="24" t="s">
        <v>1766</v>
      </c>
      <c r="E2260" s="24" t="s">
        <v>29</v>
      </c>
      <c r="F2260" s="24" t="s">
        <v>47</v>
      </c>
      <c r="G2260" s="24" t="s">
        <v>31</v>
      </c>
      <c r="H2260" s="24" t="s">
        <v>21003</v>
      </c>
      <c r="I2260" s="24" t="s">
        <v>16150</v>
      </c>
      <c r="J2260" s="24" t="s">
        <v>21004</v>
      </c>
      <c r="K2260" s="24" t="s">
        <v>119</v>
      </c>
      <c r="L2260" s="24" t="s">
        <v>52</v>
      </c>
      <c r="M2260" s="15"/>
      <c r="N2260" s="15"/>
      <c r="O2260" s="15" t="s">
        <v>121</v>
      </c>
      <c r="P2260" s="15" t="s">
        <v>1007</v>
      </c>
      <c r="Q2260" s="15"/>
      <c r="R2260" s="15" t="s">
        <v>1772</v>
      </c>
      <c r="S2260" s="24" t="s">
        <v>39</v>
      </c>
      <c r="T2260" s="24" t="s">
        <v>39</v>
      </c>
      <c r="U2260" s="24" t="s">
        <v>39</v>
      </c>
      <c r="V2260" s="24" t="s">
        <v>39</v>
      </c>
      <c r="W2260" s="24"/>
      <c r="X2260" s="24"/>
      <c r="Y2260" s="15"/>
      <c r="Z2260" s="15"/>
      <c r="AA2260" s="24"/>
      <c r="AB2260" s="24"/>
      <c r="AC2260" s="24"/>
      <c r="AD2260" s="24"/>
      <c r="AE2260" s="24"/>
      <c r="AF2260" s="24"/>
      <c r="AG2260" s="24"/>
      <c r="AH2260" s="24"/>
    </row>
    <row r="2261" spans="1:34" x14ac:dyDescent="0.25">
      <c r="A2261" s="24" t="str">
        <f>HYPERLINK("https://www.cpso.on.ca/DoctorDetails/Sunny-Vadakkanezhith-Johnson/0156133-73057","Johnson, Sunny Vadakkanezhith")</f>
        <v>Johnson, Sunny Vadakkanezhith</v>
      </c>
      <c r="B2261" s="25" t="s">
        <v>21005</v>
      </c>
      <c r="C2261" s="24" t="s">
        <v>21006</v>
      </c>
      <c r="D2261" s="24" t="s">
        <v>21007</v>
      </c>
      <c r="E2261" s="24" t="s">
        <v>29</v>
      </c>
      <c r="F2261" s="24" t="s">
        <v>30</v>
      </c>
      <c r="G2261" s="24" t="s">
        <v>21008</v>
      </c>
      <c r="H2261" s="24" t="s">
        <v>21009</v>
      </c>
      <c r="I2261" s="24" t="s">
        <v>21010</v>
      </c>
      <c r="J2261" s="24" t="s">
        <v>21011</v>
      </c>
      <c r="K2261" s="24" t="s">
        <v>21012</v>
      </c>
      <c r="L2261" s="24" t="s">
        <v>36</v>
      </c>
      <c r="M2261" s="15"/>
      <c r="N2261" s="15"/>
      <c r="O2261" s="15" t="s">
        <v>972</v>
      </c>
      <c r="P2261" s="15" t="s">
        <v>8479</v>
      </c>
      <c r="Q2261" s="15"/>
      <c r="R2261" s="15" t="s">
        <v>21013</v>
      </c>
      <c r="S2261" s="24" t="s">
        <v>39</v>
      </c>
      <c r="T2261" s="24" t="s">
        <v>39</v>
      </c>
      <c r="U2261" s="24" t="s">
        <v>39</v>
      </c>
      <c r="V2261" s="24" t="s">
        <v>39</v>
      </c>
      <c r="W2261" s="24" t="s">
        <v>21014</v>
      </c>
      <c r="X2261" s="24" t="s">
        <v>21015</v>
      </c>
      <c r="Y2261" s="15" t="s">
        <v>21016</v>
      </c>
      <c r="Z2261" s="15" t="s">
        <v>21017</v>
      </c>
      <c r="AA2261" s="24"/>
      <c r="AB2261" s="24"/>
      <c r="AC2261" s="24"/>
      <c r="AD2261" s="24"/>
      <c r="AE2261" s="24"/>
      <c r="AF2261" s="24"/>
      <c r="AG2261" s="24"/>
      <c r="AH2261" s="24"/>
    </row>
    <row r="2262" spans="1:34" ht="90" x14ac:dyDescent="0.25">
      <c r="A2262" s="24" t="str">
        <f>HYPERLINK("https://www.cpso.on.ca/DoctorDetails/Supuneet-Bismil/0258548-91045","Bismil, Supuneet")</f>
        <v>Bismil, Supuneet</v>
      </c>
      <c r="B2262" s="25" t="s">
        <v>21018</v>
      </c>
      <c r="C2262" s="24" t="s">
        <v>442</v>
      </c>
      <c r="D2262" s="24" t="s">
        <v>443</v>
      </c>
      <c r="E2262" s="24" t="s">
        <v>29</v>
      </c>
      <c r="F2262" s="24" t="s">
        <v>47</v>
      </c>
      <c r="G2262" s="24" t="s">
        <v>61</v>
      </c>
      <c r="H2262" s="24" t="s">
        <v>17933</v>
      </c>
      <c r="I2262" s="24" t="s">
        <v>21019</v>
      </c>
      <c r="J2262" s="24" t="s">
        <v>21020</v>
      </c>
      <c r="K2262" s="24" t="s">
        <v>21021</v>
      </c>
      <c r="L2262" s="24" t="s">
        <v>3849</v>
      </c>
      <c r="M2262" s="15"/>
      <c r="N2262" s="15"/>
      <c r="O2262" s="15" t="s">
        <v>2315</v>
      </c>
      <c r="P2262" s="15" t="s">
        <v>449</v>
      </c>
      <c r="Q2262" s="15" t="s">
        <v>15684</v>
      </c>
      <c r="R2262" s="15" t="s">
        <v>2181</v>
      </c>
      <c r="S2262" s="24" t="s">
        <v>39</v>
      </c>
      <c r="T2262" s="24" t="s">
        <v>39</v>
      </c>
      <c r="U2262" s="24" t="s">
        <v>39</v>
      </c>
      <c r="V2262" s="24" t="s">
        <v>39</v>
      </c>
      <c r="W2262" s="24" t="s">
        <v>21022</v>
      </c>
      <c r="X2262" s="24" t="s">
        <v>224</v>
      </c>
      <c r="Y2262" s="15"/>
      <c r="Z2262" s="15"/>
      <c r="AA2262" s="24"/>
      <c r="AB2262" s="24"/>
      <c r="AC2262" s="24"/>
      <c r="AD2262" s="24"/>
      <c r="AE2262" s="24"/>
      <c r="AF2262" s="24"/>
      <c r="AG2262" s="24"/>
      <c r="AH2262" s="24"/>
    </row>
    <row r="2263" spans="1:34" ht="60" x14ac:dyDescent="0.25">
      <c r="A2263" s="24" t="str">
        <f>HYPERLINK("https://www.cpso.on.ca/DoctorDetails/Surriya-Jabeen-Tahirkheli/0037786-51762","Tahirkheli, Surriya Jabeen")</f>
        <v>Tahirkheli, Surriya Jabeen</v>
      </c>
      <c r="B2263" s="25" t="s">
        <v>21023</v>
      </c>
      <c r="C2263" s="24" t="s">
        <v>492</v>
      </c>
      <c r="D2263" s="24" t="s">
        <v>16348</v>
      </c>
      <c r="E2263" s="24" t="s">
        <v>29</v>
      </c>
      <c r="F2263" s="24" t="s">
        <v>47</v>
      </c>
      <c r="G2263" s="24" t="s">
        <v>2425</v>
      </c>
      <c r="H2263" s="24" t="s">
        <v>21024</v>
      </c>
      <c r="I2263" s="24" t="s">
        <v>21025</v>
      </c>
      <c r="J2263" s="24" t="s">
        <v>3977</v>
      </c>
      <c r="K2263" s="24" t="s">
        <v>3978</v>
      </c>
      <c r="L2263" s="24" t="s">
        <v>84</v>
      </c>
      <c r="M2263" s="15"/>
      <c r="N2263" s="15"/>
      <c r="O2263" s="15" t="s">
        <v>5888</v>
      </c>
      <c r="P2263" s="15" t="s">
        <v>10817</v>
      </c>
      <c r="Q2263" s="15"/>
      <c r="R2263" s="15" t="s">
        <v>16383</v>
      </c>
      <c r="S2263" s="24" t="s">
        <v>39</v>
      </c>
      <c r="T2263" s="24" t="s">
        <v>39</v>
      </c>
      <c r="U2263" s="24" t="s">
        <v>39</v>
      </c>
      <c r="V2263" s="24" t="s">
        <v>39</v>
      </c>
      <c r="W2263" s="24" t="s">
        <v>21026</v>
      </c>
      <c r="X2263" s="24" t="s">
        <v>21027</v>
      </c>
      <c r="Y2263" s="15" t="s">
        <v>21028</v>
      </c>
      <c r="Z2263" s="15" t="s">
        <v>21029</v>
      </c>
      <c r="AA2263" s="24"/>
      <c r="AB2263" s="24"/>
      <c r="AC2263" s="24"/>
      <c r="AD2263" s="24"/>
      <c r="AE2263" s="24"/>
      <c r="AF2263" s="24"/>
      <c r="AG2263" s="24"/>
      <c r="AH2263" s="24"/>
    </row>
    <row r="2264" spans="1:34" ht="30" x14ac:dyDescent="0.25">
      <c r="A2264" s="24" t="str">
        <f>HYPERLINK("https://www.cpso.on.ca/DoctorDetails/Suryakumari-Naidoo/0044951-58929","Naidoo, Suryakumari")</f>
        <v>Naidoo, Suryakumari</v>
      </c>
      <c r="B2264" s="25" t="s">
        <v>21030</v>
      </c>
      <c r="C2264" s="24" t="s">
        <v>7425</v>
      </c>
      <c r="D2264" s="24" t="s">
        <v>7426</v>
      </c>
      <c r="E2264" s="24" t="s">
        <v>29</v>
      </c>
      <c r="F2264" s="24" t="s">
        <v>47</v>
      </c>
      <c r="G2264" s="24" t="s">
        <v>31</v>
      </c>
      <c r="H2264" s="24" t="s">
        <v>3575</v>
      </c>
      <c r="I2264" s="24" t="s">
        <v>21031</v>
      </c>
      <c r="J2264" s="24" t="s">
        <v>19097</v>
      </c>
      <c r="K2264" s="24"/>
      <c r="L2264" s="24" t="s">
        <v>36</v>
      </c>
      <c r="M2264" s="15" t="s">
        <v>21032</v>
      </c>
      <c r="N2264" s="15"/>
      <c r="O2264" s="15" t="s">
        <v>21033</v>
      </c>
      <c r="P2264" s="15" t="s">
        <v>21034</v>
      </c>
      <c r="Q2264" s="15" t="s">
        <v>21035</v>
      </c>
      <c r="R2264" s="15" t="s">
        <v>7432</v>
      </c>
      <c r="S2264" s="24" t="s">
        <v>39</v>
      </c>
      <c r="T2264" s="24" t="s">
        <v>39</v>
      </c>
      <c r="U2264" s="24" t="s">
        <v>39</v>
      </c>
      <c r="V2264" s="24" t="s">
        <v>39</v>
      </c>
      <c r="W2264" s="24" t="s">
        <v>21036</v>
      </c>
      <c r="X2264" s="24" t="s">
        <v>12462</v>
      </c>
      <c r="Y2264" s="15" t="s">
        <v>21037</v>
      </c>
      <c r="Z2264" s="15" t="s">
        <v>21038</v>
      </c>
      <c r="AA2264" s="24"/>
      <c r="AB2264" s="24"/>
      <c r="AC2264" s="24"/>
      <c r="AD2264" s="24"/>
      <c r="AE2264" s="24"/>
      <c r="AF2264" s="24"/>
      <c r="AG2264" s="24"/>
      <c r="AH2264" s="24"/>
    </row>
    <row r="2265" spans="1:34" ht="75" x14ac:dyDescent="0.25">
      <c r="A2265" s="24" t="str">
        <f>HYPERLINK("https://www.cpso.on.ca/DoctorDetails/Susan-Angela-Johnston/0130886-70087","Johnston, Susan Angela")</f>
        <v>Johnston, Susan Angela</v>
      </c>
      <c r="B2265" s="25" t="s">
        <v>21039</v>
      </c>
      <c r="C2265" s="24" t="s">
        <v>2673</v>
      </c>
      <c r="D2265" s="24" t="s">
        <v>2674</v>
      </c>
      <c r="E2265" s="24" t="s">
        <v>29</v>
      </c>
      <c r="F2265" s="24" t="s">
        <v>47</v>
      </c>
      <c r="G2265" s="24" t="s">
        <v>31</v>
      </c>
      <c r="H2265" s="24" t="s">
        <v>21040</v>
      </c>
      <c r="I2265" s="24" t="s">
        <v>21041</v>
      </c>
      <c r="J2265" s="24" t="s">
        <v>21042</v>
      </c>
      <c r="K2265" s="24"/>
      <c r="L2265" s="24" t="s">
        <v>328</v>
      </c>
      <c r="M2265" s="15"/>
      <c r="N2265" s="15"/>
      <c r="O2265" s="15" t="s">
        <v>329</v>
      </c>
      <c r="P2265" s="15" t="s">
        <v>2678</v>
      </c>
      <c r="Q2265" s="15" t="s">
        <v>19887</v>
      </c>
      <c r="R2265" s="15" t="s">
        <v>2680</v>
      </c>
      <c r="S2265" s="24" t="s">
        <v>39</v>
      </c>
      <c r="T2265" s="24" t="s">
        <v>39</v>
      </c>
      <c r="U2265" s="24" t="s">
        <v>39</v>
      </c>
      <c r="V2265" s="24" t="s">
        <v>39</v>
      </c>
      <c r="W2265" s="24"/>
      <c r="X2265" s="24"/>
      <c r="Y2265" s="15"/>
      <c r="Z2265" s="15"/>
      <c r="AA2265" s="24"/>
      <c r="AB2265" s="24"/>
      <c r="AC2265" s="24"/>
      <c r="AD2265" s="24"/>
      <c r="AE2265" s="24"/>
      <c r="AF2265" s="24"/>
      <c r="AG2265" s="24"/>
      <c r="AH2265" s="24"/>
    </row>
    <row r="2266" spans="1:34" ht="90" x14ac:dyDescent="0.25">
      <c r="A2266" s="24" t="str">
        <f>HYPERLINK("https://www.cpso.on.ca/DoctorDetails/Susan-Ann-Beaver/0045347-59325","Beaver, Susan Ann")</f>
        <v>Beaver, Susan Ann</v>
      </c>
      <c r="B2266" s="25" t="s">
        <v>21043</v>
      </c>
      <c r="C2266" s="24" t="s">
        <v>2286</v>
      </c>
      <c r="D2266" s="24" t="s">
        <v>21044</v>
      </c>
      <c r="E2266" s="24" t="s">
        <v>29</v>
      </c>
      <c r="F2266" s="24" t="s">
        <v>47</v>
      </c>
      <c r="G2266" s="24" t="s">
        <v>31</v>
      </c>
      <c r="H2266" s="24" t="s">
        <v>2288</v>
      </c>
      <c r="I2266" s="24" t="s">
        <v>7241</v>
      </c>
      <c r="J2266" s="24" t="s">
        <v>21045</v>
      </c>
      <c r="K2266" s="24" t="s">
        <v>21046</v>
      </c>
      <c r="L2266" s="24" t="s">
        <v>52</v>
      </c>
      <c r="M2266" s="15"/>
      <c r="N2266" s="15"/>
      <c r="O2266" s="15"/>
      <c r="P2266" s="15" t="s">
        <v>2293</v>
      </c>
      <c r="Q2266" s="15" t="s">
        <v>21047</v>
      </c>
      <c r="R2266" s="15" t="s">
        <v>21048</v>
      </c>
      <c r="S2266" s="24" t="s">
        <v>39</v>
      </c>
      <c r="T2266" s="24" t="s">
        <v>39</v>
      </c>
      <c r="U2266" s="24" t="s">
        <v>39</v>
      </c>
      <c r="V2266" s="24" t="s">
        <v>39</v>
      </c>
      <c r="W2266" s="24" t="s">
        <v>7246</v>
      </c>
      <c r="X2266" s="24" t="s">
        <v>7247</v>
      </c>
      <c r="Y2266" s="15" t="s">
        <v>7248</v>
      </c>
      <c r="Z2266" s="15" t="s">
        <v>7249</v>
      </c>
      <c r="AA2266" s="24"/>
      <c r="AB2266" s="24"/>
      <c r="AC2266" s="24"/>
      <c r="AD2266" s="24"/>
      <c r="AE2266" s="24"/>
      <c r="AF2266" s="24"/>
      <c r="AG2266" s="24"/>
      <c r="AH2266" s="24"/>
    </row>
    <row r="2267" spans="1:34" ht="30" x14ac:dyDescent="0.25">
      <c r="A2267" s="24" t="str">
        <f>HYPERLINK("https://www.cpso.on.ca/DoctorDetails/Susan-Clair-Smith/0016306-21091","Smith, Susan Clair")</f>
        <v>Smith, Susan Clair</v>
      </c>
      <c r="B2267" s="25" t="s">
        <v>21049</v>
      </c>
      <c r="C2267" s="24" t="s">
        <v>21050</v>
      </c>
      <c r="D2267" s="24" t="s">
        <v>21051</v>
      </c>
      <c r="E2267" s="24" t="s">
        <v>29</v>
      </c>
      <c r="F2267" s="24" t="s">
        <v>47</v>
      </c>
      <c r="G2267" s="24" t="s">
        <v>31</v>
      </c>
      <c r="H2267" s="24" t="s">
        <v>8605</v>
      </c>
      <c r="I2267" s="24" t="s">
        <v>21052</v>
      </c>
      <c r="J2267" s="24" t="s">
        <v>21053</v>
      </c>
      <c r="K2267" s="24" t="s">
        <v>21054</v>
      </c>
      <c r="L2267" s="24" t="s">
        <v>84</v>
      </c>
      <c r="M2267" s="15"/>
      <c r="N2267" s="15"/>
      <c r="O2267" s="15"/>
      <c r="P2267" s="15" t="s">
        <v>4894</v>
      </c>
      <c r="Q2267" s="15"/>
      <c r="R2267" s="15" t="s">
        <v>21055</v>
      </c>
      <c r="S2267" s="24" t="s">
        <v>39</v>
      </c>
      <c r="T2267" s="24" t="s">
        <v>39</v>
      </c>
      <c r="U2267" s="24" t="s">
        <v>39</v>
      </c>
      <c r="V2267" s="24" t="s">
        <v>39</v>
      </c>
      <c r="W2267" s="24" t="s">
        <v>21056</v>
      </c>
      <c r="X2267" s="24" t="s">
        <v>17226</v>
      </c>
      <c r="Y2267" s="15" t="s">
        <v>21057</v>
      </c>
      <c r="Z2267" s="15" t="s">
        <v>21058</v>
      </c>
      <c r="AA2267" s="24"/>
      <c r="AB2267" s="24"/>
      <c r="AC2267" s="24"/>
      <c r="AD2267" s="24"/>
      <c r="AE2267" s="24"/>
      <c r="AF2267" s="24"/>
      <c r="AG2267" s="24"/>
      <c r="AH2267" s="24"/>
    </row>
    <row r="2268" spans="1:34" ht="90" x14ac:dyDescent="0.25">
      <c r="A2268" s="24" t="str">
        <f>HYPERLINK("https://www.cpso.on.ca/DoctorDetails/Susan-Debora-Quesnel/0191199-77974","Quesnel, Susan Debora")</f>
        <v>Quesnel, Susan Debora</v>
      </c>
      <c r="B2268" s="25" t="s">
        <v>21059</v>
      </c>
      <c r="C2268" s="24" t="s">
        <v>921</v>
      </c>
      <c r="D2268" s="24" t="s">
        <v>21060</v>
      </c>
      <c r="E2268" s="24" t="s">
        <v>29</v>
      </c>
      <c r="F2268" s="24" t="s">
        <v>47</v>
      </c>
      <c r="G2268" s="24" t="s">
        <v>31</v>
      </c>
      <c r="H2268" s="24" t="s">
        <v>4433</v>
      </c>
      <c r="I2268" s="24" t="s">
        <v>1447</v>
      </c>
      <c r="J2268" s="24" t="s">
        <v>21061</v>
      </c>
      <c r="K2268" s="24" t="s">
        <v>1355</v>
      </c>
      <c r="L2268" s="24" t="s">
        <v>52</v>
      </c>
      <c r="M2268" s="15"/>
      <c r="N2268" s="15"/>
      <c r="O2268" s="15" t="s">
        <v>21062</v>
      </c>
      <c r="P2268" s="15" t="s">
        <v>21063</v>
      </c>
      <c r="Q2268" s="15" t="s">
        <v>21064</v>
      </c>
      <c r="R2268" s="15" t="s">
        <v>21065</v>
      </c>
      <c r="S2268" s="24" t="s">
        <v>39</v>
      </c>
      <c r="T2268" s="24" t="s">
        <v>39</v>
      </c>
      <c r="U2268" s="24" t="s">
        <v>39</v>
      </c>
      <c r="V2268" s="24" t="s">
        <v>39</v>
      </c>
      <c r="W2268" s="24"/>
      <c r="X2268" s="24"/>
      <c r="Y2268" s="15"/>
      <c r="Z2268" s="15"/>
      <c r="AA2268" s="24"/>
      <c r="AB2268" s="24"/>
      <c r="AC2268" s="24"/>
      <c r="AD2268" s="24"/>
      <c r="AE2268" s="24"/>
      <c r="AF2268" s="24"/>
      <c r="AG2268" s="24"/>
      <c r="AH2268" s="24"/>
    </row>
    <row r="2269" spans="1:34" ht="90" x14ac:dyDescent="0.25">
      <c r="A2269" s="24" t="str">
        <f>HYPERLINK("https://www.cpso.on.ca/DoctorDetails/Susan-Doris-Dundas/0041393-55369","Dundas, Susan Doris")</f>
        <v>Dundas, Susan Doris</v>
      </c>
      <c r="B2269" s="25" t="s">
        <v>21066</v>
      </c>
      <c r="C2269" s="24" t="s">
        <v>2902</v>
      </c>
      <c r="D2269" s="24" t="s">
        <v>9645</v>
      </c>
      <c r="E2269" s="24" t="s">
        <v>29</v>
      </c>
      <c r="F2269" s="24" t="s">
        <v>47</v>
      </c>
      <c r="G2269" s="24" t="s">
        <v>31</v>
      </c>
      <c r="H2269" s="24" t="s">
        <v>4592</v>
      </c>
      <c r="I2269" s="24" t="s">
        <v>21067</v>
      </c>
      <c r="J2269" s="24" t="s">
        <v>12492</v>
      </c>
      <c r="K2269" s="24" t="s">
        <v>5723</v>
      </c>
      <c r="L2269" s="24" t="s">
        <v>52</v>
      </c>
      <c r="M2269" s="15" t="s">
        <v>21068</v>
      </c>
      <c r="N2269" s="15" t="s">
        <v>342</v>
      </c>
      <c r="O2269" s="15" t="s">
        <v>121</v>
      </c>
      <c r="P2269" s="15" t="s">
        <v>2908</v>
      </c>
      <c r="Q2269" s="15" t="s">
        <v>21069</v>
      </c>
      <c r="R2269" s="15" t="s">
        <v>21070</v>
      </c>
      <c r="S2269" s="24" t="s">
        <v>39</v>
      </c>
      <c r="T2269" s="24" t="s">
        <v>39</v>
      </c>
      <c r="U2269" s="24" t="s">
        <v>39</v>
      </c>
      <c r="V2269" s="24" t="s">
        <v>39</v>
      </c>
      <c r="W2269" s="24" t="s">
        <v>21071</v>
      </c>
      <c r="X2269" s="24" t="s">
        <v>6662</v>
      </c>
      <c r="Y2269" s="15" t="s">
        <v>21072</v>
      </c>
      <c r="Z2269" s="15" t="s">
        <v>21073</v>
      </c>
      <c r="AA2269" s="24"/>
      <c r="AB2269" s="24"/>
      <c r="AC2269" s="24"/>
      <c r="AD2269" s="24"/>
      <c r="AE2269" s="24"/>
      <c r="AF2269" s="24"/>
      <c r="AG2269" s="24"/>
      <c r="AH2269" s="24"/>
    </row>
    <row r="2270" spans="1:34" ht="75" x14ac:dyDescent="0.25">
      <c r="A2270" s="24" t="str">
        <f>HYPERLINK("https://www.cpso.on.ca/DoctorDetails/Susan-Elizabeth-Abbey/0036066-50042","Abbey, Susan Elizabeth")</f>
        <v>Abbey, Susan Elizabeth</v>
      </c>
      <c r="B2270" s="25" t="s">
        <v>21074</v>
      </c>
      <c r="C2270" s="24" t="s">
        <v>520</v>
      </c>
      <c r="D2270" s="24" t="s">
        <v>6365</v>
      </c>
      <c r="E2270" s="24" t="s">
        <v>29</v>
      </c>
      <c r="F2270" s="24" t="s">
        <v>47</v>
      </c>
      <c r="G2270" s="24" t="s">
        <v>31</v>
      </c>
      <c r="H2270" s="24" t="s">
        <v>2861</v>
      </c>
      <c r="I2270" s="24" t="s">
        <v>21075</v>
      </c>
      <c r="J2270" s="24" t="s">
        <v>21076</v>
      </c>
      <c r="K2270" s="24" t="s">
        <v>486</v>
      </c>
      <c r="L2270" s="24" t="s">
        <v>52</v>
      </c>
      <c r="M2270" s="15"/>
      <c r="N2270" s="15"/>
      <c r="O2270" s="15" t="s">
        <v>4133</v>
      </c>
      <c r="P2270" s="15" t="s">
        <v>1947</v>
      </c>
      <c r="Q2270" s="15" t="s">
        <v>21077</v>
      </c>
      <c r="R2270" s="15" t="s">
        <v>12665</v>
      </c>
      <c r="S2270" s="24" t="s">
        <v>39</v>
      </c>
      <c r="T2270" s="24" t="s">
        <v>39</v>
      </c>
      <c r="U2270" s="24" t="s">
        <v>39</v>
      </c>
      <c r="V2270" s="24" t="s">
        <v>39</v>
      </c>
      <c r="W2270" s="24"/>
      <c r="X2270" s="24"/>
      <c r="Y2270" s="15"/>
      <c r="Z2270" s="15"/>
      <c r="AA2270" s="24"/>
      <c r="AB2270" s="24"/>
      <c r="AC2270" s="24"/>
      <c r="AD2270" s="24"/>
      <c r="AE2270" s="24"/>
      <c r="AF2270" s="24"/>
      <c r="AG2270" s="24"/>
      <c r="AH2270" s="24"/>
    </row>
    <row r="2271" spans="1:34" ht="105" x14ac:dyDescent="0.25">
      <c r="A2271" s="24" t="str">
        <f>HYPERLINK("https://www.cpso.on.ca/DoctorDetails/Susan-Elizabeth-MacKenzie/0210089-80756","MacKenzie, Susan Elizabeth")</f>
        <v>MacKenzie, Susan Elizabeth</v>
      </c>
      <c r="B2271" s="25" t="s">
        <v>21078</v>
      </c>
      <c r="C2271" s="24" t="s">
        <v>21079</v>
      </c>
      <c r="D2271" s="24" t="s">
        <v>21080</v>
      </c>
      <c r="E2271" s="24" t="s">
        <v>21081</v>
      </c>
      <c r="F2271" s="24" t="s">
        <v>47</v>
      </c>
      <c r="G2271" s="24" t="s">
        <v>31</v>
      </c>
      <c r="H2271" s="24" t="s">
        <v>789</v>
      </c>
      <c r="I2271" s="24" t="s">
        <v>21082</v>
      </c>
      <c r="J2271" s="24" t="s">
        <v>21083</v>
      </c>
      <c r="K2271" s="24" t="s">
        <v>3578</v>
      </c>
      <c r="L2271" s="24" t="s">
        <v>52</v>
      </c>
      <c r="M2271" s="15"/>
      <c r="N2271" s="15"/>
      <c r="O2271" s="15" t="s">
        <v>1191</v>
      </c>
      <c r="P2271" s="15" t="s">
        <v>16724</v>
      </c>
      <c r="Q2271" s="15" t="s">
        <v>21084</v>
      </c>
      <c r="R2271" s="15" t="s">
        <v>21085</v>
      </c>
      <c r="S2271" s="24" t="s">
        <v>39</v>
      </c>
      <c r="T2271" s="24" t="s">
        <v>39</v>
      </c>
      <c r="U2271" s="24" t="s">
        <v>39</v>
      </c>
      <c r="V2271" s="24" t="s">
        <v>39</v>
      </c>
      <c r="W2271" s="24" t="s">
        <v>21086</v>
      </c>
      <c r="X2271" s="24" t="s">
        <v>21087</v>
      </c>
      <c r="Y2271" s="15" t="s">
        <v>21088</v>
      </c>
      <c r="Z2271" s="15" t="s">
        <v>21089</v>
      </c>
      <c r="AA2271" s="24"/>
      <c r="AB2271" s="24"/>
      <c r="AC2271" s="24"/>
      <c r="AD2271" s="24"/>
      <c r="AE2271" s="24"/>
      <c r="AF2271" s="24"/>
      <c r="AG2271" s="24"/>
      <c r="AH2271" s="24"/>
    </row>
    <row r="2272" spans="1:34" ht="90" x14ac:dyDescent="0.25">
      <c r="A2272" s="24" t="str">
        <f>HYPERLINK("https://www.cpso.on.ca/DoctorDetails/Susan-Elizabeth-Senior/0149962-72668","Senior, Susan Elizabeth")</f>
        <v>Senior, Susan Elizabeth</v>
      </c>
      <c r="B2272" s="25" t="s">
        <v>21090</v>
      </c>
      <c r="C2272" s="24" t="s">
        <v>21091</v>
      </c>
      <c r="D2272" s="24" t="s">
        <v>21092</v>
      </c>
      <c r="E2272" s="24" t="s">
        <v>29</v>
      </c>
      <c r="F2272" s="24" t="s">
        <v>47</v>
      </c>
      <c r="G2272" s="24" t="s">
        <v>31</v>
      </c>
      <c r="H2272" s="24" t="s">
        <v>2165</v>
      </c>
      <c r="I2272" s="24" t="s">
        <v>21093</v>
      </c>
      <c r="J2272" s="24" t="s">
        <v>21094</v>
      </c>
      <c r="K2272" s="24"/>
      <c r="L2272" s="24" t="s">
        <v>152</v>
      </c>
      <c r="M2272" s="15"/>
      <c r="N2272" s="15"/>
      <c r="O2272" s="15"/>
      <c r="P2272" s="15" t="s">
        <v>1330</v>
      </c>
      <c r="Q2272" s="15" t="s">
        <v>21095</v>
      </c>
      <c r="R2272" s="15" t="s">
        <v>21096</v>
      </c>
      <c r="S2272" s="24" t="s">
        <v>39</v>
      </c>
      <c r="T2272" s="24" t="s">
        <v>39</v>
      </c>
      <c r="U2272" s="24" t="s">
        <v>39</v>
      </c>
      <c r="V2272" s="24" t="s">
        <v>39</v>
      </c>
      <c r="W2272" s="24" t="s">
        <v>21097</v>
      </c>
      <c r="X2272" s="24" t="s">
        <v>7989</v>
      </c>
      <c r="Y2272" s="15" t="s">
        <v>21098</v>
      </c>
      <c r="Z2272" s="15" t="s">
        <v>21099</v>
      </c>
      <c r="AA2272" s="24"/>
      <c r="AB2272" s="24"/>
      <c r="AC2272" s="24"/>
      <c r="AD2272" s="24"/>
      <c r="AE2272" s="24"/>
      <c r="AF2272" s="24"/>
      <c r="AG2272" s="24"/>
      <c r="AH2272" s="24"/>
    </row>
    <row r="2273" spans="1:34" ht="30" x14ac:dyDescent="0.25">
      <c r="A2273" s="24" t="str">
        <f>HYPERLINK("https://www.cpso.on.ca/DoctorDetails/Susan-Jane-Adams/0050904-64883","Adams, Susan Jane")</f>
        <v>Adams, Susan Jane</v>
      </c>
      <c r="B2273" s="25" t="s">
        <v>21100</v>
      </c>
      <c r="C2273" s="24" t="s">
        <v>21101</v>
      </c>
      <c r="D2273" s="24" t="s">
        <v>7313</v>
      </c>
      <c r="E2273" s="24" t="s">
        <v>29</v>
      </c>
      <c r="F2273" s="24" t="s">
        <v>47</v>
      </c>
      <c r="G2273" s="24" t="s">
        <v>31</v>
      </c>
      <c r="H2273" s="24" t="s">
        <v>21102</v>
      </c>
      <c r="I2273" s="24" t="s">
        <v>21103</v>
      </c>
      <c r="J2273" s="24" t="s">
        <v>21104</v>
      </c>
      <c r="K2273" s="24" t="s">
        <v>7608</v>
      </c>
      <c r="L2273" s="24" t="s">
        <v>184</v>
      </c>
      <c r="M2273" s="15"/>
      <c r="N2273" s="15" t="s">
        <v>398</v>
      </c>
      <c r="O2273" s="15" t="s">
        <v>19743</v>
      </c>
      <c r="P2273" s="15" t="s">
        <v>21105</v>
      </c>
      <c r="Q2273" s="15"/>
      <c r="R2273" s="15" t="s">
        <v>21106</v>
      </c>
      <c r="S2273" s="24" t="s">
        <v>39</v>
      </c>
      <c r="T2273" s="24" t="s">
        <v>39</v>
      </c>
      <c r="U2273" s="24" t="s">
        <v>39</v>
      </c>
      <c r="V2273" s="24" t="s">
        <v>39</v>
      </c>
      <c r="W2273" s="24"/>
      <c r="X2273" s="24"/>
      <c r="Y2273" s="15"/>
      <c r="Z2273" s="15"/>
      <c r="AA2273" s="24"/>
      <c r="AB2273" s="24"/>
      <c r="AC2273" s="24"/>
      <c r="AD2273" s="24"/>
      <c r="AE2273" s="24"/>
      <c r="AF2273" s="24"/>
      <c r="AG2273" s="24"/>
      <c r="AH2273" s="24"/>
    </row>
    <row r="2274" spans="1:34" ht="30" x14ac:dyDescent="0.25">
      <c r="A2274" s="24" t="str">
        <f>HYPERLINK("https://www.cpso.on.ca/DoctorDetails/Susan-Jane-Allen/0036093-50069","Allen, Susan Jane")</f>
        <v>Allen, Susan Jane</v>
      </c>
      <c r="B2274" s="25" t="s">
        <v>21107</v>
      </c>
      <c r="C2274" s="24" t="s">
        <v>3417</v>
      </c>
      <c r="D2274" s="24" t="s">
        <v>12719</v>
      </c>
      <c r="E2274" s="24" t="s">
        <v>29</v>
      </c>
      <c r="F2274" s="24" t="s">
        <v>47</v>
      </c>
      <c r="G2274" s="24" t="s">
        <v>31</v>
      </c>
      <c r="H2274" s="24" t="s">
        <v>4000</v>
      </c>
      <c r="I2274" s="24" t="s">
        <v>21108</v>
      </c>
      <c r="J2274" s="24" t="s">
        <v>21109</v>
      </c>
      <c r="K2274" s="24"/>
      <c r="L2274" s="24" t="s">
        <v>135</v>
      </c>
      <c r="M2274" s="15"/>
      <c r="N2274" s="15"/>
      <c r="O2274" s="15"/>
      <c r="P2274" s="15" t="s">
        <v>21110</v>
      </c>
      <c r="Q2274" s="15"/>
      <c r="R2274" s="15" t="s">
        <v>21111</v>
      </c>
      <c r="S2274" s="24" t="s">
        <v>39</v>
      </c>
      <c r="T2274" s="24" t="s">
        <v>39</v>
      </c>
      <c r="U2274" s="24" t="s">
        <v>39</v>
      </c>
      <c r="V2274" s="24" t="s">
        <v>39</v>
      </c>
      <c r="W2274" s="24" t="s">
        <v>21112</v>
      </c>
      <c r="X2274" s="24" t="s">
        <v>21113</v>
      </c>
      <c r="Y2274" s="15" t="s">
        <v>21114</v>
      </c>
      <c r="Z2274" s="15" t="s">
        <v>21115</v>
      </c>
      <c r="AA2274" s="24"/>
      <c r="AB2274" s="24"/>
      <c r="AC2274" s="24"/>
      <c r="AD2274" s="24"/>
      <c r="AE2274" s="24"/>
      <c r="AF2274" s="24"/>
      <c r="AG2274" s="24"/>
      <c r="AH2274" s="24"/>
    </row>
    <row r="2275" spans="1:34" ht="30" x14ac:dyDescent="0.25">
      <c r="A2275" s="24" t="str">
        <f>HYPERLINK("https://www.cpso.on.ca/DoctorDetails/Susan-Jane-Bradley/0016045-20830","Bradley, Susan Jane")</f>
        <v>Bradley, Susan Jane</v>
      </c>
      <c r="B2275" s="25" t="s">
        <v>21116</v>
      </c>
      <c r="C2275" s="24" t="s">
        <v>21117</v>
      </c>
      <c r="D2275" s="24" t="s">
        <v>21118</v>
      </c>
      <c r="E2275" s="24" t="s">
        <v>29</v>
      </c>
      <c r="F2275" s="24" t="s">
        <v>47</v>
      </c>
      <c r="G2275" s="24" t="s">
        <v>31</v>
      </c>
      <c r="H2275" s="24" t="s">
        <v>6989</v>
      </c>
      <c r="I2275" s="24" t="s">
        <v>21119</v>
      </c>
      <c r="J2275" s="24" t="s">
        <v>21120</v>
      </c>
      <c r="K2275" s="24" t="s">
        <v>21121</v>
      </c>
      <c r="L2275" s="24" t="s">
        <v>152</v>
      </c>
      <c r="M2275" s="15"/>
      <c r="N2275" s="15"/>
      <c r="O2275" s="15"/>
      <c r="P2275" s="15" t="s">
        <v>5281</v>
      </c>
      <c r="Q2275" s="15"/>
      <c r="R2275" s="15" t="s">
        <v>21122</v>
      </c>
      <c r="S2275" s="24" t="s">
        <v>39</v>
      </c>
      <c r="T2275" s="24" t="s">
        <v>39</v>
      </c>
      <c r="U2275" s="24" t="s">
        <v>39</v>
      </c>
      <c r="V2275" s="24" t="s">
        <v>39</v>
      </c>
      <c r="W2275" s="24"/>
      <c r="X2275" s="24"/>
      <c r="Y2275" s="15"/>
      <c r="Z2275" s="15"/>
      <c r="AA2275" s="24"/>
      <c r="AB2275" s="24"/>
      <c r="AC2275" s="24"/>
      <c r="AD2275" s="24"/>
      <c r="AE2275" s="24"/>
      <c r="AF2275" s="24"/>
      <c r="AG2275" s="24"/>
      <c r="AH2275" s="24"/>
    </row>
    <row r="2276" spans="1:34" ht="45" x14ac:dyDescent="0.25">
      <c r="A2276" s="24" t="str">
        <f>HYPERLINK("https://www.cpso.on.ca/DoctorDetails/Susan-Jane-Finch/0182669-75912","Finch, Susan Jane")</f>
        <v>Finch, Susan Jane</v>
      </c>
      <c r="B2276" s="25" t="s">
        <v>21123</v>
      </c>
      <c r="C2276" s="24" t="s">
        <v>21124</v>
      </c>
      <c r="D2276" s="24" t="s">
        <v>21125</v>
      </c>
      <c r="E2276" s="24" t="s">
        <v>29</v>
      </c>
      <c r="F2276" s="24" t="s">
        <v>47</v>
      </c>
      <c r="G2276" s="24" t="s">
        <v>31</v>
      </c>
      <c r="H2276" s="24" t="s">
        <v>7350</v>
      </c>
      <c r="I2276" s="24" t="s">
        <v>21126</v>
      </c>
      <c r="J2276" s="24" t="s">
        <v>21127</v>
      </c>
      <c r="K2276" s="24"/>
      <c r="L2276" s="24"/>
      <c r="M2276" s="15"/>
      <c r="N2276" s="15" t="s">
        <v>1370</v>
      </c>
      <c r="O2276" s="15" t="s">
        <v>1122</v>
      </c>
      <c r="P2276" s="15" t="s">
        <v>2042</v>
      </c>
      <c r="Q2276" s="15"/>
      <c r="R2276" s="15" t="s">
        <v>21128</v>
      </c>
      <c r="S2276" s="24" t="s">
        <v>39</v>
      </c>
      <c r="T2276" s="24" t="s">
        <v>39</v>
      </c>
      <c r="U2276" s="24" t="s">
        <v>39</v>
      </c>
      <c r="V2276" s="24" t="s">
        <v>39</v>
      </c>
      <c r="W2276" s="24" t="s">
        <v>21129</v>
      </c>
      <c r="X2276" s="24" t="s">
        <v>13959</v>
      </c>
      <c r="Y2276" s="15" t="s">
        <v>21130</v>
      </c>
      <c r="Z2276" s="15" t="s">
        <v>21131</v>
      </c>
      <c r="AA2276" s="24"/>
      <c r="AB2276" s="24"/>
      <c r="AC2276" s="24"/>
      <c r="AD2276" s="24"/>
      <c r="AE2276" s="24"/>
      <c r="AF2276" s="24"/>
      <c r="AG2276" s="24"/>
      <c r="AH2276" s="24"/>
    </row>
    <row r="2277" spans="1:34" ht="90" x14ac:dyDescent="0.25">
      <c r="A2277" s="24" t="str">
        <f>HYPERLINK("https://www.cpso.on.ca/DoctorDetails/Susan-Jane-MacNeill/0159230-73423","MacNeill, Susan Jane")</f>
        <v>MacNeill, Susan Jane</v>
      </c>
      <c r="B2277" s="25" t="s">
        <v>21132</v>
      </c>
      <c r="C2277" s="24" t="s">
        <v>21133</v>
      </c>
      <c r="D2277" s="24" t="s">
        <v>21134</v>
      </c>
      <c r="E2277" s="24" t="s">
        <v>29</v>
      </c>
      <c r="F2277" s="24" t="s">
        <v>47</v>
      </c>
      <c r="G2277" s="24" t="s">
        <v>31</v>
      </c>
      <c r="H2277" s="24" t="s">
        <v>6779</v>
      </c>
      <c r="I2277" s="24" t="s">
        <v>21135</v>
      </c>
      <c r="J2277" s="24" t="s">
        <v>21136</v>
      </c>
      <c r="K2277" s="24" t="s">
        <v>11196</v>
      </c>
      <c r="L2277" s="24" t="s">
        <v>84</v>
      </c>
      <c r="M2277" s="15"/>
      <c r="N2277" s="15"/>
      <c r="O2277" s="15"/>
      <c r="P2277" s="15" t="s">
        <v>21137</v>
      </c>
      <c r="Q2277" s="15" t="s">
        <v>21138</v>
      </c>
      <c r="R2277" s="15" t="s">
        <v>21139</v>
      </c>
      <c r="S2277" s="24" t="s">
        <v>39</v>
      </c>
      <c r="T2277" s="24" t="s">
        <v>39</v>
      </c>
      <c r="U2277" s="24" t="s">
        <v>39</v>
      </c>
      <c r="V2277" s="24" t="s">
        <v>39</v>
      </c>
      <c r="W2277" s="24"/>
      <c r="X2277" s="24"/>
      <c r="Y2277" s="15"/>
      <c r="Z2277" s="15"/>
      <c r="AA2277" s="24"/>
      <c r="AB2277" s="24"/>
      <c r="AC2277" s="24"/>
      <c r="AD2277" s="24"/>
      <c r="AE2277" s="24"/>
      <c r="AF2277" s="24"/>
      <c r="AG2277" s="24"/>
      <c r="AH2277" s="24"/>
    </row>
    <row r="2278" spans="1:34" ht="30" x14ac:dyDescent="0.25">
      <c r="A2278" s="24" t="str">
        <f>HYPERLINK("https://www.cpso.on.ca/DoctorDetails/Susan-Janet-Lieff/0037944-51920","Lieff, Susan Janet")</f>
        <v>Lieff, Susan Janet</v>
      </c>
      <c r="B2278" s="25" t="s">
        <v>21140</v>
      </c>
      <c r="C2278" s="24" t="s">
        <v>520</v>
      </c>
      <c r="D2278" s="24" t="s">
        <v>21141</v>
      </c>
      <c r="E2278" s="24" t="s">
        <v>29</v>
      </c>
      <c r="F2278" s="24" t="s">
        <v>47</v>
      </c>
      <c r="G2278" s="24" t="s">
        <v>31</v>
      </c>
      <c r="H2278" s="24" t="s">
        <v>2861</v>
      </c>
      <c r="I2278" s="24" t="s">
        <v>21142</v>
      </c>
      <c r="J2278" s="24" t="s">
        <v>21143</v>
      </c>
      <c r="K2278" s="24" t="s">
        <v>3920</v>
      </c>
      <c r="L2278" s="24" t="s">
        <v>52</v>
      </c>
      <c r="M2278" s="15"/>
      <c r="N2278" s="15"/>
      <c r="O2278" s="15" t="s">
        <v>3921</v>
      </c>
      <c r="P2278" s="15" t="s">
        <v>1947</v>
      </c>
      <c r="Q2278" s="15"/>
      <c r="R2278" s="15" t="s">
        <v>21144</v>
      </c>
      <c r="S2278" s="24" t="s">
        <v>39</v>
      </c>
      <c r="T2278" s="24" t="s">
        <v>39</v>
      </c>
      <c r="U2278" s="24" t="s">
        <v>39</v>
      </c>
      <c r="V2278" s="24" t="s">
        <v>39</v>
      </c>
      <c r="W2278" s="24" t="s">
        <v>10522</v>
      </c>
      <c r="X2278" s="24" t="s">
        <v>10523</v>
      </c>
      <c r="Y2278" s="15" t="s">
        <v>10524</v>
      </c>
      <c r="Z2278" s="15" t="s">
        <v>10525</v>
      </c>
      <c r="AA2278" s="24"/>
      <c r="AB2278" s="24"/>
      <c r="AC2278" s="24"/>
      <c r="AD2278" s="24"/>
      <c r="AE2278" s="24"/>
      <c r="AF2278" s="24"/>
      <c r="AG2278" s="24"/>
      <c r="AH2278" s="24"/>
    </row>
    <row r="2279" spans="1:34" ht="90" x14ac:dyDescent="0.25">
      <c r="A2279" s="24" t="str">
        <f>HYPERLINK("https://www.cpso.on.ca/DoctorDetails/Susan-Karen-Hershkop/0116934-70327","Hershkop, Susan Karen")</f>
        <v>Hershkop, Susan Karen</v>
      </c>
      <c r="B2279" s="25" t="s">
        <v>21145</v>
      </c>
      <c r="C2279" s="24" t="s">
        <v>21146</v>
      </c>
      <c r="D2279" s="24" t="s">
        <v>21147</v>
      </c>
      <c r="E2279" s="24" t="s">
        <v>29</v>
      </c>
      <c r="F2279" s="24" t="s">
        <v>47</v>
      </c>
      <c r="G2279" s="24" t="s">
        <v>31</v>
      </c>
      <c r="H2279" s="24" t="s">
        <v>1107</v>
      </c>
      <c r="I2279" s="24" t="s">
        <v>21148</v>
      </c>
      <c r="J2279" s="24" t="s">
        <v>21149</v>
      </c>
      <c r="K2279" s="24" t="s">
        <v>6537</v>
      </c>
      <c r="L2279" s="24" t="s">
        <v>52</v>
      </c>
      <c r="M2279" s="15" t="s">
        <v>21150</v>
      </c>
      <c r="N2279" s="15"/>
      <c r="O2279" s="15" t="s">
        <v>1397</v>
      </c>
      <c r="P2279" s="15" t="s">
        <v>21151</v>
      </c>
      <c r="Q2279" s="15" t="s">
        <v>21152</v>
      </c>
      <c r="R2279" s="15" t="s">
        <v>21153</v>
      </c>
      <c r="S2279" s="24" t="s">
        <v>39</v>
      </c>
      <c r="T2279" s="24" t="s">
        <v>39</v>
      </c>
      <c r="U2279" s="24" t="s">
        <v>39</v>
      </c>
      <c r="V2279" s="24" t="s">
        <v>39</v>
      </c>
      <c r="W2279" s="24"/>
      <c r="X2279" s="24"/>
      <c r="Y2279" s="15"/>
      <c r="Z2279" s="15"/>
      <c r="AA2279" s="24"/>
      <c r="AB2279" s="24"/>
      <c r="AC2279" s="24"/>
      <c r="AD2279" s="24"/>
      <c r="AE2279" s="24"/>
      <c r="AF2279" s="24"/>
      <c r="AG2279" s="24"/>
      <c r="AH2279" s="24"/>
    </row>
    <row r="2280" spans="1:34" ht="75" x14ac:dyDescent="0.25">
      <c r="A2280" s="24" t="str">
        <f>HYPERLINK("https://www.cpso.on.ca/DoctorDetails/Susan-Lee-Franchuk/0297664-104556","Franchuk, Susan Lee")</f>
        <v>Franchuk, Susan Lee</v>
      </c>
      <c r="B2280" s="25" t="s">
        <v>21154</v>
      </c>
      <c r="C2280" s="24" t="s">
        <v>2664</v>
      </c>
      <c r="D2280" s="24" t="s">
        <v>19463</v>
      </c>
      <c r="E2280" s="24" t="s">
        <v>29</v>
      </c>
      <c r="F2280" s="24" t="s">
        <v>47</v>
      </c>
      <c r="G2280" s="24" t="s">
        <v>31</v>
      </c>
      <c r="H2280" s="24" t="s">
        <v>1289</v>
      </c>
      <c r="I2280" s="24" t="s">
        <v>9238</v>
      </c>
      <c r="J2280" s="24" t="s">
        <v>1262</v>
      </c>
      <c r="K2280" s="24"/>
      <c r="L2280" s="24" t="s">
        <v>52</v>
      </c>
      <c r="M2280" s="15"/>
      <c r="N2280" s="15"/>
      <c r="O2280" s="15"/>
      <c r="P2280" s="15" t="s">
        <v>205</v>
      </c>
      <c r="Q2280" s="15" t="s">
        <v>21155</v>
      </c>
      <c r="R2280" s="15" t="s">
        <v>21156</v>
      </c>
      <c r="S2280" s="24" t="s">
        <v>39</v>
      </c>
      <c r="T2280" s="24" t="s">
        <v>39</v>
      </c>
      <c r="U2280" s="24" t="s">
        <v>39</v>
      </c>
      <c r="V2280" s="24" t="s">
        <v>39</v>
      </c>
      <c r="W2280" s="24"/>
      <c r="X2280" s="24"/>
      <c r="Y2280" s="15"/>
      <c r="Z2280" s="15"/>
      <c r="AA2280" s="24"/>
      <c r="AB2280" s="24"/>
      <c r="AC2280" s="24"/>
      <c r="AD2280" s="24"/>
      <c r="AE2280" s="24"/>
      <c r="AF2280" s="24"/>
      <c r="AG2280" s="24"/>
      <c r="AH2280" s="24"/>
    </row>
    <row r="2281" spans="1:34" ht="75" x14ac:dyDescent="0.25">
      <c r="A2281" s="24" t="str">
        <f>HYPERLINK("https://www.cpso.on.ca/DoctorDetails/Susan-Leslie-Bishop/0048697-62675","Bishop, Susan Leslie")</f>
        <v>Bishop, Susan Leslie</v>
      </c>
      <c r="B2281" s="25" t="s">
        <v>21157</v>
      </c>
      <c r="C2281" s="24" t="s">
        <v>1954</v>
      </c>
      <c r="D2281" s="24" t="s">
        <v>21158</v>
      </c>
      <c r="E2281" s="24" t="s">
        <v>29</v>
      </c>
      <c r="F2281" s="24" t="s">
        <v>47</v>
      </c>
      <c r="G2281" s="24" t="s">
        <v>31</v>
      </c>
      <c r="H2281" s="24" t="s">
        <v>6276</v>
      </c>
      <c r="I2281" s="24" t="s">
        <v>21159</v>
      </c>
      <c r="J2281" s="24" t="s">
        <v>21160</v>
      </c>
      <c r="K2281" s="24"/>
      <c r="L2281" s="24" t="s">
        <v>52</v>
      </c>
      <c r="M2281" s="15"/>
      <c r="N2281" s="15"/>
      <c r="O2281" s="15"/>
      <c r="P2281" s="15" t="s">
        <v>169</v>
      </c>
      <c r="Q2281" s="15" t="s">
        <v>6281</v>
      </c>
      <c r="R2281" s="15" t="s">
        <v>21161</v>
      </c>
      <c r="S2281" s="24" t="s">
        <v>39</v>
      </c>
      <c r="T2281" s="24" t="s">
        <v>39</v>
      </c>
      <c r="U2281" s="24" t="s">
        <v>39</v>
      </c>
      <c r="V2281" s="24" t="s">
        <v>39</v>
      </c>
      <c r="W2281" s="24" t="s">
        <v>21162</v>
      </c>
      <c r="X2281" s="24" t="s">
        <v>9123</v>
      </c>
      <c r="Y2281" s="15" t="s">
        <v>21163</v>
      </c>
      <c r="Z2281" s="15" t="s">
        <v>21164</v>
      </c>
      <c r="AA2281" s="24"/>
      <c r="AB2281" s="24"/>
      <c r="AC2281" s="24"/>
      <c r="AD2281" s="24"/>
      <c r="AE2281" s="24"/>
      <c r="AF2281" s="24"/>
      <c r="AG2281" s="24"/>
      <c r="AH2281" s="24"/>
    </row>
    <row r="2282" spans="1:34" ht="135" x14ac:dyDescent="0.25">
      <c r="A2282" s="24" t="str">
        <f>HYPERLINK("https://www.cpso.on.ca/DoctorDetails/Susan-Mary-Ann-McNair/0266012-93307","McNair, Susan Mary Ann")</f>
        <v>McNair, Susan Mary Ann</v>
      </c>
      <c r="B2282" s="25" t="s">
        <v>21165</v>
      </c>
      <c r="C2282" s="24" t="s">
        <v>21166</v>
      </c>
      <c r="D2282" s="24" t="s">
        <v>21167</v>
      </c>
      <c r="E2282" s="24" t="s">
        <v>29</v>
      </c>
      <c r="F2282" s="24" t="s">
        <v>47</v>
      </c>
      <c r="G2282" s="24" t="s">
        <v>31</v>
      </c>
      <c r="H2282" s="24" t="s">
        <v>2645</v>
      </c>
      <c r="I2282" s="24" t="s">
        <v>21168</v>
      </c>
      <c r="J2282" s="24" t="s">
        <v>21169</v>
      </c>
      <c r="K2282" s="24" t="s">
        <v>10227</v>
      </c>
      <c r="L2282" s="24" t="s">
        <v>184</v>
      </c>
      <c r="M2282" s="15"/>
      <c r="N2282" s="15"/>
      <c r="O2282" s="15" t="s">
        <v>1135</v>
      </c>
      <c r="P2282" s="15" t="s">
        <v>21170</v>
      </c>
      <c r="Q2282" s="15" t="s">
        <v>21171</v>
      </c>
      <c r="R2282" s="15" t="s">
        <v>21172</v>
      </c>
      <c r="S2282" s="24" t="s">
        <v>39</v>
      </c>
      <c r="T2282" s="24" t="s">
        <v>39</v>
      </c>
      <c r="U2282" s="24" t="s">
        <v>39</v>
      </c>
      <c r="V2282" s="24" t="s">
        <v>39</v>
      </c>
      <c r="W2282" s="24"/>
      <c r="X2282" s="24"/>
      <c r="Y2282" s="15"/>
      <c r="Z2282" s="15"/>
      <c r="AA2282" s="24"/>
      <c r="AB2282" s="24"/>
      <c r="AC2282" s="24"/>
      <c r="AD2282" s="24"/>
      <c r="AE2282" s="24"/>
      <c r="AF2282" s="24"/>
      <c r="AG2282" s="24"/>
      <c r="AH2282" s="24"/>
    </row>
    <row r="2283" spans="1:34" ht="30" x14ac:dyDescent="0.25">
      <c r="A2283" s="24" t="str">
        <f>HYPERLINK("https://www.cpso.on.ca/DoctorDetails/Sushama-Pendharkar/0027942-32765","Pendharkar, Sushama")</f>
        <v>Pendharkar, Sushama</v>
      </c>
      <c r="B2283" s="25" t="s">
        <v>21173</v>
      </c>
      <c r="C2283" s="24" t="s">
        <v>21174</v>
      </c>
      <c r="D2283" s="24" t="s">
        <v>18044</v>
      </c>
      <c r="E2283" s="24" t="s">
        <v>29</v>
      </c>
      <c r="F2283" s="24" t="s">
        <v>47</v>
      </c>
      <c r="G2283" s="24" t="s">
        <v>2248</v>
      </c>
      <c r="H2283" s="24" t="s">
        <v>21175</v>
      </c>
      <c r="I2283" s="24" t="s">
        <v>21176</v>
      </c>
      <c r="J2283" s="24" t="s">
        <v>21177</v>
      </c>
      <c r="K2283" s="24" t="s">
        <v>21178</v>
      </c>
      <c r="L2283" s="24" t="s">
        <v>36</v>
      </c>
      <c r="M2283" s="15"/>
      <c r="N2283" s="15"/>
      <c r="O2283" s="15" t="s">
        <v>653</v>
      </c>
      <c r="P2283" s="15" t="s">
        <v>1842</v>
      </c>
      <c r="Q2283" s="15" t="s">
        <v>21179</v>
      </c>
      <c r="R2283" s="15" t="s">
        <v>21180</v>
      </c>
      <c r="S2283" s="24" t="s">
        <v>39</v>
      </c>
      <c r="T2283" s="24" t="s">
        <v>39</v>
      </c>
      <c r="U2283" s="24" t="s">
        <v>39</v>
      </c>
      <c r="V2283" s="24" t="s">
        <v>39</v>
      </c>
      <c r="W2283" s="24" t="s">
        <v>18048</v>
      </c>
      <c r="X2283" s="24" t="s">
        <v>18049</v>
      </c>
      <c r="Y2283" s="15" t="s">
        <v>18050</v>
      </c>
      <c r="Z2283" s="15" t="s">
        <v>18051</v>
      </c>
      <c r="AA2283" s="24"/>
      <c r="AB2283" s="24"/>
      <c r="AC2283" s="24"/>
      <c r="AD2283" s="24"/>
      <c r="AE2283" s="24"/>
      <c r="AF2283" s="24"/>
      <c r="AG2283" s="24"/>
      <c r="AH2283" s="24"/>
    </row>
    <row r="2284" spans="1:34" ht="45" x14ac:dyDescent="0.25">
      <c r="A2284" s="24" t="str">
        <f>HYPERLINK("https://www.cpso.on.ca/DoctorDetails/Suvercha-Pasricha/0146275-71942","Pasricha, Suvercha")</f>
        <v>Pasricha, Suvercha</v>
      </c>
      <c r="B2284" s="25" t="s">
        <v>21181</v>
      </c>
      <c r="C2284" s="24" t="s">
        <v>21182</v>
      </c>
      <c r="D2284" s="24" t="s">
        <v>21183</v>
      </c>
      <c r="E2284" s="24" t="s">
        <v>29</v>
      </c>
      <c r="F2284" s="24" t="s">
        <v>47</v>
      </c>
      <c r="G2284" s="24" t="s">
        <v>131</v>
      </c>
      <c r="H2284" s="24" t="s">
        <v>21184</v>
      </c>
      <c r="I2284" s="24" t="s">
        <v>21185</v>
      </c>
      <c r="J2284" s="24" t="s">
        <v>21186</v>
      </c>
      <c r="K2284" s="24" t="s">
        <v>792</v>
      </c>
      <c r="L2284" s="24" t="s">
        <v>52</v>
      </c>
      <c r="M2284" s="15"/>
      <c r="N2284" s="15"/>
      <c r="O2284" s="15" t="s">
        <v>793</v>
      </c>
      <c r="P2284" s="15" t="s">
        <v>303</v>
      </c>
      <c r="Q2284" s="15" t="s">
        <v>21187</v>
      </c>
      <c r="R2284" s="15" t="s">
        <v>21188</v>
      </c>
      <c r="S2284" s="24" t="s">
        <v>39</v>
      </c>
      <c r="T2284" s="24" t="s">
        <v>39</v>
      </c>
      <c r="U2284" s="24" t="s">
        <v>39</v>
      </c>
      <c r="V2284" s="24" t="s">
        <v>39</v>
      </c>
      <c r="W2284" s="24"/>
      <c r="X2284" s="24"/>
      <c r="Y2284" s="15"/>
      <c r="Z2284" s="15"/>
      <c r="AA2284" s="24"/>
      <c r="AB2284" s="24"/>
      <c r="AC2284" s="24"/>
      <c r="AD2284" s="24"/>
      <c r="AE2284" s="24"/>
      <c r="AF2284" s="24"/>
      <c r="AG2284" s="24"/>
      <c r="AH2284" s="24"/>
    </row>
    <row r="2285" spans="1:34" x14ac:dyDescent="0.25">
      <c r="A2285" s="24" t="str">
        <f>HYPERLINK("https://www.cpso.on.ca/DoctorDetails/Suzanne-Duchen/0041188-55164","Duchen, Suzanne")</f>
        <v>Duchen, Suzanne</v>
      </c>
      <c r="B2285" s="25" t="s">
        <v>21189</v>
      </c>
      <c r="C2285" s="24" t="s">
        <v>21190</v>
      </c>
      <c r="D2285" s="24" t="s">
        <v>21191</v>
      </c>
      <c r="E2285" s="24" t="s">
        <v>29</v>
      </c>
      <c r="F2285" s="24" t="s">
        <v>47</v>
      </c>
      <c r="G2285" s="24" t="s">
        <v>31</v>
      </c>
      <c r="H2285" s="24" t="s">
        <v>21192</v>
      </c>
      <c r="I2285" s="24" t="s">
        <v>21193</v>
      </c>
      <c r="J2285" s="24" t="s">
        <v>21194</v>
      </c>
      <c r="K2285" s="24" t="s">
        <v>21195</v>
      </c>
      <c r="L2285" s="24" t="s">
        <v>52</v>
      </c>
      <c r="M2285" s="15" t="s">
        <v>21196</v>
      </c>
      <c r="N2285" s="15"/>
      <c r="O2285" s="15"/>
      <c r="P2285" s="15" t="s">
        <v>5402</v>
      </c>
      <c r="Q2285" s="15" t="s">
        <v>21197</v>
      </c>
      <c r="R2285" s="15" t="s">
        <v>21198</v>
      </c>
      <c r="S2285" s="24" t="s">
        <v>39</v>
      </c>
      <c r="T2285" s="24" t="s">
        <v>39</v>
      </c>
      <c r="U2285" s="24" t="s">
        <v>39</v>
      </c>
      <c r="V2285" s="24" t="s">
        <v>39</v>
      </c>
      <c r="W2285" s="24"/>
      <c r="X2285" s="24"/>
      <c r="Y2285" s="15"/>
      <c r="Z2285" s="15"/>
      <c r="AA2285" s="24"/>
      <c r="AB2285" s="24"/>
      <c r="AC2285" s="24"/>
      <c r="AD2285" s="24"/>
      <c r="AE2285" s="24"/>
      <c r="AF2285" s="24"/>
      <c r="AG2285" s="24"/>
      <c r="AH2285" s="24"/>
    </row>
    <row r="2286" spans="1:34" ht="75" x14ac:dyDescent="0.25">
      <c r="A2286" s="24" t="str">
        <f>HYPERLINK("https://www.cpso.on.ca/DoctorDetails/Suzanne-Joan-McKay/0041869-55845","McKay, Suzanne Joan")</f>
        <v>McKay, Suzanne Joan</v>
      </c>
      <c r="B2286" s="25" t="s">
        <v>21199</v>
      </c>
      <c r="C2286" s="24" t="s">
        <v>2902</v>
      </c>
      <c r="D2286" s="24" t="s">
        <v>21200</v>
      </c>
      <c r="E2286" s="24" t="s">
        <v>29</v>
      </c>
      <c r="F2286" s="24" t="s">
        <v>47</v>
      </c>
      <c r="G2286" s="24" t="s">
        <v>31</v>
      </c>
      <c r="H2286" s="24" t="s">
        <v>5183</v>
      </c>
      <c r="I2286" s="24" t="s">
        <v>21201</v>
      </c>
      <c r="J2286" s="24" t="s">
        <v>21202</v>
      </c>
      <c r="K2286" s="24" t="s">
        <v>21203</v>
      </c>
      <c r="L2286" s="24" t="s">
        <v>84</v>
      </c>
      <c r="M2286" s="15"/>
      <c r="N2286" s="15"/>
      <c r="O2286" s="15"/>
      <c r="P2286" s="15" t="s">
        <v>21204</v>
      </c>
      <c r="Q2286" s="15" t="s">
        <v>21205</v>
      </c>
      <c r="R2286" s="15" t="s">
        <v>21206</v>
      </c>
      <c r="S2286" s="24" t="s">
        <v>39</v>
      </c>
      <c r="T2286" s="24" t="s">
        <v>39</v>
      </c>
      <c r="U2286" s="24" t="s">
        <v>39</v>
      </c>
      <c r="V2286" s="24" t="s">
        <v>39</v>
      </c>
      <c r="W2286" s="24"/>
      <c r="X2286" s="24"/>
      <c r="Y2286" s="15"/>
      <c r="Z2286" s="15"/>
      <c r="AA2286" s="24"/>
      <c r="AB2286" s="24"/>
      <c r="AC2286" s="24"/>
      <c r="AD2286" s="24"/>
      <c r="AE2286" s="24"/>
      <c r="AF2286" s="24"/>
      <c r="AG2286" s="24"/>
      <c r="AH2286" s="24"/>
    </row>
    <row r="2287" spans="1:34" ht="60" x14ac:dyDescent="0.25">
      <c r="A2287" s="24" t="str">
        <f>HYPERLINK("https://www.cpso.on.ca/DoctorDetails/Suzanne-Marguerite-Allain/0045348-59326","Allain, Suzanne Marguerite")</f>
        <v>Allain, Suzanne Marguerite</v>
      </c>
      <c r="B2287" s="25" t="s">
        <v>21207</v>
      </c>
      <c r="C2287" s="24" t="s">
        <v>21208</v>
      </c>
      <c r="D2287" s="24" t="s">
        <v>21209</v>
      </c>
      <c r="E2287" s="24" t="s">
        <v>29</v>
      </c>
      <c r="F2287" s="24" t="s">
        <v>47</v>
      </c>
      <c r="G2287" s="24" t="s">
        <v>813</v>
      </c>
      <c r="H2287" s="24" t="s">
        <v>2288</v>
      </c>
      <c r="I2287" s="24" t="s">
        <v>21210</v>
      </c>
      <c r="J2287" s="24" t="s">
        <v>12959</v>
      </c>
      <c r="K2287" s="24" t="s">
        <v>21211</v>
      </c>
      <c r="L2287" s="24" t="s">
        <v>3849</v>
      </c>
      <c r="M2287" s="15" t="s">
        <v>21212</v>
      </c>
      <c r="N2287" s="15"/>
      <c r="O2287" s="15" t="s">
        <v>4262</v>
      </c>
      <c r="P2287" s="15" t="s">
        <v>2293</v>
      </c>
      <c r="Q2287" s="15"/>
      <c r="R2287" s="15" t="s">
        <v>21213</v>
      </c>
      <c r="S2287" s="24" t="s">
        <v>39</v>
      </c>
      <c r="T2287" s="24" t="s">
        <v>39</v>
      </c>
      <c r="U2287" s="24" t="s">
        <v>39</v>
      </c>
      <c r="V2287" s="24" t="s">
        <v>39</v>
      </c>
      <c r="W2287" s="24" t="s">
        <v>21214</v>
      </c>
      <c r="X2287" s="24" t="s">
        <v>21215</v>
      </c>
      <c r="Y2287" s="15" t="s">
        <v>21216</v>
      </c>
      <c r="Z2287" s="15" t="s">
        <v>21217</v>
      </c>
      <c r="AA2287" s="24"/>
      <c r="AB2287" s="24"/>
      <c r="AC2287" s="24"/>
      <c r="AD2287" s="24"/>
      <c r="AE2287" s="24"/>
      <c r="AF2287" s="24"/>
      <c r="AG2287" s="24"/>
      <c r="AH2287" s="24"/>
    </row>
    <row r="2288" spans="1:34" ht="75" x14ac:dyDescent="0.25">
      <c r="A2288" s="24" t="str">
        <f>HYPERLINK("https://www.cpso.on.ca/DoctorDetails/Suzanne-Marie-Archie/0044111-58089","Archie, Suzanne Marie")</f>
        <v>Archie, Suzanne Marie</v>
      </c>
      <c r="B2288" s="25" t="s">
        <v>21218</v>
      </c>
      <c r="C2288" s="24" t="s">
        <v>1609</v>
      </c>
      <c r="D2288" s="24" t="s">
        <v>19130</v>
      </c>
      <c r="E2288" s="24" t="s">
        <v>29</v>
      </c>
      <c r="F2288" s="24" t="s">
        <v>47</v>
      </c>
      <c r="G2288" s="24" t="s">
        <v>31</v>
      </c>
      <c r="H2288" s="24" t="s">
        <v>1981</v>
      </c>
      <c r="I2288" s="24" t="s">
        <v>21219</v>
      </c>
      <c r="J2288" s="24" t="s">
        <v>15898</v>
      </c>
      <c r="K2288" s="24" t="s">
        <v>15899</v>
      </c>
      <c r="L2288" s="24" t="s">
        <v>184</v>
      </c>
      <c r="M2288" s="15"/>
      <c r="N2288" s="15"/>
      <c r="O2288" s="15" t="s">
        <v>21220</v>
      </c>
      <c r="P2288" s="15" t="s">
        <v>1984</v>
      </c>
      <c r="Q2288" s="15" t="s">
        <v>21221</v>
      </c>
      <c r="R2288" s="15" t="s">
        <v>21222</v>
      </c>
      <c r="S2288" s="24" t="s">
        <v>39</v>
      </c>
      <c r="T2288" s="24" t="s">
        <v>39</v>
      </c>
      <c r="U2288" s="24" t="s">
        <v>39</v>
      </c>
      <c r="V2288" s="24" t="s">
        <v>39</v>
      </c>
      <c r="W2288" s="24" t="s">
        <v>21223</v>
      </c>
      <c r="X2288" s="24" t="s">
        <v>8147</v>
      </c>
      <c r="Y2288" s="15" t="s">
        <v>21224</v>
      </c>
      <c r="Z2288" s="15" t="s">
        <v>21225</v>
      </c>
      <c r="AA2288" s="24"/>
      <c r="AB2288" s="24"/>
      <c r="AC2288" s="24"/>
      <c r="AD2288" s="24"/>
      <c r="AE2288" s="24"/>
      <c r="AF2288" s="24"/>
      <c r="AG2288" s="24"/>
      <c r="AH2288" s="24"/>
    </row>
    <row r="2289" spans="1:34" ht="105" x14ac:dyDescent="0.25">
      <c r="A2289" s="24" t="str">
        <f>HYPERLINK("https://www.cpso.on.ca/DoctorDetails/Suzanne-Nicole-Ettie/0281036-97668","Ettie, Suzanne Nicole")</f>
        <v>Ettie, Suzanne Nicole</v>
      </c>
      <c r="B2289" s="25" t="s">
        <v>21226</v>
      </c>
      <c r="C2289" s="24" t="s">
        <v>544</v>
      </c>
      <c r="D2289" s="24" t="s">
        <v>21227</v>
      </c>
      <c r="E2289" s="24" t="s">
        <v>29</v>
      </c>
      <c r="F2289" s="24" t="s">
        <v>47</v>
      </c>
      <c r="G2289" s="24" t="s">
        <v>31</v>
      </c>
      <c r="H2289" s="24" t="s">
        <v>11771</v>
      </c>
      <c r="I2289" s="24" t="s">
        <v>353</v>
      </c>
      <c r="J2289" s="24" t="s">
        <v>21228</v>
      </c>
      <c r="K2289" s="24"/>
      <c r="L2289" s="24" t="s">
        <v>52</v>
      </c>
      <c r="M2289" s="15"/>
      <c r="N2289" s="15"/>
      <c r="O2289" s="15"/>
      <c r="P2289" s="15" t="s">
        <v>550</v>
      </c>
      <c r="Q2289" s="15" t="s">
        <v>21229</v>
      </c>
      <c r="R2289" s="15" t="s">
        <v>21230</v>
      </c>
      <c r="S2289" s="24" t="s">
        <v>39</v>
      </c>
      <c r="T2289" s="24" t="s">
        <v>39</v>
      </c>
      <c r="U2289" s="24" t="s">
        <v>39</v>
      </c>
      <c r="V2289" s="24" t="s">
        <v>39</v>
      </c>
      <c r="W2289" s="24"/>
      <c r="X2289" s="24"/>
      <c r="Y2289" s="15"/>
      <c r="Z2289" s="15"/>
      <c r="AA2289" s="24"/>
      <c r="AB2289" s="24"/>
      <c r="AC2289" s="24"/>
      <c r="AD2289" s="24"/>
      <c r="AE2289" s="24"/>
      <c r="AF2289" s="24"/>
      <c r="AG2289" s="24"/>
      <c r="AH2289" s="24"/>
    </row>
    <row r="2290" spans="1:34" ht="120" x14ac:dyDescent="0.25">
      <c r="A2290" s="24" t="str">
        <f>HYPERLINK("https://www.cpso.on.ca/DoctorDetails/Svetlana-Milenkovic/0050307-64286","Milenkovic, Svetlana")</f>
        <v>Milenkovic, Svetlana</v>
      </c>
      <c r="B2290" s="25" t="s">
        <v>21231</v>
      </c>
      <c r="C2290" s="24" t="s">
        <v>21232</v>
      </c>
      <c r="D2290" s="24" t="s">
        <v>1766</v>
      </c>
      <c r="E2290" s="24" t="s">
        <v>29</v>
      </c>
      <c r="F2290" s="24" t="s">
        <v>47</v>
      </c>
      <c r="G2290" s="24" t="s">
        <v>5822</v>
      </c>
      <c r="H2290" s="24" t="s">
        <v>6357</v>
      </c>
      <c r="I2290" s="24" t="s">
        <v>21233</v>
      </c>
      <c r="J2290" s="24" t="s">
        <v>21234</v>
      </c>
      <c r="K2290" s="24" t="s">
        <v>21235</v>
      </c>
      <c r="L2290" s="24" t="s">
        <v>52</v>
      </c>
      <c r="M2290" s="15"/>
      <c r="N2290" s="15"/>
      <c r="O2290" s="15"/>
      <c r="P2290" s="15" t="s">
        <v>3220</v>
      </c>
      <c r="Q2290" s="15" t="s">
        <v>21236</v>
      </c>
      <c r="R2290" s="15" t="s">
        <v>21237</v>
      </c>
      <c r="S2290" s="24" t="s">
        <v>39</v>
      </c>
      <c r="T2290" s="24" t="s">
        <v>39</v>
      </c>
      <c r="U2290" s="24" t="s">
        <v>39</v>
      </c>
      <c r="V2290" s="24" t="s">
        <v>39</v>
      </c>
      <c r="W2290" s="24" t="s">
        <v>21238</v>
      </c>
      <c r="X2290" s="24" t="s">
        <v>21239</v>
      </c>
      <c r="Y2290" s="15" t="s">
        <v>21240</v>
      </c>
      <c r="Z2290" s="15" t="s">
        <v>21241</v>
      </c>
      <c r="AA2290" s="24"/>
      <c r="AB2290" s="24"/>
      <c r="AC2290" s="24"/>
      <c r="AD2290" s="24"/>
      <c r="AE2290" s="24"/>
      <c r="AF2290" s="24"/>
      <c r="AG2290" s="24"/>
      <c r="AH2290" s="24"/>
    </row>
    <row r="2291" spans="1:34" ht="30" x14ac:dyDescent="0.25">
      <c r="A2291" s="24" t="str">
        <f>HYPERLINK("https://www.cpso.on.ca/DoctorDetails/Svetlana-Nikolaevna-Kotin/0271757-96754","Kotin, Svetlana Nikolaevna")</f>
        <v>Kotin, Svetlana Nikolaevna</v>
      </c>
      <c r="B2291" s="25" t="s">
        <v>21242</v>
      </c>
      <c r="C2291" s="24" t="s">
        <v>21243</v>
      </c>
      <c r="D2291" s="24" t="s">
        <v>21244</v>
      </c>
      <c r="E2291" s="24" t="s">
        <v>29</v>
      </c>
      <c r="F2291" s="24" t="s">
        <v>47</v>
      </c>
      <c r="G2291" s="24" t="s">
        <v>9144</v>
      </c>
      <c r="H2291" s="24" t="s">
        <v>21245</v>
      </c>
      <c r="I2291" s="24" t="s">
        <v>21246</v>
      </c>
      <c r="J2291" s="24" t="s">
        <v>2716</v>
      </c>
      <c r="K2291" s="24"/>
      <c r="L2291" s="24" t="s">
        <v>135</v>
      </c>
      <c r="M2291" s="15"/>
      <c r="N2291" s="15"/>
      <c r="O2291" s="15" t="s">
        <v>21247</v>
      </c>
      <c r="P2291" s="15" t="s">
        <v>21248</v>
      </c>
      <c r="Q2291" s="15"/>
      <c r="R2291" s="15" t="s">
        <v>21249</v>
      </c>
      <c r="S2291" s="24" t="s">
        <v>39</v>
      </c>
      <c r="T2291" s="24" t="s">
        <v>39</v>
      </c>
      <c r="U2291" s="24" t="s">
        <v>39</v>
      </c>
      <c r="V2291" s="24" t="s">
        <v>39</v>
      </c>
      <c r="W2291" s="24"/>
      <c r="X2291" s="24"/>
      <c r="Y2291" s="15"/>
      <c r="Z2291" s="15"/>
      <c r="AA2291" s="24"/>
      <c r="AB2291" s="24"/>
      <c r="AC2291" s="24"/>
      <c r="AD2291" s="24"/>
      <c r="AE2291" s="24"/>
      <c r="AF2291" s="24"/>
      <c r="AG2291" s="24"/>
      <c r="AH2291" s="24"/>
    </row>
    <row r="2292" spans="1:34" ht="45" x14ac:dyDescent="0.25">
      <c r="A2292" s="24" t="str">
        <f>HYPERLINK("https://www.cpso.on.ca/DoctorDetails/Svetlana-Vladislavovna-Emelianova/0154875-73143","Emelianova, Svetlana Vladislavovna")</f>
        <v>Emelianova, Svetlana Vladislavovna</v>
      </c>
      <c r="B2292" s="25" t="s">
        <v>21250</v>
      </c>
      <c r="C2292" s="24" t="s">
        <v>21251</v>
      </c>
      <c r="D2292" s="24" t="s">
        <v>21252</v>
      </c>
      <c r="E2292" s="24" t="s">
        <v>29</v>
      </c>
      <c r="F2292" s="24" t="s">
        <v>47</v>
      </c>
      <c r="G2292" s="24" t="s">
        <v>31</v>
      </c>
      <c r="H2292" s="24" t="s">
        <v>21253</v>
      </c>
      <c r="I2292" s="24" t="s">
        <v>21254</v>
      </c>
      <c r="J2292" s="24" t="s">
        <v>21255</v>
      </c>
      <c r="K2292" s="24" t="s">
        <v>770</v>
      </c>
      <c r="L2292" s="24" t="s">
        <v>52</v>
      </c>
      <c r="M2292" s="15"/>
      <c r="N2292" s="15"/>
      <c r="O2292" s="15" t="s">
        <v>3112</v>
      </c>
      <c r="P2292" s="15" t="s">
        <v>1239</v>
      </c>
      <c r="Q2292" s="15" t="s">
        <v>21256</v>
      </c>
      <c r="R2292" s="15" t="s">
        <v>21257</v>
      </c>
      <c r="S2292" s="24" t="s">
        <v>39</v>
      </c>
      <c r="T2292" s="24" t="s">
        <v>39</v>
      </c>
      <c r="U2292" s="24" t="s">
        <v>39</v>
      </c>
      <c r="V2292" s="24" t="s">
        <v>39</v>
      </c>
      <c r="W2292" s="24" t="s">
        <v>21258</v>
      </c>
      <c r="X2292" s="24" t="s">
        <v>21259</v>
      </c>
      <c r="Y2292" s="15" t="s">
        <v>21260</v>
      </c>
      <c r="Z2292" s="15" t="s">
        <v>21261</v>
      </c>
      <c r="AA2292" s="24"/>
      <c r="AB2292" s="24"/>
      <c r="AC2292" s="24"/>
      <c r="AD2292" s="24"/>
      <c r="AE2292" s="24"/>
      <c r="AF2292" s="24"/>
      <c r="AG2292" s="24"/>
      <c r="AH2292" s="24"/>
    </row>
    <row r="2293" spans="1:34" ht="75" x14ac:dyDescent="0.25">
      <c r="A2293" s="24" t="str">
        <f>HYPERLINK("https://www.cpso.on.ca/DoctorDetails/Svitlana-Vitaliyivna-Rusalovska/0264550-92614","Rusalovs'ka, Svitlana Vitaliyivna")</f>
        <v>Rusalovs'ka, Svitlana Vitaliyivna</v>
      </c>
      <c r="B2293" s="25" t="s">
        <v>21262</v>
      </c>
      <c r="C2293" s="24" t="s">
        <v>21263</v>
      </c>
      <c r="D2293" s="24" t="s">
        <v>21264</v>
      </c>
      <c r="E2293" s="24" t="s">
        <v>29</v>
      </c>
      <c r="F2293" s="24" t="s">
        <v>47</v>
      </c>
      <c r="G2293" s="24" t="s">
        <v>1647</v>
      </c>
      <c r="H2293" s="24" t="s">
        <v>21265</v>
      </c>
      <c r="I2293" s="24" t="s">
        <v>21266</v>
      </c>
      <c r="J2293" s="24" t="s">
        <v>21267</v>
      </c>
      <c r="K2293" s="24" t="s">
        <v>21268</v>
      </c>
      <c r="L2293" s="24" t="s">
        <v>84</v>
      </c>
      <c r="M2293" s="15"/>
      <c r="N2293" s="15"/>
      <c r="O2293" s="15"/>
      <c r="P2293" s="15" t="s">
        <v>5113</v>
      </c>
      <c r="Q2293" s="15" t="s">
        <v>21269</v>
      </c>
      <c r="R2293" s="15" t="s">
        <v>21270</v>
      </c>
      <c r="S2293" s="24" t="s">
        <v>39</v>
      </c>
      <c r="T2293" s="24" t="s">
        <v>39</v>
      </c>
      <c r="U2293" s="24" t="s">
        <v>39</v>
      </c>
      <c r="V2293" s="24" t="s">
        <v>39</v>
      </c>
      <c r="W2293" s="24" t="s">
        <v>21271</v>
      </c>
      <c r="X2293" s="24" t="s">
        <v>17276</v>
      </c>
      <c r="Y2293" s="15" t="s">
        <v>21272</v>
      </c>
      <c r="Z2293" s="15" t="s">
        <v>21273</v>
      </c>
      <c r="AA2293" s="24"/>
      <c r="AB2293" s="24"/>
      <c r="AC2293" s="24"/>
      <c r="AD2293" s="24"/>
      <c r="AE2293" s="24"/>
      <c r="AF2293" s="24"/>
      <c r="AG2293" s="24"/>
      <c r="AH2293" s="24"/>
    </row>
    <row r="2294" spans="1:34" ht="45" x14ac:dyDescent="0.25">
      <c r="A2294" s="24" t="str">
        <f>HYPERLINK("https://www.cpso.on.ca/DoctorDetails/Syed-Ahmad-Shah/0314414-112784","Shah, Syed Ahmad")</f>
        <v>Shah, Syed Ahmad</v>
      </c>
      <c r="B2294" s="25" t="s">
        <v>21274</v>
      </c>
      <c r="C2294" s="24" t="s">
        <v>21275</v>
      </c>
      <c r="D2294" s="24" t="s">
        <v>21276</v>
      </c>
      <c r="E2294" s="24" t="s">
        <v>29</v>
      </c>
      <c r="F2294" s="24" t="s">
        <v>30</v>
      </c>
      <c r="G2294" s="24" t="s">
        <v>8859</v>
      </c>
      <c r="H2294" s="24" t="s">
        <v>21277</v>
      </c>
      <c r="I2294" s="24" t="s">
        <v>21278</v>
      </c>
      <c r="J2294" s="24" t="s">
        <v>14691</v>
      </c>
      <c r="K2294" s="24"/>
      <c r="L2294" s="24" t="s">
        <v>152</v>
      </c>
      <c r="M2294" s="15"/>
      <c r="N2294" s="15" t="s">
        <v>21279</v>
      </c>
      <c r="O2294" s="15"/>
      <c r="P2294" s="15" t="s">
        <v>21280</v>
      </c>
      <c r="Q2294" s="15"/>
      <c r="R2294" s="15" t="s">
        <v>21281</v>
      </c>
      <c r="S2294" s="24" t="s">
        <v>71</v>
      </c>
      <c r="T2294" s="24" t="s">
        <v>39</v>
      </c>
      <c r="U2294" s="24" t="s">
        <v>39</v>
      </c>
      <c r="V2294" s="24" t="s">
        <v>39</v>
      </c>
      <c r="W2294" s="24" t="s">
        <v>21282</v>
      </c>
      <c r="X2294" s="24" t="s">
        <v>11836</v>
      </c>
      <c r="Y2294" s="15" t="s">
        <v>21283</v>
      </c>
      <c r="Z2294" s="15" t="s">
        <v>21284</v>
      </c>
      <c r="AA2294" s="24"/>
      <c r="AB2294" s="24"/>
      <c r="AC2294" s="24"/>
      <c r="AD2294" s="24"/>
      <c r="AE2294" s="24"/>
      <c r="AF2294" s="24"/>
      <c r="AG2294" s="24"/>
      <c r="AH2294" s="24"/>
    </row>
    <row r="2295" spans="1:34" x14ac:dyDescent="0.25">
      <c r="A2295" s="24" t="str">
        <f>HYPERLINK("https://www.cpso.on.ca/DoctorDetails/Syed-Anwar-Ahmed/0026354-31177","Ahmed, Syed Anwar")</f>
        <v>Ahmed, Syed Anwar</v>
      </c>
      <c r="B2295" s="25" t="s">
        <v>21285</v>
      </c>
      <c r="C2295" s="24" t="s">
        <v>21286</v>
      </c>
      <c r="D2295" s="24" t="s">
        <v>21287</v>
      </c>
      <c r="E2295" s="24" t="s">
        <v>29</v>
      </c>
      <c r="F2295" s="24" t="s">
        <v>30</v>
      </c>
      <c r="G2295" s="24" t="s">
        <v>1445</v>
      </c>
      <c r="H2295" s="24" t="s">
        <v>21288</v>
      </c>
      <c r="I2295" s="24" t="s">
        <v>21289</v>
      </c>
      <c r="J2295" s="24" t="s">
        <v>21290</v>
      </c>
      <c r="K2295" s="24" t="s">
        <v>21291</v>
      </c>
      <c r="L2295" s="24" t="s">
        <v>184</v>
      </c>
      <c r="M2295" s="15"/>
      <c r="N2295" s="15" t="s">
        <v>66</v>
      </c>
      <c r="O2295" s="15"/>
      <c r="P2295" s="15" t="s">
        <v>6946</v>
      </c>
      <c r="Q2295" s="15"/>
      <c r="R2295" s="15" t="s">
        <v>21292</v>
      </c>
      <c r="S2295" s="24" t="s">
        <v>39</v>
      </c>
      <c r="T2295" s="24" t="s">
        <v>39</v>
      </c>
      <c r="U2295" s="24" t="s">
        <v>39</v>
      </c>
      <c r="V2295" s="24" t="s">
        <v>39</v>
      </c>
      <c r="W2295" s="24"/>
      <c r="X2295" s="24"/>
      <c r="Y2295" s="15"/>
      <c r="Z2295" s="15"/>
      <c r="AA2295" s="24"/>
      <c r="AB2295" s="24"/>
      <c r="AC2295" s="24"/>
      <c r="AD2295" s="24"/>
      <c r="AE2295" s="24"/>
      <c r="AF2295" s="24"/>
      <c r="AG2295" s="24"/>
      <c r="AH2295" s="24"/>
    </row>
    <row r="2296" spans="1:34" ht="150" x14ac:dyDescent="0.25">
      <c r="A2296" s="24" t="str">
        <f>HYPERLINK("https://www.cpso.on.ca/DoctorDetails/Syed-Hashmatullah/0274218-102007","Hashmatullah, Syed")</f>
        <v>Hashmatullah, Syed</v>
      </c>
      <c r="B2296" s="25" t="s">
        <v>21293</v>
      </c>
      <c r="C2296" s="24" t="s">
        <v>15503</v>
      </c>
      <c r="D2296" s="24" t="s">
        <v>21294</v>
      </c>
      <c r="E2296" s="24" t="s">
        <v>29</v>
      </c>
      <c r="F2296" s="24" t="s">
        <v>30</v>
      </c>
      <c r="G2296" s="24" t="s">
        <v>79</v>
      </c>
      <c r="H2296" s="24" t="s">
        <v>15560</v>
      </c>
      <c r="I2296" s="24" t="s">
        <v>21295</v>
      </c>
      <c r="J2296" s="24" t="s">
        <v>14691</v>
      </c>
      <c r="K2296" s="24"/>
      <c r="L2296" s="24" t="s">
        <v>152</v>
      </c>
      <c r="M2296" s="15"/>
      <c r="N2296" s="15" t="s">
        <v>15536</v>
      </c>
      <c r="O2296" s="15"/>
      <c r="P2296" s="15" t="s">
        <v>21296</v>
      </c>
      <c r="Q2296" s="15"/>
      <c r="R2296" s="15" t="s">
        <v>21297</v>
      </c>
      <c r="S2296" s="24" t="s">
        <v>71</v>
      </c>
      <c r="T2296" s="24" t="s">
        <v>39</v>
      </c>
      <c r="U2296" s="24" t="s">
        <v>39</v>
      </c>
      <c r="V2296" s="24" t="s">
        <v>39</v>
      </c>
      <c r="W2296" s="24" t="s">
        <v>21298</v>
      </c>
      <c r="X2296" s="24" t="s">
        <v>21299</v>
      </c>
      <c r="Y2296" s="15" t="s">
        <v>21300</v>
      </c>
      <c r="Z2296" s="15" t="s">
        <v>21301</v>
      </c>
      <c r="AA2296" s="24"/>
      <c r="AB2296" s="24"/>
      <c r="AC2296" s="24"/>
      <c r="AD2296" s="24"/>
      <c r="AE2296" s="24"/>
      <c r="AF2296" s="24"/>
      <c r="AG2296" s="24"/>
      <c r="AH2296" s="24"/>
    </row>
    <row r="2297" spans="1:34" ht="90" x14ac:dyDescent="0.25">
      <c r="A2297" s="24" t="str">
        <f>HYPERLINK("https://www.cpso.on.ca/DoctorDetails/Syed-Mohammad-Hussain-Rizvi/0215410-91997","Rizvi, Syed Mohammad Hussain")</f>
        <v>Rizvi, Syed Mohammad Hussain</v>
      </c>
      <c r="B2297" s="25" t="s">
        <v>21302</v>
      </c>
      <c r="C2297" s="24" t="s">
        <v>21303</v>
      </c>
      <c r="D2297" s="24" t="s">
        <v>21304</v>
      </c>
      <c r="E2297" s="24" t="s">
        <v>29</v>
      </c>
      <c r="F2297" s="24" t="s">
        <v>30</v>
      </c>
      <c r="G2297" s="24" t="s">
        <v>1445</v>
      </c>
      <c r="H2297" s="24" t="s">
        <v>21305</v>
      </c>
      <c r="I2297" s="24" t="s">
        <v>21306</v>
      </c>
      <c r="J2297" s="24" t="s">
        <v>21307</v>
      </c>
      <c r="K2297" s="24" t="s">
        <v>21308</v>
      </c>
      <c r="L2297" s="24" t="s">
        <v>65</v>
      </c>
      <c r="M2297" s="15" t="s">
        <v>21309</v>
      </c>
      <c r="N2297" s="15"/>
      <c r="O2297" s="15" t="s">
        <v>380</v>
      </c>
      <c r="P2297" s="15" t="s">
        <v>21310</v>
      </c>
      <c r="Q2297" s="15"/>
      <c r="R2297" s="15" t="s">
        <v>21311</v>
      </c>
      <c r="S2297" s="24" t="s">
        <v>71</v>
      </c>
      <c r="T2297" s="24" t="s">
        <v>39</v>
      </c>
      <c r="U2297" s="24" t="s">
        <v>39</v>
      </c>
      <c r="V2297" s="24" t="s">
        <v>39</v>
      </c>
      <c r="W2297" s="24" t="s">
        <v>21312</v>
      </c>
      <c r="X2297" s="24" t="s">
        <v>21313</v>
      </c>
      <c r="Y2297" s="15" t="s">
        <v>21314</v>
      </c>
      <c r="Z2297" s="15" t="s">
        <v>21315</v>
      </c>
      <c r="AA2297" s="24"/>
      <c r="AB2297" s="24"/>
      <c r="AC2297" s="24"/>
      <c r="AD2297" s="24"/>
      <c r="AE2297" s="24"/>
      <c r="AF2297" s="24"/>
      <c r="AG2297" s="24"/>
      <c r="AH2297" s="24"/>
    </row>
    <row r="2298" spans="1:34" ht="105" x14ac:dyDescent="0.25">
      <c r="A2298" s="24" t="str">
        <f>HYPERLINK("https://www.cpso.on.ca/DoctorDetails/Syed-Naveed-Ahmed-Rizvi/0234031-85333","Rizvi, Syed Naveed Ahmed")</f>
        <v>Rizvi, Syed Naveed Ahmed</v>
      </c>
      <c r="B2298" s="25" t="s">
        <v>21316</v>
      </c>
      <c r="C2298" s="24" t="s">
        <v>3585</v>
      </c>
      <c r="D2298" s="24" t="s">
        <v>443</v>
      </c>
      <c r="E2298" s="24" t="s">
        <v>29</v>
      </c>
      <c r="F2298" s="24" t="s">
        <v>30</v>
      </c>
      <c r="G2298" s="24" t="s">
        <v>1445</v>
      </c>
      <c r="H2298" s="24" t="s">
        <v>21305</v>
      </c>
      <c r="I2298" s="24" t="s">
        <v>21317</v>
      </c>
      <c r="J2298" s="24" t="s">
        <v>21318</v>
      </c>
      <c r="K2298" s="24" t="s">
        <v>21319</v>
      </c>
      <c r="L2298" s="24" t="s">
        <v>135</v>
      </c>
      <c r="M2298" s="15" t="s">
        <v>21320</v>
      </c>
      <c r="N2298" s="15" t="s">
        <v>1571</v>
      </c>
      <c r="O2298" s="15" t="s">
        <v>19555</v>
      </c>
      <c r="P2298" s="15" t="s">
        <v>18460</v>
      </c>
      <c r="Q2298" s="15"/>
      <c r="R2298" s="15" t="s">
        <v>21321</v>
      </c>
      <c r="S2298" s="24" t="s">
        <v>39</v>
      </c>
      <c r="T2298" s="24" t="s">
        <v>39</v>
      </c>
      <c r="U2298" s="24" t="s">
        <v>39</v>
      </c>
      <c r="V2298" s="24" t="s">
        <v>39</v>
      </c>
      <c r="W2298" s="24" t="s">
        <v>21322</v>
      </c>
      <c r="X2298" s="24" t="s">
        <v>21323</v>
      </c>
      <c r="Y2298" s="15" t="s">
        <v>21324</v>
      </c>
      <c r="Z2298" s="15" t="s">
        <v>21325</v>
      </c>
      <c r="AA2298" s="24"/>
      <c r="AB2298" s="24"/>
      <c r="AC2298" s="24"/>
      <c r="AD2298" s="24"/>
      <c r="AE2298" s="24"/>
      <c r="AF2298" s="24"/>
      <c r="AG2298" s="24"/>
      <c r="AH2298" s="24"/>
    </row>
    <row r="2299" spans="1:34" ht="60" x14ac:dyDescent="0.25">
      <c r="A2299" s="24" t="str">
        <f>HYPERLINK("https://www.cpso.on.ca/DoctorDetails/Syeeda-Shahana-Shabnam-Salim/0259187-91504","Salim, Syeeda Shahana Shabnam")</f>
        <v>Salim, Syeeda Shahana Shabnam</v>
      </c>
      <c r="B2299" s="25" t="s">
        <v>21326</v>
      </c>
      <c r="C2299" s="24" t="s">
        <v>12697</v>
      </c>
      <c r="D2299" s="24" t="s">
        <v>12698</v>
      </c>
      <c r="E2299" s="24" t="s">
        <v>29</v>
      </c>
      <c r="F2299" s="24" t="s">
        <v>47</v>
      </c>
      <c r="G2299" s="24" t="s">
        <v>31</v>
      </c>
      <c r="H2299" s="24" t="s">
        <v>21327</v>
      </c>
      <c r="I2299" s="24" t="s">
        <v>21328</v>
      </c>
      <c r="J2299" s="24" t="s">
        <v>16550</v>
      </c>
      <c r="K2299" s="24" t="s">
        <v>2168</v>
      </c>
      <c r="L2299" s="24" t="s">
        <v>184</v>
      </c>
      <c r="M2299" s="15" t="s">
        <v>21329</v>
      </c>
      <c r="N2299" s="15"/>
      <c r="O2299" s="15" t="s">
        <v>21330</v>
      </c>
      <c r="P2299" s="15" t="s">
        <v>21331</v>
      </c>
      <c r="Q2299" s="15" t="s">
        <v>21332</v>
      </c>
      <c r="R2299" s="15" t="s">
        <v>21333</v>
      </c>
      <c r="S2299" s="24" t="s">
        <v>39</v>
      </c>
      <c r="T2299" s="24" t="s">
        <v>39</v>
      </c>
      <c r="U2299" s="24" t="s">
        <v>39</v>
      </c>
      <c r="V2299" s="24" t="s">
        <v>39</v>
      </c>
      <c r="W2299" s="24" t="s">
        <v>21334</v>
      </c>
      <c r="X2299" s="24" t="s">
        <v>21299</v>
      </c>
      <c r="Y2299" s="15" t="s">
        <v>21335</v>
      </c>
      <c r="Z2299" s="15" t="s">
        <v>21336</v>
      </c>
      <c r="AA2299" s="24"/>
      <c r="AB2299" s="24"/>
      <c r="AC2299" s="24"/>
      <c r="AD2299" s="24"/>
      <c r="AE2299" s="24"/>
      <c r="AF2299" s="24"/>
      <c r="AG2299" s="24"/>
      <c r="AH2299" s="24"/>
    </row>
    <row r="2300" spans="1:34" ht="30" x14ac:dyDescent="0.25">
      <c r="A2300" s="24" t="str">
        <f>HYPERLINK("https://www.cpso.on.ca/DoctorDetails/Sylvia-Hidvegi/0046092-60070","Hidvegi, Sylvia")</f>
        <v>Hidvegi, Sylvia</v>
      </c>
      <c r="B2300" s="25" t="s">
        <v>21337</v>
      </c>
      <c r="C2300" s="24" t="s">
        <v>3463</v>
      </c>
      <c r="D2300" s="24" t="s">
        <v>21338</v>
      </c>
      <c r="E2300" s="24" t="s">
        <v>29</v>
      </c>
      <c r="F2300" s="24" t="s">
        <v>47</v>
      </c>
      <c r="G2300" s="24" t="s">
        <v>31</v>
      </c>
      <c r="H2300" s="24" t="s">
        <v>4679</v>
      </c>
      <c r="I2300" s="24" t="s">
        <v>21339</v>
      </c>
      <c r="J2300" s="24" t="s">
        <v>21340</v>
      </c>
      <c r="K2300" s="24" t="s">
        <v>21341</v>
      </c>
      <c r="L2300" s="24" t="s">
        <v>152</v>
      </c>
      <c r="M2300" s="15" t="s">
        <v>21342</v>
      </c>
      <c r="N2300" s="15"/>
      <c r="O2300" s="15"/>
      <c r="P2300" s="15" t="s">
        <v>6834</v>
      </c>
      <c r="Q2300" s="15" t="s">
        <v>5084</v>
      </c>
      <c r="R2300" s="15" t="s">
        <v>21343</v>
      </c>
      <c r="S2300" s="24" t="s">
        <v>39</v>
      </c>
      <c r="T2300" s="24" t="s">
        <v>39</v>
      </c>
      <c r="U2300" s="24" t="s">
        <v>39</v>
      </c>
      <c r="V2300" s="24" t="s">
        <v>39</v>
      </c>
      <c r="W2300" s="24" t="s">
        <v>21344</v>
      </c>
      <c r="X2300" s="24" t="s">
        <v>21345</v>
      </c>
      <c r="Y2300" s="15" t="s">
        <v>21346</v>
      </c>
      <c r="Z2300" s="15" t="s">
        <v>21347</v>
      </c>
      <c r="AA2300" s="24"/>
      <c r="AB2300" s="24"/>
      <c r="AC2300" s="24"/>
      <c r="AD2300" s="24"/>
      <c r="AE2300" s="24"/>
      <c r="AF2300" s="24"/>
      <c r="AG2300" s="24"/>
      <c r="AH2300" s="24"/>
    </row>
    <row r="2301" spans="1:34" ht="90" x14ac:dyDescent="0.25">
      <c r="A2301" s="24" t="str">
        <f>HYPERLINK("https://www.cpso.on.ca/DoctorDetails/Sylvia-Mary-Charbonneau/0053065-67029","Charbonneau, Sylvia Mary")</f>
        <v>Charbonneau, Sylvia Mary</v>
      </c>
      <c r="B2301" s="25" t="s">
        <v>21348</v>
      </c>
      <c r="C2301" s="24" t="s">
        <v>836</v>
      </c>
      <c r="D2301" s="24" t="s">
        <v>21349</v>
      </c>
      <c r="E2301" s="24" t="s">
        <v>29</v>
      </c>
      <c r="F2301" s="24" t="s">
        <v>47</v>
      </c>
      <c r="G2301" s="24" t="s">
        <v>31</v>
      </c>
      <c r="H2301" s="24" t="s">
        <v>21350</v>
      </c>
      <c r="I2301" s="24" t="s">
        <v>21351</v>
      </c>
      <c r="J2301" s="24" t="s">
        <v>21352</v>
      </c>
      <c r="K2301" s="24" t="s">
        <v>21353</v>
      </c>
      <c r="L2301" s="24" t="s">
        <v>52</v>
      </c>
      <c r="M2301" s="15"/>
      <c r="N2301" s="15"/>
      <c r="O2301" s="15"/>
      <c r="P2301" s="15" t="s">
        <v>8909</v>
      </c>
      <c r="Q2301" s="15" t="s">
        <v>21354</v>
      </c>
      <c r="R2301" s="15" t="s">
        <v>21355</v>
      </c>
      <c r="S2301" s="24" t="s">
        <v>39</v>
      </c>
      <c r="T2301" s="24" t="s">
        <v>39</v>
      </c>
      <c r="U2301" s="24" t="s">
        <v>39</v>
      </c>
      <c r="V2301" s="24" t="s">
        <v>39</v>
      </c>
      <c r="W2301" s="24"/>
      <c r="X2301" s="24"/>
      <c r="Y2301" s="15"/>
      <c r="Z2301" s="15"/>
      <c r="AA2301" s="24"/>
      <c r="AB2301" s="24"/>
      <c r="AC2301" s="24"/>
      <c r="AD2301" s="24"/>
      <c r="AE2301" s="24"/>
      <c r="AF2301" s="24"/>
      <c r="AG2301" s="24"/>
      <c r="AH2301" s="24"/>
    </row>
    <row r="2302" spans="1:34" ht="105" x14ac:dyDescent="0.25">
      <c r="A2302" s="24" t="str">
        <f>HYPERLINK("https://www.cpso.on.ca/DoctorDetails/Tabitha-Marie-Carmel-Rogers/0233259-84851","Rogers, Tabitha Marie Carmel")</f>
        <v>Rogers, Tabitha Marie Carmel</v>
      </c>
      <c r="B2302" s="25" t="s">
        <v>21356</v>
      </c>
      <c r="C2302" s="24" t="s">
        <v>21357</v>
      </c>
      <c r="D2302" s="24" t="s">
        <v>21358</v>
      </c>
      <c r="E2302" s="24" t="s">
        <v>29</v>
      </c>
      <c r="F2302" s="24" t="s">
        <v>47</v>
      </c>
      <c r="G2302" s="24" t="s">
        <v>31</v>
      </c>
      <c r="H2302" s="24" t="s">
        <v>12700</v>
      </c>
      <c r="I2302" s="24" t="s">
        <v>708</v>
      </c>
      <c r="J2302" s="24" t="s">
        <v>21359</v>
      </c>
      <c r="K2302" s="24"/>
      <c r="L2302" s="24" t="s">
        <v>84</v>
      </c>
      <c r="M2302" s="15"/>
      <c r="N2302" s="15"/>
      <c r="O2302" s="15" t="s">
        <v>498</v>
      </c>
      <c r="P2302" s="15" t="s">
        <v>21360</v>
      </c>
      <c r="Q2302" s="15" t="s">
        <v>21361</v>
      </c>
      <c r="R2302" s="15" t="s">
        <v>21362</v>
      </c>
      <c r="S2302" s="24" t="s">
        <v>39</v>
      </c>
      <c r="T2302" s="24" t="s">
        <v>39</v>
      </c>
      <c r="U2302" s="24" t="s">
        <v>39</v>
      </c>
      <c r="V2302" s="24" t="s">
        <v>39</v>
      </c>
      <c r="W2302" s="24" t="s">
        <v>21363</v>
      </c>
      <c r="X2302" s="24" t="s">
        <v>6603</v>
      </c>
      <c r="Y2302" s="15" t="s">
        <v>21364</v>
      </c>
      <c r="Z2302" s="15" t="s">
        <v>21365</v>
      </c>
      <c r="AA2302" s="24"/>
      <c r="AB2302" s="24"/>
      <c r="AC2302" s="24"/>
      <c r="AD2302" s="24"/>
      <c r="AE2302" s="24"/>
      <c r="AF2302" s="24"/>
      <c r="AG2302" s="24"/>
      <c r="AH2302" s="24"/>
    </row>
    <row r="2303" spans="1:34" ht="120" x14ac:dyDescent="0.25">
      <c r="A2303" s="24" t="str">
        <f>HYPERLINK("https://www.cpso.on.ca/DoctorDetails/Tahany-Darwish-Banoub/0049116-63094","Banoub, Tahany Darwish")</f>
        <v>Banoub, Tahany Darwish</v>
      </c>
      <c r="B2303" s="25" t="s">
        <v>21366</v>
      </c>
      <c r="C2303" s="24" t="s">
        <v>21367</v>
      </c>
      <c r="D2303" s="24" t="s">
        <v>13368</v>
      </c>
      <c r="E2303" s="24" t="s">
        <v>29</v>
      </c>
      <c r="F2303" s="24" t="s">
        <v>47</v>
      </c>
      <c r="G2303" s="24" t="s">
        <v>31</v>
      </c>
      <c r="H2303" s="24" t="s">
        <v>21368</v>
      </c>
      <c r="I2303" s="24" t="s">
        <v>13040</v>
      </c>
      <c r="J2303" s="24" t="s">
        <v>15254</v>
      </c>
      <c r="K2303" s="24" t="s">
        <v>20427</v>
      </c>
      <c r="L2303" s="24" t="s">
        <v>36</v>
      </c>
      <c r="M2303" s="15" t="s">
        <v>21369</v>
      </c>
      <c r="N2303" s="15"/>
      <c r="O2303" s="15" t="s">
        <v>972</v>
      </c>
      <c r="P2303" s="15" t="s">
        <v>21370</v>
      </c>
      <c r="Q2303" s="15" t="s">
        <v>21371</v>
      </c>
      <c r="R2303" s="15" t="s">
        <v>21372</v>
      </c>
      <c r="S2303" s="24" t="s">
        <v>39</v>
      </c>
      <c r="T2303" s="24" t="s">
        <v>39</v>
      </c>
      <c r="U2303" s="24" t="s">
        <v>39</v>
      </c>
      <c r="V2303" s="24" t="s">
        <v>39</v>
      </c>
      <c r="W2303" s="24" t="s">
        <v>21373</v>
      </c>
      <c r="X2303" s="24" t="s">
        <v>21374</v>
      </c>
      <c r="Y2303" s="15" t="s">
        <v>21375</v>
      </c>
      <c r="Z2303" s="15" t="s">
        <v>15259</v>
      </c>
      <c r="AA2303" s="24"/>
      <c r="AB2303" s="24"/>
      <c r="AC2303" s="24"/>
      <c r="AD2303" s="24"/>
      <c r="AE2303" s="24"/>
      <c r="AF2303" s="24"/>
      <c r="AG2303" s="24"/>
      <c r="AH2303" s="24"/>
    </row>
    <row r="2304" spans="1:34" ht="75" x14ac:dyDescent="0.25">
      <c r="A2304" s="24" t="str">
        <f>HYPERLINK("https://www.cpso.on.ca/DoctorDetails/Tamara-Lauren-Hoppe/0280608-97678","Hoppe, Tamara Lauren")</f>
        <v>Hoppe, Tamara Lauren</v>
      </c>
      <c r="B2304" s="25" t="s">
        <v>21376</v>
      </c>
      <c r="C2304" s="24" t="s">
        <v>544</v>
      </c>
      <c r="D2304" s="24" t="s">
        <v>545</v>
      </c>
      <c r="E2304" s="24" t="s">
        <v>29</v>
      </c>
      <c r="F2304" s="24" t="s">
        <v>47</v>
      </c>
      <c r="G2304" s="24" t="s">
        <v>31</v>
      </c>
      <c r="H2304" s="24" t="s">
        <v>2650</v>
      </c>
      <c r="I2304" s="24" t="s">
        <v>21377</v>
      </c>
      <c r="J2304" s="24" t="s">
        <v>1262</v>
      </c>
      <c r="K2304" s="24"/>
      <c r="L2304" s="24" t="s">
        <v>52</v>
      </c>
      <c r="M2304" s="15"/>
      <c r="N2304" s="15"/>
      <c r="O2304" s="15" t="s">
        <v>793</v>
      </c>
      <c r="P2304" s="15" t="s">
        <v>550</v>
      </c>
      <c r="Q2304" s="15" t="s">
        <v>21378</v>
      </c>
      <c r="R2304" s="15" t="s">
        <v>552</v>
      </c>
      <c r="S2304" s="24" t="s">
        <v>39</v>
      </c>
      <c r="T2304" s="24" t="s">
        <v>39</v>
      </c>
      <c r="U2304" s="24" t="s">
        <v>39</v>
      </c>
      <c r="V2304" s="24" t="s">
        <v>39</v>
      </c>
      <c r="W2304" s="24"/>
      <c r="X2304" s="24"/>
      <c r="Y2304" s="15"/>
      <c r="Z2304" s="15"/>
      <c r="AA2304" s="24"/>
      <c r="AB2304" s="24"/>
      <c r="AC2304" s="24"/>
      <c r="AD2304" s="24"/>
      <c r="AE2304" s="24"/>
      <c r="AF2304" s="24"/>
      <c r="AG2304" s="24"/>
      <c r="AH2304" s="24"/>
    </row>
    <row r="2305" spans="1:34" ht="90" x14ac:dyDescent="0.25">
      <c r="A2305" s="24" t="str">
        <f>HYPERLINK("https://www.cpso.on.ca/DoctorDetails/Tamara-Naima-Masliyah/0223658-82864","Masliyah, Tamara Naima")</f>
        <v>Masliyah, Tamara Naima</v>
      </c>
      <c r="B2305" s="25" t="s">
        <v>21379</v>
      </c>
      <c r="C2305" s="24" t="s">
        <v>2342</v>
      </c>
      <c r="D2305" s="24" t="s">
        <v>648</v>
      </c>
      <c r="E2305" s="24" t="s">
        <v>29</v>
      </c>
      <c r="F2305" s="24" t="s">
        <v>47</v>
      </c>
      <c r="G2305" s="24" t="s">
        <v>31</v>
      </c>
      <c r="H2305" s="24" t="s">
        <v>10199</v>
      </c>
      <c r="I2305" s="24" t="s">
        <v>21380</v>
      </c>
      <c r="J2305" s="24" t="s">
        <v>21381</v>
      </c>
      <c r="K2305" s="24"/>
      <c r="L2305" s="24" t="s">
        <v>84</v>
      </c>
      <c r="M2305" s="15"/>
      <c r="N2305" s="15"/>
      <c r="O2305" s="15"/>
      <c r="P2305" s="15" t="s">
        <v>654</v>
      </c>
      <c r="Q2305" s="15" t="s">
        <v>21382</v>
      </c>
      <c r="R2305" s="15" t="s">
        <v>11315</v>
      </c>
      <c r="S2305" s="24" t="s">
        <v>39</v>
      </c>
      <c r="T2305" s="24" t="s">
        <v>39</v>
      </c>
      <c r="U2305" s="24" t="s">
        <v>39</v>
      </c>
      <c r="V2305" s="24" t="s">
        <v>39</v>
      </c>
      <c r="W2305" s="24" t="s">
        <v>21383</v>
      </c>
      <c r="X2305" s="24" t="s">
        <v>21384</v>
      </c>
      <c r="Y2305" s="15" t="s">
        <v>21385</v>
      </c>
      <c r="Z2305" s="15" t="s">
        <v>21386</v>
      </c>
      <c r="AA2305" s="24"/>
      <c r="AB2305" s="24"/>
      <c r="AC2305" s="24"/>
      <c r="AD2305" s="24"/>
      <c r="AE2305" s="24"/>
      <c r="AF2305" s="24"/>
      <c r="AG2305" s="24"/>
      <c r="AH2305" s="24"/>
    </row>
    <row r="2306" spans="1:34" ht="75" x14ac:dyDescent="0.25">
      <c r="A2306" s="24" t="str">
        <f>HYPERLINK("https://www.cpso.on.ca/DoctorDetails/Tamina-Susan-Eapen/0233445-84790","Eapen, Tamina Susan")</f>
        <v>Eapen, Tamina Susan</v>
      </c>
      <c r="B2306" s="25" t="s">
        <v>21387</v>
      </c>
      <c r="C2306" s="24" t="s">
        <v>647</v>
      </c>
      <c r="D2306" s="24" t="s">
        <v>648</v>
      </c>
      <c r="E2306" s="24" t="s">
        <v>29</v>
      </c>
      <c r="F2306" s="24" t="s">
        <v>47</v>
      </c>
      <c r="G2306" s="24" t="s">
        <v>813</v>
      </c>
      <c r="H2306" s="24" t="s">
        <v>12700</v>
      </c>
      <c r="I2306" s="24" t="s">
        <v>21388</v>
      </c>
      <c r="J2306" s="24" t="s">
        <v>21389</v>
      </c>
      <c r="K2306" s="24"/>
      <c r="L2306" s="24" t="s">
        <v>52</v>
      </c>
      <c r="M2306" s="15"/>
      <c r="N2306" s="15"/>
      <c r="O2306" s="15" t="s">
        <v>793</v>
      </c>
      <c r="P2306" s="15" t="s">
        <v>654</v>
      </c>
      <c r="Q2306" s="15" t="s">
        <v>21390</v>
      </c>
      <c r="R2306" s="15" t="s">
        <v>656</v>
      </c>
      <c r="S2306" s="24" t="s">
        <v>39</v>
      </c>
      <c r="T2306" s="24" t="s">
        <v>39</v>
      </c>
      <c r="U2306" s="24" t="s">
        <v>39</v>
      </c>
      <c r="V2306" s="24" t="s">
        <v>39</v>
      </c>
      <c r="W2306" s="24" t="s">
        <v>21391</v>
      </c>
      <c r="X2306" s="24" t="s">
        <v>9610</v>
      </c>
      <c r="Y2306" s="15" t="s">
        <v>21392</v>
      </c>
      <c r="Z2306" s="15" t="s">
        <v>21393</v>
      </c>
      <c r="AA2306" s="24"/>
      <c r="AB2306" s="24"/>
      <c r="AC2306" s="24"/>
      <c r="AD2306" s="24"/>
      <c r="AE2306" s="24"/>
      <c r="AF2306" s="24"/>
      <c r="AG2306" s="24"/>
      <c r="AH2306" s="24"/>
    </row>
    <row r="2307" spans="1:34" ht="45" x14ac:dyDescent="0.25">
      <c r="A2307" s="24" t="str">
        <f>HYPERLINK("https://www.cpso.on.ca/DoctorDetails/Tammy-Lee-Binder/0051090-65069","Binder, Tammy Lee")</f>
        <v>Binder, Tammy Lee</v>
      </c>
      <c r="B2307" s="25" t="s">
        <v>21394</v>
      </c>
      <c r="C2307" s="24" t="s">
        <v>296</v>
      </c>
      <c r="D2307" s="24" t="s">
        <v>21395</v>
      </c>
      <c r="E2307" s="24" t="s">
        <v>29</v>
      </c>
      <c r="F2307" s="24" t="s">
        <v>47</v>
      </c>
      <c r="G2307" s="24" t="s">
        <v>31</v>
      </c>
      <c r="H2307" s="24" t="s">
        <v>14425</v>
      </c>
      <c r="I2307" s="24" t="s">
        <v>107</v>
      </c>
      <c r="J2307" s="24"/>
      <c r="K2307" s="24"/>
      <c r="L2307" s="24"/>
      <c r="M2307" s="15"/>
      <c r="N2307" s="15"/>
      <c r="O2307" s="15"/>
      <c r="P2307" s="15" t="s">
        <v>2042</v>
      </c>
      <c r="Q2307" s="15" t="s">
        <v>21396</v>
      </c>
      <c r="R2307" s="15" t="s">
        <v>21397</v>
      </c>
      <c r="S2307" s="24" t="s">
        <v>39</v>
      </c>
      <c r="T2307" s="24" t="s">
        <v>39</v>
      </c>
      <c r="U2307" s="24" t="s">
        <v>39</v>
      </c>
      <c r="V2307" s="24" t="s">
        <v>39</v>
      </c>
      <c r="W2307" s="24"/>
      <c r="X2307" s="24"/>
      <c r="Y2307" s="15"/>
      <c r="Z2307" s="15"/>
      <c r="AA2307" s="24"/>
      <c r="AB2307" s="24"/>
      <c r="AC2307" s="24"/>
      <c r="AD2307" s="24"/>
      <c r="AE2307" s="24"/>
      <c r="AF2307" s="24"/>
      <c r="AG2307" s="24"/>
      <c r="AH2307" s="24"/>
    </row>
    <row r="2308" spans="1:34" ht="45" x14ac:dyDescent="0.25">
      <c r="A2308" s="24" t="str">
        <f>HYPERLINK("https://www.cpso.on.ca/DoctorDetails/Tania-Abigail-Ortiz-Dominguez/0299073-105198","Ortiz Dominguez, Tania Abigail")</f>
        <v>Ortiz Dominguez, Tania Abigail</v>
      </c>
      <c r="B2308" s="25" t="s">
        <v>21398</v>
      </c>
      <c r="C2308" s="24" t="s">
        <v>21399</v>
      </c>
      <c r="D2308" s="24" t="s">
        <v>21400</v>
      </c>
      <c r="E2308" s="24" t="s">
        <v>29</v>
      </c>
      <c r="F2308" s="24" t="s">
        <v>47</v>
      </c>
      <c r="G2308" s="24" t="s">
        <v>115</v>
      </c>
      <c r="H2308" s="24" t="s">
        <v>21401</v>
      </c>
      <c r="I2308" s="24" t="s">
        <v>21402</v>
      </c>
      <c r="J2308" s="24" t="s">
        <v>1262</v>
      </c>
      <c r="K2308" s="24"/>
      <c r="L2308" s="24" t="s">
        <v>52</v>
      </c>
      <c r="M2308" s="15"/>
      <c r="N2308" s="15"/>
      <c r="O2308" s="15" t="s">
        <v>981</v>
      </c>
      <c r="P2308" s="15" t="s">
        <v>2105</v>
      </c>
      <c r="Q2308" s="15"/>
      <c r="R2308" s="15" t="s">
        <v>21403</v>
      </c>
      <c r="S2308" s="24" t="s">
        <v>39</v>
      </c>
      <c r="T2308" s="24" t="s">
        <v>39</v>
      </c>
      <c r="U2308" s="24" t="s">
        <v>39</v>
      </c>
      <c r="V2308" s="24" t="s">
        <v>39</v>
      </c>
      <c r="W2308" s="24" t="s">
        <v>21404</v>
      </c>
      <c r="X2308" s="24" t="s">
        <v>21405</v>
      </c>
      <c r="Y2308" s="15" t="s">
        <v>21406</v>
      </c>
      <c r="Z2308" s="15" t="s">
        <v>21407</v>
      </c>
      <c r="AA2308" s="24"/>
      <c r="AB2308" s="24"/>
      <c r="AC2308" s="24"/>
      <c r="AD2308" s="24"/>
      <c r="AE2308" s="24"/>
      <c r="AF2308" s="24"/>
      <c r="AG2308" s="24"/>
      <c r="AH2308" s="24"/>
    </row>
    <row r="2309" spans="1:34" ht="60" x14ac:dyDescent="0.25">
      <c r="A2309" s="24" t="str">
        <f>HYPERLINK("https://www.cpso.on.ca/DoctorDetails/Tania-Fiacco/0312586-111177","Fiacco, Tania")</f>
        <v>Fiacco, Tania</v>
      </c>
      <c r="B2309" s="25" t="s">
        <v>21408</v>
      </c>
      <c r="C2309" s="24" t="s">
        <v>21409</v>
      </c>
      <c r="D2309" s="24" t="s">
        <v>21410</v>
      </c>
      <c r="E2309" s="24" t="s">
        <v>29</v>
      </c>
      <c r="F2309" s="24" t="s">
        <v>47</v>
      </c>
      <c r="G2309" s="24" t="s">
        <v>31</v>
      </c>
      <c r="H2309" s="24" t="s">
        <v>21411</v>
      </c>
      <c r="I2309" s="24" t="s">
        <v>11172</v>
      </c>
      <c r="J2309" s="24" t="s">
        <v>21412</v>
      </c>
      <c r="K2309" s="24" t="s">
        <v>21413</v>
      </c>
      <c r="L2309" s="24" t="s">
        <v>52</v>
      </c>
      <c r="M2309" s="15"/>
      <c r="N2309" s="15"/>
      <c r="O2309" s="15" t="s">
        <v>1784</v>
      </c>
      <c r="P2309" s="15" t="s">
        <v>21414</v>
      </c>
      <c r="Q2309" s="15"/>
      <c r="R2309" s="15" t="s">
        <v>21415</v>
      </c>
      <c r="S2309" s="24" t="s">
        <v>71</v>
      </c>
      <c r="T2309" s="24" t="s">
        <v>39</v>
      </c>
      <c r="U2309" s="24" t="s">
        <v>39</v>
      </c>
      <c r="V2309" s="24" t="s">
        <v>39</v>
      </c>
      <c r="W2309" s="24" t="s">
        <v>21416</v>
      </c>
      <c r="X2309" s="24" t="s">
        <v>19804</v>
      </c>
      <c r="Y2309" s="15" t="s">
        <v>21417</v>
      </c>
      <c r="Z2309" s="15" t="s">
        <v>21418</v>
      </c>
      <c r="AA2309" s="24"/>
      <c r="AB2309" s="24"/>
      <c r="AC2309" s="24"/>
      <c r="AD2309" s="24"/>
      <c r="AE2309" s="24"/>
      <c r="AF2309" s="24"/>
      <c r="AG2309" s="24"/>
      <c r="AH2309" s="24"/>
    </row>
    <row r="2310" spans="1:34" ht="75" x14ac:dyDescent="0.25">
      <c r="A2310" s="24" t="str">
        <f>HYPERLINK("https://www.cpso.on.ca/DoctorDetails/Tanya-Petter/0057294-68882","Petter, Tanya")</f>
        <v>Petter, Tanya</v>
      </c>
      <c r="B2310" s="25" t="s">
        <v>21419</v>
      </c>
      <c r="C2310" s="24" t="s">
        <v>8467</v>
      </c>
      <c r="D2310" s="24" t="s">
        <v>8468</v>
      </c>
      <c r="E2310" s="24" t="s">
        <v>29</v>
      </c>
      <c r="F2310" s="24" t="s">
        <v>47</v>
      </c>
      <c r="G2310" s="24" t="s">
        <v>31</v>
      </c>
      <c r="H2310" s="24" t="s">
        <v>1338</v>
      </c>
      <c r="I2310" s="24" t="s">
        <v>21420</v>
      </c>
      <c r="J2310" s="24" t="s">
        <v>21421</v>
      </c>
      <c r="K2310" s="24"/>
      <c r="L2310" s="24" t="s">
        <v>52</v>
      </c>
      <c r="M2310" s="15"/>
      <c r="N2310" s="15"/>
      <c r="O2310" s="15"/>
      <c r="P2310" s="15" t="s">
        <v>5426</v>
      </c>
      <c r="Q2310" s="15" t="s">
        <v>4714</v>
      </c>
      <c r="R2310" s="15" t="s">
        <v>21422</v>
      </c>
      <c r="S2310" s="24" t="s">
        <v>39</v>
      </c>
      <c r="T2310" s="24" t="s">
        <v>39</v>
      </c>
      <c r="U2310" s="24" t="s">
        <v>39</v>
      </c>
      <c r="V2310" s="24" t="s">
        <v>39</v>
      </c>
      <c r="W2310" s="24" t="s">
        <v>21423</v>
      </c>
      <c r="X2310" s="24" t="s">
        <v>21424</v>
      </c>
      <c r="Y2310" s="15" t="s">
        <v>21425</v>
      </c>
      <c r="Z2310" s="15" t="s">
        <v>21426</v>
      </c>
      <c r="AA2310" s="24"/>
      <c r="AB2310" s="24"/>
      <c r="AC2310" s="24"/>
      <c r="AD2310" s="24"/>
      <c r="AE2310" s="24"/>
      <c r="AF2310" s="24"/>
      <c r="AG2310" s="24"/>
      <c r="AH2310" s="24"/>
    </row>
    <row r="2311" spans="1:34" ht="90" x14ac:dyDescent="0.25">
      <c r="A2311" s="24" t="str">
        <f>HYPERLINK("https://www.cpso.on.ca/DoctorDetails/Tanya-Rita-Pinto/0220750-82621","Pinto, Tanya Rita")</f>
        <v>Pinto, Tanya Rita</v>
      </c>
      <c r="B2311" s="25" t="s">
        <v>21427</v>
      </c>
      <c r="C2311" s="24" t="s">
        <v>2342</v>
      </c>
      <c r="D2311" s="24" t="s">
        <v>648</v>
      </c>
      <c r="E2311" s="24" t="s">
        <v>29</v>
      </c>
      <c r="F2311" s="24" t="s">
        <v>47</v>
      </c>
      <c r="G2311" s="24" t="s">
        <v>31</v>
      </c>
      <c r="H2311" s="24" t="s">
        <v>990</v>
      </c>
      <c r="I2311" s="24" t="s">
        <v>21428</v>
      </c>
      <c r="J2311" s="24" t="s">
        <v>2303</v>
      </c>
      <c r="K2311" s="24" t="s">
        <v>8701</v>
      </c>
      <c r="L2311" s="24" t="s">
        <v>52</v>
      </c>
      <c r="M2311" s="15" t="s">
        <v>21429</v>
      </c>
      <c r="N2311" s="15"/>
      <c r="O2311" s="15" t="s">
        <v>21430</v>
      </c>
      <c r="P2311" s="15" t="s">
        <v>21431</v>
      </c>
      <c r="Q2311" s="15" t="s">
        <v>21432</v>
      </c>
      <c r="R2311" s="15" t="s">
        <v>11315</v>
      </c>
      <c r="S2311" s="24" t="s">
        <v>39</v>
      </c>
      <c r="T2311" s="24" t="s">
        <v>39</v>
      </c>
      <c r="U2311" s="24" t="s">
        <v>39</v>
      </c>
      <c r="V2311" s="24" t="s">
        <v>39</v>
      </c>
      <c r="W2311" s="24" t="s">
        <v>21433</v>
      </c>
      <c r="X2311" s="24" t="s">
        <v>21434</v>
      </c>
      <c r="Y2311" s="15" t="s">
        <v>21435</v>
      </c>
      <c r="Z2311" s="15" t="s">
        <v>9403</v>
      </c>
      <c r="AA2311" s="24"/>
      <c r="AB2311" s="24"/>
      <c r="AC2311" s="24"/>
      <c r="AD2311" s="24"/>
      <c r="AE2311" s="24"/>
      <c r="AF2311" s="24"/>
      <c r="AG2311" s="24"/>
      <c r="AH2311" s="24"/>
    </row>
    <row r="2312" spans="1:34" x14ac:dyDescent="0.25">
      <c r="A2312" s="24" t="str">
        <f>HYPERLINK("https://www.cpso.on.ca/DoctorDetails/Tapan-Kanti-Banik/0046026-60004","Banik, Tapan Kanti")</f>
        <v>Banik, Tapan Kanti</v>
      </c>
      <c r="B2312" s="25" t="s">
        <v>21436</v>
      </c>
      <c r="C2312" s="24" t="s">
        <v>20796</v>
      </c>
      <c r="D2312" s="24" t="s">
        <v>20797</v>
      </c>
      <c r="E2312" s="24" t="s">
        <v>29</v>
      </c>
      <c r="F2312" s="24" t="s">
        <v>30</v>
      </c>
      <c r="G2312" s="24" t="s">
        <v>8438</v>
      </c>
      <c r="H2312" s="24" t="s">
        <v>16711</v>
      </c>
      <c r="I2312" s="24" t="s">
        <v>21437</v>
      </c>
      <c r="J2312" s="24" t="s">
        <v>21438</v>
      </c>
      <c r="K2312" s="24" t="s">
        <v>589</v>
      </c>
      <c r="L2312" s="24" t="s">
        <v>36</v>
      </c>
      <c r="M2312" s="15"/>
      <c r="N2312" s="15"/>
      <c r="O2312" s="15"/>
      <c r="P2312" s="15" t="s">
        <v>1877</v>
      </c>
      <c r="Q2312" s="15"/>
      <c r="R2312" s="15" t="s">
        <v>20801</v>
      </c>
      <c r="S2312" s="24" t="s">
        <v>39</v>
      </c>
      <c r="T2312" s="24" t="s">
        <v>39</v>
      </c>
      <c r="U2312" s="24" t="s">
        <v>39</v>
      </c>
      <c r="V2312" s="24" t="s">
        <v>39</v>
      </c>
      <c r="W2312" s="24" t="s">
        <v>21439</v>
      </c>
      <c r="X2312" s="24" t="s">
        <v>3568</v>
      </c>
      <c r="Y2312" s="15" t="s">
        <v>21440</v>
      </c>
      <c r="Z2312" s="15" t="s">
        <v>21441</v>
      </c>
      <c r="AA2312" s="24"/>
      <c r="AB2312" s="24"/>
      <c r="AC2312" s="24"/>
      <c r="AD2312" s="24"/>
      <c r="AE2312" s="24"/>
      <c r="AF2312" s="24"/>
      <c r="AG2312" s="24"/>
      <c r="AH2312" s="24"/>
    </row>
    <row r="2313" spans="1:34" ht="120" x14ac:dyDescent="0.25">
      <c r="A2313" s="24" t="str">
        <f>HYPERLINK("https://www.cpso.on.ca/DoctorDetails/Tara-Allison-Raja-Burra/0232745-84637","Burra, Tara Allison Raja")</f>
        <v>Burra, Tara Allison Raja</v>
      </c>
      <c r="B2313" s="25" t="s">
        <v>21442</v>
      </c>
      <c r="C2313" s="24" t="s">
        <v>4165</v>
      </c>
      <c r="D2313" s="24" t="s">
        <v>4166</v>
      </c>
      <c r="E2313" s="24" t="s">
        <v>29</v>
      </c>
      <c r="F2313" s="24" t="s">
        <v>47</v>
      </c>
      <c r="G2313" s="24" t="s">
        <v>31</v>
      </c>
      <c r="H2313" s="24" t="s">
        <v>649</v>
      </c>
      <c r="I2313" s="24" t="s">
        <v>21443</v>
      </c>
      <c r="J2313" s="24" t="s">
        <v>21444</v>
      </c>
      <c r="K2313" s="24" t="s">
        <v>4720</v>
      </c>
      <c r="L2313" s="24" t="s">
        <v>52</v>
      </c>
      <c r="M2313" s="15"/>
      <c r="N2313" s="15"/>
      <c r="O2313" s="15" t="s">
        <v>271</v>
      </c>
      <c r="P2313" s="15" t="s">
        <v>21445</v>
      </c>
      <c r="Q2313" s="15" t="s">
        <v>21446</v>
      </c>
      <c r="R2313" s="15" t="s">
        <v>21447</v>
      </c>
      <c r="S2313" s="24" t="s">
        <v>39</v>
      </c>
      <c r="T2313" s="24" t="s">
        <v>39</v>
      </c>
      <c r="U2313" s="24" t="s">
        <v>39</v>
      </c>
      <c r="V2313" s="24" t="s">
        <v>39</v>
      </c>
      <c r="W2313" s="24" t="s">
        <v>21448</v>
      </c>
      <c r="X2313" s="24" t="s">
        <v>21449</v>
      </c>
      <c r="Y2313" s="15" t="s">
        <v>21450</v>
      </c>
      <c r="Z2313" s="15" t="s">
        <v>11850</v>
      </c>
      <c r="AA2313" s="24"/>
      <c r="AB2313" s="24"/>
      <c r="AC2313" s="24"/>
      <c r="AD2313" s="24"/>
      <c r="AE2313" s="24"/>
      <c r="AF2313" s="24"/>
      <c r="AG2313" s="24"/>
      <c r="AH2313" s="24"/>
    </row>
    <row r="2314" spans="1:34" ht="150" x14ac:dyDescent="0.25">
      <c r="A2314" s="24" t="str">
        <f>HYPERLINK("https://www.cpso.on.ca/DoctorDetails/Taras-Babiak/0027270-32093","Babiak, Taras")</f>
        <v>Babiak, Taras</v>
      </c>
      <c r="B2314" s="25" t="s">
        <v>21451</v>
      </c>
      <c r="C2314" s="24" t="s">
        <v>21452</v>
      </c>
      <c r="D2314" s="24" t="s">
        <v>21453</v>
      </c>
      <c r="E2314" s="24" t="s">
        <v>29</v>
      </c>
      <c r="F2314" s="24" t="s">
        <v>30</v>
      </c>
      <c r="G2314" s="24" t="s">
        <v>12699</v>
      </c>
      <c r="H2314" s="24" t="s">
        <v>7343</v>
      </c>
      <c r="I2314" s="24" t="s">
        <v>21454</v>
      </c>
      <c r="J2314" s="24" t="s">
        <v>21455</v>
      </c>
      <c r="K2314" s="24" t="s">
        <v>21456</v>
      </c>
      <c r="L2314" s="24" t="s">
        <v>52</v>
      </c>
      <c r="M2314" s="15"/>
      <c r="N2314" s="15"/>
      <c r="O2314" s="15"/>
      <c r="P2314" s="15" t="s">
        <v>21457</v>
      </c>
      <c r="Q2314" s="15"/>
      <c r="R2314" s="15" t="s">
        <v>21458</v>
      </c>
      <c r="S2314" s="24" t="s">
        <v>39</v>
      </c>
      <c r="T2314" s="24" t="s">
        <v>39</v>
      </c>
      <c r="U2314" s="24" t="s">
        <v>39</v>
      </c>
      <c r="V2314" s="24" t="s">
        <v>39</v>
      </c>
      <c r="W2314" s="24" t="s">
        <v>21459</v>
      </c>
      <c r="X2314" s="24" t="s">
        <v>21460</v>
      </c>
      <c r="Y2314" s="15" t="s">
        <v>21461</v>
      </c>
      <c r="Z2314" s="15" t="s">
        <v>21462</v>
      </c>
      <c r="AA2314" s="24"/>
      <c r="AB2314" s="24"/>
      <c r="AC2314" s="24"/>
      <c r="AD2314" s="24"/>
      <c r="AE2314" s="24"/>
      <c r="AF2314" s="24"/>
      <c r="AG2314" s="24"/>
      <c r="AH2314" s="24"/>
    </row>
    <row r="2315" spans="1:34" ht="105" x14ac:dyDescent="0.25">
      <c r="A2315" s="24" t="str">
        <f>HYPERLINK("https://www.cpso.on.ca/DoctorDetails/Taras-Romanovyc-Reshetukha/0273011-95323","Reshetukha, Taras Romanovyc")</f>
        <v>Reshetukha, Taras Romanovyc</v>
      </c>
      <c r="B2315" s="25" t="s">
        <v>21463</v>
      </c>
      <c r="C2315" s="24" t="s">
        <v>4294</v>
      </c>
      <c r="D2315" s="24" t="s">
        <v>967</v>
      </c>
      <c r="E2315" s="24" t="s">
        <v>29</v>
      </c>
      <c r="F2315" s="24" t="s">
        <v>30</v>
      </c>
      <c r="G2315" s="24" t="s">
        <v>1647</v>
      </c>
      <c r="H2315" s="24" t="s">
        <v>21464</v>
      </c>
      <c r="I2315" s="24" t="s">
        <v>7049</v>
      </c>
      <c r="J2315" s="24" t="s">
        <v>21465</v>
      </c>
      <c r="K2315" s="24" t="s">
        <v>7051</v>
      </c>
      <c r="L2315" s="24" t="s">
        <v>340</v>
      </c>
      <c r="M2315" s="15"/>
      <c r="N2315" s="15"/>
      <c r="O2315" s="15"/>
      <c r="P2315" s="15" t="s">
        <v>973</v>
      </c>
      <c r="Q2315" s="15" t="s">
        <v>2279</v>
      </c>
      <c r="R2315" s="15" t="s">
        <v>21466</v>
      </c>
      <c r="S2315" s="24" t="s">
        <v>39</v>
      </c>
      <c r="T2315" s="24" t="s">
        <v>39</v>
      </c>
      <c r="U2315" s="24" t="s">
        <v>39</v>
      </c>
      <c r="V2315" s="24" t="s">
        <v>39</v>
      </c>
      <c r="W2315" s="24" t="s">
        <v>21467</v>
      </c>
      <c r="X2315" s="24" t="s">
        <v>2160</v>
      </c>
      <c r="Y2315" s="15" t="s">
        <v>21468</v>
      </c>
      <c r="Z2315" s="15" t="s">
        <v>21469</v>
      </c>
      <c r="AA2315" s="24"/>
      <c r="AB2315" s="24"/>
      <c r="AC2315" s="24"/>
      <c r="AD2315" s="24"/>
      <c r="AE2315" s="24"/>
      <c r="AF2315" s="24"/>
      <c r="AG2315" s="24"/>
      <c r="AH2315" s="24"/>
    </row>
    <row r="2316" spans="1:34" ht="60" x14ac:dyDescent="0.25">
      <c r="A2316" s="24" t="str">
        <f>HYPERLINK("https://www.cpso.on.ca/DoctorDetails/Tarek-Khalil-Rajji/0236349-85792","Rajji, Tarek Khalil")</f>
        <v>Rajji, Tarek Khalil</v>
      </c>
      <c r="B2316" s="25" t="s">
        <v>21470</v>
      </c>
      <c r="C2316" s="24" t="s">
        <v>21471</v>
      </c>
      <c r="D2316" s="24" t="s">
        <v>21472</v>
      </c>
      <c r="E2316" s="24" t="s">
        <v>29</v>
      </c>
      <c r="F2316" s="24" t="s">
        <v>30</v>
      </c>
      <c r="G2316" s="24" t="s">
        <v>105</v>
      </c>
      <c r="H2316" s="24" t="s">
        <v>21473</v>
      </c>
      <c r="I2316" s="24" t="s">
        <v>21474</v>
      </c>
      <c r="J2316" s="24" t="s">
        <v>1262</v>
      </c>
      <c r="K2316" s="24" t="s">
        <v>21475</v>
      </c>
      <c r="L2316" s="24" t="s">
        <v>52</v>
      </c>
      <c r="M2316" s="15"/>
      <c r="N2316" s="15"/>
      <c r="O2316" s="15" t="s">
        <v>2483</v>
      </c>
      <c r="P2316" s="15" t="s">
        <v>19915</v>
      </c>
      <c r="Q2316" s="15" t="s">
        <v>21476</v>
      </c>
      <c r="R2316" s="15" t="s">
        <v>21477</v>
      </c>
      <c r="S2316" s="24" t="s">
        <v>39</v>
      </c>
      <c r="T2316" s="24" t="s">
        <v>39</v>
      </c>
      <c r="U2316" s="24" t="s">
        <v>39</v>
      </c>
      <c r="V2316" s="24" t="s">
        <v>39</v>
      </c>
      <c r="W2316" s="24" t="s">
        <v>21478</v>
      </c>
      <c r="X2316" s="24" t="s">
        <v>21479</v>
      </c>
      <c r="Y2316" s="15" t="s">
        <v>21480</v>
      </c>
      <c r="Z2316" s="15" t="s">
        <v>21481</v>
      </c>
      <c r="AA2316" s="24"/>
      <c r="AB2316" s="24"/>
      <c r="AC2316" s="24"/>
      <c r="AD2316" s="24"/>
      <c r="AE2316" s="24"/>
      <c r="AF2316" s="24"/>
      <c r="AG2316" s="24"/>
      <c r="AH2316" s="24"/>
    </row>
    <row r="2317" spans="1:34" ht="75" x14ac:dyDescent="0.25">
      <c r="A2317" s="24" t="str">
        <f>HYPERLINK("https://www.cpso.on.ca/DoctorDetails/Tariq-Allauddin-Munshi/0251146-90302","Munshi, Tariq Allauddin")</f>
        <v>Munshi, Tariq Allauddin</v>
      </c>
      <c r="B2317" s="25" t="s">
        <v>21482</v>
      </c>
      <c r="C2317" s="24" t="s">
        <v>21483</v>
      </c>
      <c r="D2317" s="24" t="s">
        <v>21484</v>
      </c>
      <c r="E2317" s="24" t="s">
        <v>29</v>
      </c>
      <c r="F2317" s="24" t="s">
        <v>30</v>
      </c>
      <c r="G2317" s="24" t="s">
        <v>31</v>
      </c>
      <c r="H2317" s="24" t="s">
        <v>15560</v>
      </c>
      <c r="I2317" s="24" t="s">
        <v>21485</v>
      </c>
      <c r="J2317" s="24" t="s">
        <v>21486</v>
      </c>
      <c r="K2317" s="24" t="s">
        <v>21487</v>
      </c>
      <c r="L2317" s="24" t="s">
        <v>52</v>
      </c>
      <c r="M2317" s="15"/>
      <c r="N2317" s="15" t="s">
        <v>398</v>
      </c>
      <c r="O2317" s="15" t="s">
        <v>219</v>
      </c>
      <c r="P2317" s="15" t="s">
        <v>21488</v>
      </c>
      <c r="Q2317" s="15"/>
      <c r="R2317" s="15" t="s">
        <v>21489</v>
      </c>
      <c r="S2317" s="24" t="s">
        <v>71</v>
      </c>
      <c r="T2317" s="24" t="s">
        <v>39</v>
      </c>
      <c r="U2317" s="24" t="s">
        <v>39</v>
      </c>
      <c r="V2317" s="24" t="s">
        <v>39</v>
      </c>
      <c r="W2317" s="24" t="s">
        <v>21490</v>
      </c>
      <c r="X2317" s="24" t="s">
        <v>6000</v>
      </c>
      <c r="Y2317" s="15" t="s">
        <v>21491</v>
      </c>
      <c r="Z2317" s="15" t="s">
        <v>21492</v>
      </c>
      <c r="AA2317" s="24" t="s">
        <v>21298</v>
      </c>
      <c r="AB2317" s="24" t="s">
        <v>21299</v>
      </c>
      <c r="AC2317" s="24" t="s">
        <v>21300</v>
      </c>
      <c r="AD2317" s="15" t="s">
        <v>21301</v>
      </c>
      <c r="AE2317" s="24"/>
      <c r="AF2317" s="24"/>
      <c r="AG2317" s="24"/>
      <c r="AH2317" s="24"/>
    </row>
    <row r="2318" spans="1:34" ht="45" x14ac:dyDescent="0.25">
      <c r="A2318" s="24" t="str">
        <f>HYPERLINK("https://www.cpso.on.ca/DoctorDetails/Tariq-Mahmood-Hassan/0260748-94215","Hassan, Tariq Mahmood")</f>
        <v>Hassan, Tariq Mahmood</v>
      </c>
      <c r="B2318" s="25" t="s">
        <v>21493</v>
      </c>
      <c r="C2318" s="24" t="s">
        <v>18053</v>
      </c>
      <c r="D2318" s="24" t="s">
        <v>21494</v>
      </c>
      <c r="E2318" s="24" t="s">
        <v>29</v>
      </c>
      <c r="F2318" s="24" t="s">
        <v>30</v>
      </c>
      <c r="G2318" s="24" t="s">
        <v>61</v>
      </c>
      <c r="H2318" s="24" t="s">
        <v>21495</v>
      </c>
      <c r="I2318" s="24" t="s">
        <v>21496</v>
      </c>
      <c r="J2318" s="24" t="s">
        <v>21497</v>
      </c>
      <c r="K2318" s="24" t="s">
        <v>14918</v>
      </c>
      <c r="L2318" s="24" t="s">
        <v>340</v>
      </c>
      <c r="M2318" s="15"/>
      <c r="N2318" s="15"/>
      <c r="O2318" s="15"/>
      <c r="P2318" s="15" t="s">
        <v>5051</v>
      </c>
      <c r="Q2318" s="15"/>
      <c r="R2318" s="15" t="s">
        <v>21498</v>
      </c>
      <c r="S2318" s="24" t="s">
        <v>39</v>
      </c>
      <c r="T2318" s="24" t="s">
        <v>39</v>
      </c>
      <c r="U2318" s="24" t="s">
        <v>39</v>
      </c>
      <c r="V2318" s="24" t="s">
        <v>39</v>
      </c>
      <c r="W2318" s="24" t="s">
        <v>21499</v>
      </c>
      <c r="X2318" s="24" t="s">
        <v>21500</v>
      </c>
      <c r="Y2318" s="15" t="s">
        <v>21501</v>
      </c>
      <c r="Z2318" s="15" t="s">
        <v>21502</v>
      </c>
      <c r="AA2318" s="24"/>
      <c r="AB2318" s="24"/>
      <c r="AC2318" s="24"/>
      <c r="AD2318" s="24"/>
      <c r="AE2318" s="24"/>
      <c r="AF2318" s="24"/>
      <c r="AG2318" s="24"/>
      <c r="AH2318" s="24"/>
    </row>
    <row r="2319" spans="1:34" ht="90" x14ac:dyDescent="0.25">
      <c r="A2319" s="24" t="str">
        <f>HYPERLINK("https://www.cpso.on.ca/DoctorDetails/Tatiana-Melnyk/0056707-68295","Melnyk, Tatiana")</f>
        <v>Melnyk, Tatiana</v>
      </c>
      <c r="B2319" s="25" t="s">
        <v>21503</v>
      </c>
      <c r="C2319" s="24" t="s">
        <v>1669</v>
      </c>
      <c r="D2319" s="24" t="s">
        <v>1670</v>
      </c>
      <c r="E2319" s="24" t="s">
        <v>29</v>
      </c>
      <c r="F2319" s="24" t="s">
        <v>47</v>
      </c>
      <c r="G2319" s="24" t="s">
        <v>31</v>
      </c>
      <c r="H2319" s="24" t="s">
        <v>215</v>
      </c>
      <c r="I2319" s="24" t="s">
        <v>21504</v>
      </c>
      <c r="J2319" s="24" t="s">
        <v>21505</v>
      </c>
      <c r="K2319" s="24"/>
      <c r="L2319" s="24" t="s">
        <v>52</v>
      </c>
      <c r="M2319" s="15"/>
      <c r="N2319" s="15"/>
      <c r="O2319" s="15" t="s">
        <v>5784</v>
      </c>
      <c r="P2319" s="15" t="s">
        <v>1677</v>
      </c>
      <c r="Q2319" s="15" t="s">
        <v>21506</v>
      </c>
      <c r="R2319" s="15" t="s">
        <v>1679</v>
      </c>
      <c r="S2319" s="24" t="s">
        <v>39</v>
      </c>
      <c r="T2319" s="24" t="s">
        <v>39</v>
      </c>
      <c r="U2319" s="24" t="s">
        <v>39</v>
      </c>
      <c r="V2319" s="24" t="s">
        <v>39</v>
      </c>
      <c r="W2319" s="24"/>
      <c r="X2319" s="24"/>
      <c r="Y2319" s="15"/>
      <c r="Z2319" s="15"/>
      <c r="AA2319" s="24"/>
      <c r="AB2319" s="24"/>
      <c r="AC2319" s="24"/>
      <c r="AD2319" s="24"/>
      <c r="AE2319" s="24"/>
      <c r="AF2319" s="24"/>
      <c r="AG2319" s="24"/>
      <c r="AH2319" s="24"/>
    </row>
    <row r="2320" spans="1:34" ht="30" x14ac:dyDescent="0.25">
      <c r="A2320" s="24" t="str">
        <f>HYPERLINK("https://www.cpso.on.ca/DoctorDetails/Tatjana-Muhamedagic/0267302-94191","Muhamedagic, Tatjana")</f>
        <v>Muhamedagic, Tatjana</v>
      </c>
      <c r="B2320" s="25" t="s">
        <v>21507</v>
      </c>
      <c r="C2320" s="24" t="s">
        <v>3529</v>
      </c>
      <c r="D2320" s="24" t="s">
        <v>3530</v>
      </c>
      <c r="E2320" s="24" t="s">
        <v>29</v>
      </c>
      <c r="F2320" s="24" t="s">
        <v>47</v>
      </c>
      <c r="G2320" s="24" t="s">
        <v>1566</v>
      </c>
      <c r="H2320" s="24" t="s">
        <v>21508</v>
      </c>
      <c r="I2320" s="24" t="s">
        <v>21509</v>
      </c>
      <c r="J2320" s="24" t="s">
        <v>21510</v>
      </c>
      <c r="K2320" s="24" t="s">
        <v>21511</v>
      </c>
      <c r="L2320" s="24" t="s">
        <v>184</v>
      </c>
      <c r="M2320" s="15" t="s">
        <v>21512</v>
      </c>
      <c r="N2320" s="15"/>
      <c r="O2320" s="15" t="s">
        <v>4363</v>
      </c>
      <c r="P2320" s="15" t="s">
        <v>21513</v>
      </c>
      <c r="Q2320" s="15"/>
      <c r="R2320" s="15" t="s">
        <v>21514</v>
      </c>
      <c r="S2320" s="24" t="s">
        <v>39</v>
      </c>
      <c r="T2320" s="24" t="s">
        <v>39</v>
      </c>
      <c r="U2320" s="24" t="s">
        <v>39</v>
      </c>
      <c r="V2320" s="24" t="s">
        <v>39</v>
      </c>
      <c r="W2320" s="24" t="s">
        <v>21515</v>
      </c>
      <c r="X2320" s="24" t="s">
        <v>21516</v>
      </c>
      <c r="Y2320" s="15" t="s">
        <v>21517</v>
      </c>
      <c r="Z2320" s="15" t="s">
        <v>21518</v>
      </c>
      <c r="AA2320" s="24"/>
      <c r="AB2320" s="24"/>
      <c r="AC2320" s="24"/>
      <c r="AD2320" s="24"/>
      <c r="AE2320" s="24"/>
      <c r="AF2320" s="24"/>
      <c r="AG2320" s="24"/>
      <c r="AH2320" s="24"/>
    </row>
    <row r="2321" spans="1:34" ht="30" x14ac:dyDescent="0.25">
      <c r="A2321" s="24" t="str">
        <f>HYPERLINK("https://www.cpso.on.ca/DoctorDetails/Tatyana-Barankin/0038097-52073","Barankin, Tatyana")</f>
        <v>Barankin, Tatyana</v>
      </c>
      <c r="B2321" s="25" t="s">
        <v>21519</v>
      </c>
      <c r="C2321" s="24" t="s">
        <v>520</v>
      </c>
      <c r="D2321" s="24" t="s">
        <v>21520</v>
      </c>
      <c r="E2321" s="24" t="s">
        <v>29</v>
      </c>
      <c r="F2321" s="24" t="s">
        <v>47</v>
      </c>
      <c r="G2321" s="24" t="s">
        <v>873</v>
      </c>
      <c r="H2321" s="24" t="s">
        <v>21521</v>
      </c>
      <c r="I2321" s="24" t="s">
        <v>21522</v>
      </c>
      <c r="J2321" s="24" t="s">
        <v>21523</v>
      </c>
      <c r="K2321" s="24" t="s">
        <v>21524</v>
      </c>
      <c r="L2321" s="24" t="s">
        <v>52</v>
      </c>
      <c r="M2321" s="15"/>
      <c r="N2321" s="15"/>
      <c r="O2321" s="15" t="s">
        <v>14715</v>
      </c>
      <c r="P2321" s="15" t="s">
        <v>3194</v>
      </c>
      <c r="Q2321" s="15"/>
      <c r="R2321" s="15" t="s">
        <v>21525</v>
      </c>
      <c r="S2321" s="24" t="s">
        <v>39</v>
      </c>
      <c r="T2321" s="24" t="s">
        <v>39</v>
      </c>
      <c r="U2321" s="24" t="s">
        <v>39</v>
      </c>
      <c r="V2321" s="24" t="s">
        <v>39</v>
      </c>
      <c r="W2321" s="24"/>
      <c r="X2321" s="24"/>
      <c r="Y2321" s="15"/>
      <c r="Z2321" s="15"/>
      <c r="AA2321" s="24"/>
      <c r="AB2321" s="24"/>
      <c r="AC2321" s="24"/>
      <c r="AD2321" s="24"/>
      <c r="AE2321" s="24"/>
      <c r="AF2321" s="24"/>
      <c r="AG2321" s="24"/>
      <c r="AH2321" s="24"/>
    </row>
    <row r="2322" spans="1:34" ht="90" x14ac:dyDescent="0.25">
      <c r="A2322" s="24" t="str">
        <f>HYPERLINK("https://www.cpso.on.ca/DoctorDetails/Taylor-Clayton-Armstrong/0220076-82889","Armstrong, Taylor Clayton")</f>
        <v>Armstrong, Taylor Clayton</v>
      </c>
      <c r="B2322" s="25" t="s">
        <v>21526</v>
      </c>
      <c r="C2322" s="24" t="s">
        <v>21527</v>
      </c>
      <c r="D2322" s="24" t="s">
        <v>21528</v>
      </c>
      <c r="E2322" s="24" t="s">
        <v>29</v>
      </c>
      <c r="F2322" s="24" t="s">
        <v>30</v>
      </c>
      <c r="G2322" s="24" t="s">
        <v>31</v>
      </c>
      <c r="H2322" s="24" t="s">
        <v>12363</v>
      </c>
      <c r="I2322" s="24" t="s">
        <v>21529</v>
      </c>
      <c r="J2322" s="24" t="s">
        <v>21530</v>
      </c>
      <c r="K2322" s="24" t="s">
        <v>8168</v>
      </c>
      <c r="L2322" s="24" t="s">
        <v>52</v>
      </c>
      <c r="M2322" s="15"/>
      <c r="N2322" s="15"/>
      <c r="O2322" s="15"/>
      <c r="P2322" s="15" t="s">
        <v>21531</v>
      </c>
      <c r="Q2322" s="15" t="s">
        <v>21532</v>
      </c>
      <c r="R2322" s="15" t="s">
        <v>21533</v>
      </c>
      <c r="S2322" s="24" t="s">
        <v>39</v>
      </c>
      <c r="T2322" s="24" t="s">
        <v>39</v>
      </c>
      <c r="U2322" s="24" t="s">
        <v>39</v>
      </c>
      <c r="V2322" s="24" t="s">
        <v>39</v>
      </c>
      <c r="W2322" s="24"/>
      <c r="X2322" s="24"/>
      <c r="Y2322" s="15"/>
      <c r="Z2322" s="15"/>
      <c r="AA2322" s="24"/>
      <c r="AB2322" s="24"/>
      <c r="AC2322" s="24"/>
      <c r="AD2322" s="24"/>
      <c r="AE2322" s="24"/>
      <c r="AF2322" s="24"/>
      <c r="AG2322" s="24"/>
      <c r="AH2322" s="24"/>
    </row>
    <row r="2323" spans="1:34" ht="75" x14ac:dyDescent="0.25">
      <c r="A2323" s="24" t="str">
        <f>HYPERLINK("https://www.cpso.on.ca/DoctorDetails/Teena-Darlene-Chase/0281398-97672","Chase, Teena Darlene")</f>
        <v>Chase, Teena Darlene</v>
      </c>
      <c r="B2323" s="25" t="s">
        <v>21534</v>
      </c>
      <c r="C2323" s="24" t="s">
        <v>21535</v>
      </c>
      <c r="D2323" s="24" t="s">
        <v>21536</v>
      </c>
      <c r="E2323" s="24" t="s">
        <v>29</v>
      </c>
      <c r="F2323" s="24" t="s">
        <v>47</v>
      </c>
      <c r="G2323" s="24" t="s">
        <v>31</v>
      </c>
      <c r="H2323" s="24" t="s">
        <v>11771</v>
      </c>
      <c r="I2323" s="24" t="s">
        <v>21537</v>
      </c>
      <c r="J2323" s="24" t="s">
        <v>21538</v>
      </c>
      <c r="K2323" s="24" t="s">
        <v>21539</v>
      </c>
      <c r="L2323" s="24" t="s">
        <v>84</v>
      </c>
      <c r="M2323" s="15"/>
      <c r="N2323" s="15"/>
      <c r="O2323" s="15"/>
      <c r="P2323" s="15" t="s">
        <v>21540</v>
      </c>
      <c r="Q2323" s="15" t="s">
        <v>551</v>
      </c>
      <c r="R2323" s="15" t="s">
        <v>21541</v>
      </c>
      <c r="S2323" s="24" t="s">
        <v>71</v>
      </c>
      <c r="T2323" s="24" t="s">
        <v>39</v>
      </c>
      <c r="U2323" s="24" t="s">
        <v>39</v>
      </c>
      <c r="V2323" s="24" t="s">
        <v>39</v>
      </c>
      <c r="W2323" s="24"/>
      <c r="X2323" s="24"/>
      <c r="Y2323" s="15"/>
      <c r="Z2323" s="15"/>
      <c r="AA2323" s="24"/>
      <c r="AB2323" s="24"/>
      <c r="AC2323" s="24"/>
      <c r="AD2323" s="24"/>
      <c r="AE2323" s="24"/>
      <c r="AF2323" s="24"/>
      <c r="AG2323" s="24"/>
      <c r="AH2323" s="24"/>
    </row>
    <row r="2324" spans="1:34" ht="45" x14ac:dyDescent="0.25">
      <c r="A2324" s="24" t="str">
        <f>HYPERLINK("https://www.cpso.on.ca/DoctorDetails/Tegan-Fulford-Sacevich/0220337-89578","Sacevich, Tegan Fulford")</f>
        <v>Sacevich, Tegan Fulford</v>
      </c>
      <c r="B2324" s="25" t="s">
        <v>21542</v>
      </c>
      <c r="C2324" s="24" t="s">
        <v>21543</v>
      </c>
      <c r="D2324" s="24" t="s">
        <v>2343</v>
      </c>
      <c r="E2324" s="24" t="s">
        <v>29</v>
      </c>
      <c r="F2324" s="24" t="s">
        <v>47</v>
      </c>
      <c r="G2324" s="24" t="s">
        <v>31</v>
      </c>
      <c r="H2324" s="24" t="s">
        <v>12363</v>
      </c>
      <c r="I2324" s="24" t="s">
        <v>21544</v>
      </c>
      <c r="J2324" s="24" t="s">
        <v>21545</v>
      </c>
      <c r="K2324" s="24"/>
      <c r="L2324" s="24" t="s">
        <v>3849</v>
      </c>
      <c r="M2324" s="15"/>
      <c r="N2324" s="15"/>
      <c r="O2324" s="15" t="s">
        <v>21546</v>
      </c>
      <c r="P2324" s="15" t="s">
        <v>21547</v>
      </c>
      <c r="Q2324" s="15" t="s">
        <v>21548</v>
      </c>
      <c r="R2324" s="15" t="s">
        <v>21549</v>
      </c>
      <c r="S2324" s="24" t="s">
        <v>39</v>
      </c>
      <c r="T2324" s="24" t="s">
        <v>39</v>
      </c>
      <c r="U2324" s="24" t="s">
        <v>39</v>
      </c>
      <c r="V2324" s="24" t="s">
        <v>39</v>
      </c>
      <c r="W2324" s="24"/>
      <c r="X2324" s="24"/>
      <c r="Y2324" s="15"/>
      <c r="Z2324" s="15"/>
      <c r="AA2324" s="24"/>
      <c r="AB2324" s="24"/>
      <c r="AC2324" s="24"/>
      <c r="AD2324" s="24"/>
      <c r="AE2324" s="24"/>
      <c r="AF2324" s="24"/>
      <c r="AG2324" s="24"/>
      <c r="AH2324" s="24"/>
    </row>
    <row r="2325" spans="1:34" ht="135" x14ac:dyDescent="0.25">
      <c r="A2325" s="24" t="str">
        <f>HYPERLINK("https://www.cpso.on.ca/DoctorDetails/Teresa-Ann-Bennett/0181514-76554","Bennett, Teresa Ann")</f>
        <v>Bennett, Teresa Ann</v>
      </c>
      <c r="B2325" s="25" t="s">
        <v>21550</v>
      </c>
      <c r="C2325" s="24" t="s">
        <v>1130</v>
      </c>
      <c r="D2325" s="24" t="s">
        <v>4401</v>
      </c>
      <c r="E2325" s="24" t="s">
        <v>29</v>
      </c>
      <c r="F2325" s="24" t="s">
        <v>47</v>
      </c>
      <c r="G2325" s="24" t="s">
        <v>813</v>
      </c>
      <c r="H2325" s="24" t="s">
        <v>1132</v>
      </c>
      <c r="I2325" s="24" t="s">
        <v>21551</v>
      </c>
      <c r="J2325" s="24" t="s">
        <v>6797</v>
      </c>
      <c r="K2325" s="24" t="s">
        <v>21552</v>
      </c>
      <c r="L2325" s="24" t="s">
        <v>184</v>
      </c>
      <c r="M2325" s="15"/>
      <c r="N2325" s="15"/>
      <c r="O2325" s="15" t="s">
        <v>21553</v>
      </c>
      <c r="P2325" s="15" t="s">
        <v>1149</v>
      </c>
      <c r="Q2325" s="15" t="s">
        <v>21554</v>
      </c>
      <c r="R2325" s="15" t="s">
        <v>4407</v>
      </c>
      <c r="S2325" s="24" t="s">
        <v>39</v>
      </c>
      <c r="T2325" s="24" t="s">
        <v>39</v>
      </c>
      <c r="U2325" s="24" t="s">
        <v>39</v>
      </c>
      <c r="V2325" s="24" t="s">
        <v>39</v>
      </c>
      <c r="W2325" s="24" t="s">
        <v>21555</v>
      </c>
      <c r="X2325" s="24" t="s">
        <v>18844</v>
      </c>
      <c r="Y2325" s="15" t="s">
        <v>21556</v>
      </c>
      <c r="Z2325" s="15" t="s">
        <v>21557</v>
      </c>
      <c r="AA2325" s="24"/>
      <c r="AB2325" s="24"/>
      <c r="AC2325" s="24"/>
      <c r="AD2325" s="24"/>
      <c r="AE2325" s="24"/>
      <c r="AF2325" s="24"/>
      <c r="AG2325" s="24"/>
      <c r="AH2325" s="24"/>
    </row>
    <row r="2326" spans="1:34" ht="75" x14ac:dyDescent="0.25">
      <c r="A2326" s="24" t="str">
        <f>HYPERLINK("https://www.cpso.on.ca/DoctorDetails/Teresa-Danuta-Blichowski/0051778-65757","Blichowski, Teresa Danuta")</f>
        <v>Blichowski, Teresa Danuta</v>
      </c>
      <c r="B2326" s="25" t="s">
        <v>21558</v>
      </c>
      <c r="C2326" s="24" t="s">
        <v>21559</v>
      </c>
      <c r="D2326" s="24" t="s">
        <v>21560</v>
      </c>
      <c r="E2326" s="24" t="s">
        <v>29</v>
      </c>
      <c r="F2326" s="24" t="s">
        <v>47</v>
      </c>
      <c r="G2326" s="24" t="s">
        <v>1657</v>
      </c>
      <c r="H2326" s="24" t="s">
        <v>21561</v>
      </c>
      <c r="I2326" s="24" t="s">
        <v>21562</v>
      </c>
      <c r="J2326" s="24" t="s">
        <v>2716</v>
      </c>
      <c r="K2326" s="24"/>
      <c r="L2326" s="24" t="s">
        <v>135</v>
      </c>
      <c r="M2326" s="15" t="s">
        <v>21563</v>
      </c>
      <c r="N2326" s="15"/>
      <c r="O2326" s="15" t="s">
        <v>11922</v>
      </c>
      <c r="P2326" s="15" t="s">
        <v>2125</v>
      </c>
      <c r="Q2326" s="15" t="s">
        <v>21564</v>
      </c>
      <c r="R2326" s="15" t="s">
        <v>21565</v>
      </c>
      <c r="S2326" s="24" t="s">
        <v>39</v>
      </c>
      <c r="T2326" s="24" t="s">
        <v>39</v>
      </c>
      <c r="U2326" s="24" t="s">
        <v>39</v>
      </c>
      <c r="V2326" s="24" t="s">
        <v>39</v>
      </c>
      <c r="W2326" s="24" t="s">
        <v>21566</v>
      </c>
      <c r="X2326" s="24" t="s">
        <v>10602</v>
      </c>
      <c r="Y2326" s="15" t="s">
        <v>21567</v>
      </c>
      <c r="Z2326" s="15" t="s">
        <v>21568</v>
      </c>
      <c r="AA2326" s="24"/>
      <c r="AB2326" s="24"/>
      <c r="AC2326" s="24"/>
      <c r="AD2326" s="24"/>
      <c r="AE2326" s="24"/>
      <c r="AF2326" s="24"/>
      <c r="AG2326" s="24"/>
      <c r="AH2326" s="24"/>
    </row>
    <row r="2327" spans="1:34" ht="75" x14ac:dyDescent="0.25">
      <c r="A2327" s="24" t="str">
        <f>HYPERLINK("https://www.cpso.on.ca/DoctorDetails/Teresa-Lim/0300425-105696","Lim, Teresa")</f>
        <v>Lim, Teresa</v>
      </c>
      <c r="B2327" s="25" t="s">
        <v>21569</v>
      </c>
      <c r="C2327" s="24" t="s">
        <v>21570</v>
      </c>
      <c r="D2327" s="24" t="s">
        <v>21571</v>
      </c>
      <c r="E2327" s="24" t="s">
        <v>29</v>
      </c>
      <c r="F2327" s="24" t="s">
        <v>47</v>
      </c>
      <c r="G2327" s="24" t="s">
        <v>31</v>
      </c>
      <c r="H2327" s="24" t="s">
        <v>21572</v>
      </c>
      <c r="I2327" s="24" t="s">
        <v>21573</v>
      </c>
      <c r="J2327" s="24" t="s">
        <v>2506</v>
      </c>
      <c r="K2327" s="24" t="s">
        <v>21574</v>
      </c>
      <c r="L2327" s="24" t="s">
        <v>52</v>
      </c>
      <c r="M2327" s="15"/>
      <c r="N2327" s="15" t="s">
        <v>1449</v>
      </c>
      <c r="O2327" s="15" t="s">
        <v>958</v>
      </c>
      <c r="P2327" s="15" t="s">
        <v>21575</v>
      </c>
      <c r="Q2327" s="15"/>
      <c r="R2327" s="15" t="s">
        <v>21576</v>
      </c>
      <c r="S2327" s="24" t="s">
        <v>71</v>
      </c>
      <c r="T2327" s="24" t="s">
        <v>39</v>
      </c>
      <c r="U2327" s="24" t="s">
        <v>39</v>
      </c>
      <c r="V2327" s="24" t="s">
        <v>39</v>
      </c>
      <c r="W2327" s="24" t="s">
        <v>21577</v>
      </c>
      <c r="X2327" s="24" t="s">
        <v>21578</v>
      </c>
      <c r="Y2327" s="15" t="s">
        <v>21579</v>
      </c>
      <c r="Z2327" s="15" t="s">
        <v>21580</v>
      </c>
      <c r="AA2327" s="24"/>
      <c r="AB2327" s="24"/>
      <c r="AC2327" s="24"/>
      <c r="AD2327" s="24"/>
      <c r="AE2327" s="24"/>
      <c r="AF2327" s="24"/>
      <c r="AG2327" s="24"/>
      <c r="AH2327" s="24"/>
    </row>
    <row r="2328" spans="1:34" ht="45" x14ac:dyDescent="0.25">
      <c r="A2328" s="24" t="str">
        <f>HYPERLINK("https://www.cpso.on.ca/DoctorDetails/Thaddeus-Patrick-Manus-Ulzen/0038059-52035","Ulzen, Thaddeus Patrick Manus")</f>
        <v>Ulzen, Thaddeus Patrick Manus</v>
      </c>
      <c r="B2328" s="25" t="s">
        <v>21581</v>
      </c>
      <c r="C2328" s="24" t="s">
        <v>21582</v>
      </c>
      <c r="D2328" s="24" t="s">
        <v>21583</v>
      </c>
      <c r="E2328" s="24" t="s">
        <v>29</v>
      </c>
      <c r="F2328" s="24" t="s">
        <v>30</v>
      </c>
      <c r="G2328" s="24" t="s">
        <v>556</v>
      </c>
      <c r="H2328" s="24" t="s">
        <v>313</v>
      </c>
      <c r="I2328" s="24" t="s">
        <v>21584</v>
      </c>
      <c r="J2328" s="24" t="s">
        <v>21585</v>
      </c>
      <c r="K2328" s="24"/>
      <c r="L2328" s="24" t="s">
        <v>36</v>
      </c>
      <c r="M2328" s="15"/>
      <c r="N2328" s="15" t="s">
        <v>21586</v>
      </c>
      <c r="O2328" s="15"/>
      <c r="P2328" s="15" t="s">
        <v>10817</v>
      </c>
      <c r="Q2328" s="15"/>
      <c r="R2328" s="15" t="s">
        <v>21587</v>
      </c>
      <c r="S2328" s="24" t="s">
        <v>39</v>
      </c>
      <c r="T2328" s="24" t="s">
        <v>39</v>
      </c>
      <c r="U2328" s="24" t="s">
        <v>39</v>
      </c>
      <c r="V2328" s="24" t="s">
        <v>39</v>
      </c>
      <c r="W2328" s="24"/>
      <c r="X2328" s="24"/>
      <c r="Y2328" s="15"/>
      <c r="Z2328" s="15"/>
      <c r="AA2328" s="24"/>
      <c r="AB2328" s="24"/>
      <c r="AC2328" s="24"/>
      <c r="AD2328" s="24"/>
      <c r="AE2328" s="24"/>
      <c r="AF2328" s="24"/>
      <c r="AG2328" s="24"/>
      <c r="AH2328" s="24"/>
    </row>
    <row r="2329" spans="1:34" ht="45" x14ac:dyDescent="0.25">
      <c r="A2329" s="24" t="str">
        <f>HYPERLINK("https://www.cpso.on.ca/DoctorDetails/TheresaAnn-Clarke/0053312-67278","Clarke, Theresa-Ann")</f>
        <v>Clarke, Theresa-Ann</v>
      </c>
      <c r="B2329" s="25" t="s">
        <v>21588</v>
      </c>
      <c r="C2329" s="24" t="s">
        <v>21589</v>
      </c>
      <c r="D2329" s="24" t="s">
        <v>21590</v>
      </c>
      <c r="E2329" s="24" t="s">
        <v>21591</v>
      </c>
      <c r="F2329" s="24" t="s">
        <v>47</v>
      </c>
      <c r="G2329" s="24" t="s">
        <v>31</v>
      </c>
      <c r="H2329" s="24" t="s">
        <v>21592</v>
      </c>
      <c r="I2329" s="24" t="s">
        <v>21593</v>
      </c>
      <c r="J2329" s="24" t="s">
        <v>21594</v>
      </c>
      <c r="K2329" s="24" t="s">
        <v>21595</v>
      </c>
      <c r="L2329" s="24" t="s">
        <v>184</v>
      </c>
      <c r="M2329" s="15" t="s">
        <v>21596</v>
      </c>
      <c r="N2329" s="15"/>
      <c r="O2329" s="15" t="s">
        <v>6884</v>
      </c>
      <c r="P2329" s="15" t="s">
        <v>2293</v>
      </c>
      <c r="Q2329" s="15" t="s">
        <v>21597</v>
      </c>
      <c r="R2329" s="15" t="s">
        <v>21598</v>
      </c>
      <c r="S2329" s="24" t="s">
        <v>39</v>
      </c>
      <c r="T2329" s="24" t="s">
        <v>39</v>
      </c>
      <c r="U2329" s="24" t="s">
        <v>39</v>
      </c>
      <c r="V2329" s="24" t="s">
        <v>39</v>
      </c>
      <c r="W2329" s="24" t="s">
        <v>21599</v>
      </c>
      <c r="X2329" s="24" t="s">
        <v>12305</v>
      </c>
      <c r="Y2329" s="15" t="s">
        <v>21600</v>
      </c>
      <c r="Z2329" s="15" t="s">
        <v>21601</v>
      </c>
      <c r="AA2329" s="24"/>
      <c r="AB2329" s="24"/>
      <c r="AC2329" s="24"/>
      <c r="AD2329" s="24"/>
      <c r="AE2329" s="24"/>
      <c r="AF2329" s="24"/>
      <c r="AG2329" s="24"/>
      <c r="AH2329" s="24"/>
    </row>
    <row r="2330" spans="1:34" ht="120" x14ac:dyDescent="0.25">
      <c r="A2330" s="24" t="str">
        <f>HYPERLINK("https://www.cpso.on.ca/DoctorDetails/Therese-Alexandra-Zarb/0150120-72510","Zarb, Therese Alexandra")</f>
        <v>Zarb, Therese Alexandra</v>
      </c>
      <c r="B2330" s="25" t="s">
        <v>21602</v>
      </c>
      <c r="C2330" s="24" t="s">
        <v>21603</v>
      </c>
      <c r="D2330" s="24" t="s">
        <v>21604</v>
      </c>
      <c r="E2330" s="24" t="s">
        <v>29</v>
      </c>
      <c r="F2330" s="24" t="s">
        <v>47</v>
      </c>
      <c r="G2330" s="24" t="s">
        <v>31</v>
      </c>
      <c r="H2330" s="24" t="s">
        <v>8165</v>
      </c>
      <c r="I2330" s="24" t="s">
        <v>5963</v>
      </c>
      <c r="J2330" s="24" t="s">
        <v>21605</v>
      </c>
      <c r="K2330" s="24" t="s">
        <v>21606</v>
      </c>
      <c r="L2330" s="24" t="s">
        <v>52</v>
      </c>
      <c r="M2330" s="15"/>
      <c r="N2330" s="15"/>
      <c r="O2330" s="15"/>
      <c r="P2330" s="15" t="s">
        <v>4943</v>
      </c>
      <c r="Q2330" s="15" t="s">
        <v>21607</v>
      </c>
      <c r="R2330" s="15" t="s">
        <v>21608</v>
      </c>
      <c r="S2330" s="24" t="s">
        <v>39</v>
      </c>
      <c r="T2330" s="24" t="s">
        <v>39</v>
      </c>
      <c r="U2330" s="24" t="s">
        <v>39</v>
      </c>
      <c r="V2330" s="24" t="s">
        <v>39</v>
      </c>
      <c r="W2330" s="24"/>
      <c r="X2330" s="24"/>
      <c r="Y2330" s="15"/>
      <c r="Z2330" s="15"/>
      <c r="AA2330" s="24"/>
      <c r="AB2330" s="24"/>
      <c r="AC2330" s="24"/>
      <c r="AD2330" s="24"/>
      <c r="AE2330" s="24"/>
      <c r="AF2330" s="24"/>
      <c r="AG2330" s="24"/>
      <c r="AH2330" s="24"/>
    </row>
    <row r="2331" spans="1:34" x14ac:dyDescent="0.25">
      <c r="A2331" s="24" t="str">
        <f>HYPERLINK("https://www.cpso.on.ca/DoctorDetails/Thilo-Eberhard-Vollrath/0020195-24983","Vollrath, Thilo Eberhard")</f>
        <v>Vollrath, Thilo Eberhard</v>
      </c>
      <c r="B2331" s="25" t="s">
        <v>21609</v>
      </c>
      <c r="C2331" s="24" t="s">
        <v>6941</v>
      </c>
      <c r="D2331" s="24" t="s">
        <v>21610</v>
      </c>
      <c r="E2331" s="24" t="s">
        <v>29</v>
      </c>
      <c r="F2331" s="24" t="s">
        <v>30</v>
      </c>
      <c r="G2331" s="24" t="s">
        <v>31</v>
      </c>
      <c r="H2331" s="24" t="s">
        <v>12633</v>
      </c>
      <c r="I2331" s="24" t="s">
        <v>21611</v>
      </c>
      <c r="J2331" s="24" t="s">
        <v>21612</v>
      </c>
      <c r="K2331" s="24" t="s">
        <v>21613</v>
      </c>
      <c r="L2331" s="24" t="s">
        <v>84</v>
      </c>
      <c r="M2331" s="15"/>
      <c r="N2331" s="15"/>
      <c r="O2331" s="15"/>
      <c r="P2331" s="15" t="s">
        <v>10389</v>
      </c>
      <c r="Q2331" s="15"/>
      <c r="R2331" s="15" t="s">
        <v>21614</v>
      </c>
      <c r="S2331" s="24" t="s">
        <v>39</v>
      </c>
      <c r="T2331" s="24" t="s">
        <v>39</v>
      </c>
      <c r="U2331" s="24" t="s">
        <v>39</v>
      </c>
      <c r="V2331" s="24" t="s">
        <v>39</v>
      </c>
      <c r="W2331" s="24"/>
      <c r="X2331" s="24"/>
      <c r="Y2331" s="15"/>
      <c r="Z2331" s="15"/>
      <c r="AA2331" s="24"/>
      <c r="AB2331" s="24"/>
      <c r="AC2331" s="24"/>
      <c r="AD2331" s="24"/>
      <c r="AE2331" s="24"/>
      <c r="AF2331" s="24"/>
      <c r="AG2331" s="24"/>
      <c r="AH2331" s="24"/>
    </row>
    <row r="2332" spans="1:34" ht="90" x14ac:dyDescent="0.25">
      <c r="A2332" s="24" t="str">
        <f>HYPERLINK("https://www.cpso.on.ca/DoctorDetails/Thomas-Charles-Crocker/0041470-55446","Crocker, Thomas Charles")</f>
        <v>Crocker, Thomas Charles</v>
      </c>
      <c r="B2332" s="25" t="s">
        <v>21615</v>
      </c>
      <c r="C2332" s="24" t="s">
        <v>2902</v>
      </c>
      <c r="D2332" s="24" t="s">
        <v>21616</v>
      </c>
      <c r="E2332" s="24" t="s">
        <v>29</v>
      </c>
      <c r="F2332" s="24" t="s">
        <v>30</v>
      </c>
      <c r="G2332" s="24" t="s">
        <v>31</v>
      </c>
      <c r="H2332" s="24" t="s">
        <v>2904</v>
      </c>
      <c r="I2332" s="24" t="s">
        <v>2917</v>
      </c>
      <c r="J2332" s="24" t="s">
        <v>21617</v>
      </c>
      <c r="K2332" s="24" t="s">
        <v>9657</v>
      </c>
      <c r="L2332" s="24" t="s">
        <v>52</v>
      </c>
      <c r="M2332" s="15"/>
      <c r="N2332" s="15"/>
      <c r="O2332" s="15"/>
      <c r="P2332" s="15" t="s">
        <v>1842</v>
      </c>
      <c r="Q2332" s="15" t="s">
        <v>21618</v>
      </c>
      <c r="R2332" s="15" t="s">
        <v>21619</v>
      </c>
      <c r="S2332" s="24" t="s">
        <v>39</v>
      </c>
      <c r="T2332" s="24" t="s">
        <v>39</v>
      </c>
      <c r="U2332" s="24" t="s">
        <v>39</v>
      </c>
      <c r="V2332" s="24" t="s">
        <v>39</v>
      </c>
      <c r="W2332" s="24" t="s">
        <v>21620</v>
      </c>
      <c r="X2332" s="24" t="s">
        <v>21621</v>
      </c>
      <c r="Y2332" s="15" t="s">
        <v>21622</v>
      </c>
      <c r="Z2332" s="15" t="s">
        <v>21623</v>
      </c>
      <c r="AA2332" s="24"/>
      <c r="AB2332" s="24"/>
      <c r="AC2332" s="24"/>
      <c r="AD2332" s="24"/>
      <c r="AE2332" s="24"/>
      <c r="AF2332" s="24"/>
      <c r="AG2332" s="24"/>
      <c r="AH2332" s="24"/>
    </row>
    <row r="2333" spans="1:34" ht="105" x14ac:dyDescent="0.25">
      <c r="A2333" s="24" t="str">
        <f>HYPERLINK("https://www.cpso.on.ca/DoctorDetails/Thomas-Edward-Ungar/0044441-58419","Ungar, Thomas Edward")</f>
        <v>Ungar, Thomas Edward</v>
      </c>
      <c r="B2333" s="25" t="s">
        <v>21624</v>
      </c>
      <c r="C2333" s="24" t="s">
        <v>1609</v>
      </c>
      <c r="D2333" s="24" t="s">
        <v>21625</v>
      </c>
      <c r="E2333" s="24" t="s">
        <v>29</v>
      </c>
      <c r="F2333" s="24" t="s">
        <v>30</v>
      </c>
      <c r="G2333" s="24" t="s">
        <v>31</v>
      </c>
      <c r="H2333" s="24" t="s">
        <v>2189</v>
      </c>
      <c r="I2333" s="24" t="s">
        <v>21626</v>
      </c>
      <c r="J2333" s="24" t="s">
        <v>21627</v>
      </c>
      <c r="K2333" s="24" t="s">
        <v>21628</v>
      </c>
      <c r="L2333" s="24" t="s">
        <v>52</v>
      </c>
      <c r="M2333" s="15"/>
      <c r="N2333" s="15"/>
      <c r="O2333" s="15" t="s">
        <v>21629</v>
      </c>
      <c r="P2333" s="15" t="s">
        <v>21630</v>
      </c>
      <c r="Q2333" s="15" t="s">
        <v>21631</v>
      </c>
      <c r="R2333" s="15" t="s">
        <v>21632</v>
      </c>
      <c r="S2333" s="24" t="s">
        <v>39</v>
      </c>
      <c r="T2333" s="24" t="s">
        <v>39</v>
      </c>
      <c r="U2333" s="24" t="s">
        <v>39</v>
      </c>
      <c r="V2333" s="24" t="s">
        <v>39</v>
      </c>
      <c r="W2333" s="24" t="s">
        <v>21633</v>
      </c>
      <c r="X2333" s="24" t="s">
        <v>21634</v>
      </c>
      <c r="Y2333" s="15" t="s">
        <v>21635</v>
      </c>
      <c r="Z2333" s="15" t="s">
        <v>21636</v>
      </c>
      <c r="AA2333" s="24"/>
      <c r="AB2333" s="24"/>
      <c r="AC2333" s="24"/>
      <c r="AD2333" s="24"/>
      <c r="AE2333" s="24"/>
      <c r="AF2333" s="24"/>
      <c r="AG2333" s="24"/>
      <c r="AH2333" s="24"/>
    </row>
    <row r="2334" spans="1:34" ht="90" x14ac:dyDescent="0.25">
      <c r="A2334" s="24" t="str">
        <f>HYPERLINK("https://www.cpso.on.ca/DoctorDetails/Thomas-Ford-Muir/0280668-97783","Muir, Thomas Ford")</f>
        <v>Muir, Thomas Ford</v>
      </c>
      <c r="B2334" s="25" t="s">
        <v>21637</v>
      </c>
      <c r="C2334" s="24" t="s">
        <v>544</v>
      </c>
      <c r="D2334" s="24" t="s">
        <v>200</v>
      </c>
      <c r="E2334" s="24" t="s">
        <v>29</v>
      </c>
      <c r="F2334" s="24" t="s">
        <v>30</v>
      </c>
      <c r="G2334" s="24" t="s">
        <v>31</v>
      </c>
      <c r="H2334" s="24" t="s">
        <v>546</v>
      </c>
      <c r="I2334" s="24" t="s">
        <v>21638</v>
      </c>
      <c r="J2334" s="24"/>
      <c r="K2334" s="24"/>
      <c r="L2334" s="24" t="s">
        <v>36</v>
      </c>
      <c r="M2334" s="15"/>
      <c r="N2334" s="15"/>
      <c r="O2334" s="15"/>
      <c r="P2334" s="15" t="s">
        <v>205</v>
      </c>
      <c r="Q2334" s="15" t="s">
        <v>21639</v>
      </c>
      <c r="R2334" s="15" t="s">
        <v>11655</v>
      </c>
      <c r="S2334" s="24" t="s">
        <v>39</v>
      </c>
      <c r="T2334" s="24" t="s">
        <v>39</v>
      </c>
      <c r="U2334" s="24" t="s">
        <v>39</v>
      </c>
      <c r="V2334" s="24" t="s">
        <v>39</v>
      </c>
      <c r="W2334" s="24"/>
      <c r="X2334" s="24"/>
      <c r="Y2334" s="15"/>
      <c r="Z2334" s="15"/>
      <c r="AA2334" s="24"/>
      <c r="AB2334" s="24"/>
      <c r="AC2334" s="24"/>
      <c r="AD2334" s="24"/>
      <c r="AE2334" s="24"/>
      <c r="AF2334" s="24"/>
      <c r="AG2334" s="24"/>
      <c r="AH2334" s="24"/>
    </row>
    <row r="2335" spans="1:34" x14ac:dyDescent="0.25">
      <c r="A2335" s="24" t="str">
        <f>HYPERLINK("https://www.cpso.on.ca/DoctorDetails/Thomas-Hugh-Barr-OBrien/0026860-31683","O'Brien, Thomas Hugh Barr")</f>
        <v>O'Brien, Thomas Hugh Barr</v>
      </c>
      <c r="B2335" s="25" t="s">
        <v>21640</v>
      </c>
      <c r="C2335" s="24" t="s">
        <v>19385</v>
      </c>
      <c r="D2335" s="24" t="s">
        <v>19386</v>
      </c>
      <c r="E2335" s="24" t="s">
        <v>29</v>
      </c>
      <c r="F2335" s="24" t="s">
        <v>30</v>
      </c>
      <c r="G2335" s="24" t="s">
        <v>31</v>
      </c>
      <c r="H2335" s="24" t="s">
        <v>14857</v>
      </c>
      <c r="I2335" s="24" t="s">
        <v>21641</v>
      </c>
      <c r="J2335" s="24" t="s">
        <v>21642</v>
      </c>
      <c r="K2335" s="24"/>
      <c r="L2335" s="24" t="s">
        <v>52</v>
      </c>
      <c r="M2335" s="15"/>
      <c r="N2335" s="15"/>
      <c r="O2335" s="15"/>
      <c r="P2335" s="15" t="s">
        <v>3636</v>
      </c>
      <c r="Q2335" s="15"/>
      <c r="R2335" s="15" t="s">
        <v>19391</v>
      </c>
      <c r="S2335" s="24" t="s">
        <v>39</v>
      </c>
      <c r="T2335" s="24" t="s">
        <v>39</v>
      </c>
      <c r="U2335" s="24" t="s">
        <v>39</v>
      </c>
      <c r="V2335" s="24" t="s">
        <v>39</v>
      </c>
      <c r="W2335" s="24"/>
      <c r="X2335" s="24"/>
      <c r="Y2335" s="15"/>
      <c r="Z2335" s="15"/>
      <c r="AA2335" s="24"/>
      <c r="AB2335" s="24"/>
      <c r="AC2335" s="24"/>
      <c r="AD2335" s="24"/>
      <c r="AE2335" s="24"/>
      <c r="AF2335" s="24"/>
      <c r="AG2335" s="24"/>
      <c r="AH2335" s="24"/>
    </row>
    <row r="2336" spans="1:34" ht="75" x14ac:dyDescent="0.25">
      <c r="A2336" s="24" t="str">
        <f>HYPERLINK("https://www.cpso.on.ca/DoctorDetails/Thomas-Jeffrey-McAuley/0057406-68994","McAuley, Thomas Jeffrey")</f>
        <v>McAuley, Thomas Jeffrey</v>
      </c>
      <c r="B2336" s="25" t="s">
        <v>21643</v>
      </c>
      <c r="C2336" s="24" t="s">
        <v>3831</v>
      </c>
      <c r="D2336" s="24" t="s">
        <v>214</v>
      </c>
      <c r="E2336" s="24" t="s">
        <v>29</v>
      </c>
      <c r="F2336" s="24" t="s">
        <v>30</v>
      </c>
      <c r="G2336" s="24" t="s">
        <v>31</v>
      </c>
      <c r="H2336" s="24" t="s">
        <v>3832</v>
      </c>
      <c r="I2336" s="24" t="s">
        <v>21644</v>
      </c>
      <c r="J2336" s="24" t="s">
        <v>21645</v>
      </c>
      <c r="K2336" s="24" t="s">
        <v>21646</v>
      </c>
      <c r="L2336" s="24" t="s">
        <v>135</v>
      </c>
      <c r="M2336" s="15" t="s">
        <v>21647</v>
      </c>
      <c r="N2336" s="15"/>
      <c r="O2336" s="15" t="s">
        <v>17330</v>
      </c>
      <c r="P2336" s="15" t="s">
        <v>1343</v>
      </c>
      <c r="Q2336" s="15" t="s">
        <v>21648</v>
      </c>
      <c r="R2336" s="15" t="s">
        <v>3839</v>
      </c>
      <c r="S2336" s="24" t="s">
        <v>39</v>
      </c>
      <c r="T2336" s="24" t="s">
        <v>39</v>
      </c>
      <c r="U2336" s="24" t="s">
        <v>39</v>
      </c>
      <c r="V2336" s="24" t="s">
        <v>39</v>
      </c>
      <c r="W2336" s="24" t="s">
        <v>21649</v>
      </c>
      <c r="X2336" s="24" t="s">
        <v>21650</v>
      </c>
      <c r="Y2336" s="15" t="s">
        <v>21651</v>
      </c>
      <c r="Z2336" s="15" t="s">
        <v>21652</v>
      </c>
      <c r="AA2336" s="24"/>
      <c r="AB2336" s="24"/>
      <c r="AC2336" s="24"/>
      <c r="AD2336" s="24"/>
      <c r="AE2336" s="24"/>
      <c r="AF2336" s="24"/>
      <c r="AG2336" s="24"/>
      <c r="AH2336" s="24"/>
    </row>
    <row r="2337" spans="1:34" ht="75" x14ac:dyDescent="0.25">
      <c r="A2337" s="24" t="str">
        <f>HYPERLINK("https://www.cpso.on.ca/DoctorDetails/Thomas-John-Elgin-Karl-Hastings/0149911-72273","Hastings, Thomas John Elgin Karl")</f>
        <v>Hastings, Thomas John Elgin Karl</v>
      </c>
      <c r="B2337" s="25" t="s">
        <v>21653</v>
      </c>
      <c r="C2337" s="24" t="s">
        <v>954</v>
      </c>
      <c r="D2337" s="24" t="s">
        <v>1323</v>
      </c>
      <c r="E2337" s="24" t="s">
        <v>29</v>
      </c>
      <c r="F2337" s="24" t="s">
        <v>30</v>
      </c>
      <c r="G2337" s="24" t="s">
        <v>31</v>
      </c>
      <c r="H2337" s="24" t="s">
        <v>2165</v>
      </c>
      <c r="I2337" s="24" t="s">
        <v>4296</v>
      </c>
      <c r="J2337" s="24" t="s">
        <v>21654</v>
      </c>
      <c r="K2337" s="24" t="s">
        <v>21655</v>
      </c>
      <c r="L2337" s="24" t="s">
        <v>184</v>
      </c>
      <c r="M2337" s="15"/>
      <c r="N2337" s="15"/>
      <c r="O2337" s="15" t="s">
        <v>2169</v>
      </c>
      <c r="P2337" s="15" t="s">
        <v>1330</v>
      </c>
      <c r="Q2337" s="15" t="s">
        <v>2170</v>
      </c>
      <c r="R2337" s="15" t="s">
        <v>2171</v>
      </c>
      <c r="S2337" s="24" t="s">
        <v>39</v>
      </c>
      <c r="T2337" s="24" t="s">
        <v>39</v>
      </c>
      <c r="U2337" s="24" t="s">
        <v>39</v>
      </c>
      <c r="V2337" s="24" t="s">
        <v>39</v>
      </c>
      <c r="W2337" s="24" t="s">
        <v>21656</v>
      </c>
      <c r="X2337" s="24" t="s">
        <v>21657</v>
      </c>
      <c r="Y2337" s="15" t="s">
        <v>21658</v>
      </c>
      <c r="Z2337" s="15" t="s">
        <v>12176</v>
      </c>
      <c r="AA2337" s="24"/>
      <c r="AB2337" s="24"/>
      <c r="AC2337" s="24"/>
      <c r="AD2337" s="24"/>
      <c r="AE2337" s="24"/>
      <c r="AF2337" s="24"/>
      <c r="AG2337" s="24"/>
      <c r="AH2337" s="24"/>
    </row>
    <row r="2338" spans="1:34" ht="75" x14ac:dyDescent="0.25">
      <c r="A2338" s="24" t="str">
        <f>HYPERLINK("https://www.cpso.on.ca/DoctorDetails/Thomas-Onuora-Obinwa/0302093-107904","Obinwa, Thomas Onuora")</f>
        <v>Obinwa, Thomas Onuora</v>
      </c>
      <c r="B2338" s="25" t="s">
        <v>21659</v>
      </c>
      <c r="C2338" s="24" t="s">
        <v>21660</v>
      </c>
      <c r="D2338" s="24" t="s">
        <v>21661</v>
      </c>
      <c r="E2338" s="24" t="s">
        <v>29</v>
      </c>
      <c r="F2338" s="24" t="s">
        <v>30</v>
      </c>
      <c r="G2338" s="24" t="s">
        <v>31</v>
      </c>
      <c r="H2338" s="24" t="s">
        <v>3304</v>
      </c>
      <c r="I2338" s="24" t="s">
        <v>3305</v>
      </c>
      <c r="J2338" s="24" t="s">
        <v>21662</v>
      </c>
      <c r="K2338" s="24"/>
      <c r="L2338" s="24" t="s">
        <v>328</v>
      </c>
      <c r="M2338" s="15"/>
      <c r="N2338" s="15" t="s">
        <v>398</v>
      </c>
      <c r="O2338" s="15" t="s">
        <v>3307</v>
      </c>
      <c r="P2338" s="15" t="s">
        <v>4249</v>
      </c>
      <c r="Q2338" s="15"/>
      <c r="R2338" s="15" t="s">
        <v>21663</v>
      </c>
      <c r="S2338" s="24" t="s">
        <v>39</v>
      </c>
      <c r="T2338" s="24" t="s">
        <v>39</v>
      </c>
      <c r="U2338" s="24" t="s">
        <v>39</v>
      </c>
      <c r="V2338" s="24" t="s">
        <v>39</v>
      </c>
      <c r="W2338" s="24" t="s">
        <v>21664</v>
      </c>
      <c r="X2338" s="24" t="s">
        <v>21665</v>
      </c>
      <c r="Y2338" s="15" t="s">
        <v>21666</v>
      </c>
      <c r="Z2338" s="15" t="s">
        <v>3313</v>
      </c>
      <c r="AA2338" s="24"/>
      <c r="AB2338" s="24"/>
      <c r="AC2338" s="24"/>
      <c r="AD2338" s="24"/>
      <c r="AE2338" s="24"/>
      <c r="AF2338" s="24"/>
      <c r="AG2338" s="24"/>
      <c r="AH2338" s="24"/>
    </row>
    <row r="2339" spans="1:34" x14ac:dyDescent="0.25">
      <c r="A2339" s="24" t="str">
        <f>HYPERLINK("https://www.cpso.on.ca/DoctorDetails/Thomas-Verny/0013566-18347","Verny, Thomas")</f>
        <v>Verny, Thomas</v>
      </c>
      <c r="B2339" s="25" t="s">
        <v>21667</v>
      </c>
      <c r="C2339" s="24" t="s">
        <v>21668</v>
      </c>
      <c r="D2339" s="24" t="s">
        <v>21669</v>
      </c>
      <c r="E2339" s="24" t="s">
        <v>29</v>
      </c>
      <c r="F2339" s="24" t="s">
        <v>30</v>
      </c>
      <c r="G2339" s="24" t="s">
        <v>6608</v>
      </c>
      <c r="H2339" s="24" t="s">
        <v>4648</v>
      </c>
      <c r="I2339" s="24" t="s">
        <v>107</v>
      </c>
      <c r="J2339" s="24"/>
      <c r="K2339" s="24"/>
      <c r="L2339" s="24"/>
      <c r="M2339" s="15"/>
      <c r="N2339" s="15"/>
      <c r="O2339" s="15"/>
      <c r="P2339" s="15" t="s">
        <v>21670</v>
      </c>
      <c r="Q2339" s="15"/>
      <c r="R2339" s="15" t="s">
        <v>21671</v>
      </c>
      <c r="S2339" s="24" t="s">
        <v>39</v>
      </c>
      <c r="T2339" s="24" t="s">
        <v>39</v>
      </c>
      <c r="U2339" s="24" t="s">
        <v>39</v>
      </c>
      <c r="V2339" s="24" t="s">
        <v>39</v>
      </c>
      <c r="W2339" s="24"/>
      <c r="X2339" s="24"/>
      <c r="Y2339" s="15"/>
      <c r="Z2339" s="15"/>
      <c r="AA2339" s="24"/>
      <c r="AB2339" s="24"/>
      <c r="AC2339" s="24"/>
      <c r="AD2339" s="24"/>
      <c r="AE2339" s="24"/>
      <c r="AF2339" s="24"/>
      <c r="AG2339" s="24"/>
      <c r="AH2339" s="24"/>
    </row>
    <row r="2340" spans="1:34" ht="30" x14ac:dyDescent="0.25">
      <c r="A2340" s="24" t="str">
        <f>HYPERLINK("https://www.cpso.on.ca/DoctorDetails/Tilak-De-Fonseka-Mendis/0039059-53035","Mendis, Tilak De Fonseka")</f>
        <v>Mendis, Tilak De Fonseka</v>
      </c>
      <c r="B2340" s="25" t="s">
        <v>21672</v>
      </c>
      <c r="C2340" s="24" t="s">
        <v>21673</v>
      </c>
      <c r="D2340" s="24" t="s">
        <v>21674</v>
      </c>
      <c r="E2340" s="24" t="s">
        <v>29</v>
      </c>
      <c r="F2340" s="24" t="s">
        <v>30</v>
      </c>
      <c r="G2340" s="24" t="s">
        <v>5884</v>
      </c>
      <c r="H2340" s="24" t="s">
        <v>21675</v>
      </c>
      <c r="I2340" s="24" t="s">
        <v>21676</v>
      </c>
      <c r="J2340" s="24" t="s">
        <v>21677</v>
      </c>
      <c r="K2340" s="24" t="s">
        <v>21678</v>
      </c>
      <c r="L2340" s="24" t="s">
        <v>84</v>
      </c>
      <c r="M2340" s="15"/>
      <c r="N2340" s="15" t="s">
        <v>1370</v>
      </c>
      <c r="O2340" s="15" t="s">
        <v>11303</v>
      </c>
      <c r="P2340" s="15" t="s">
        <v>21679</v>
      </c>
      <c r="Q2340" s="15"/>
      <c r="R2340" s="15" t="s">
        <v>21680</v>
      </c>
      <c r="S2340" s="24" t="s">
        <v>39</v>
      </c>
      <c r="T2340" s="24" t="s">
        <v>39</v>
      </c>
      <c r="U2340" s="24" t="s">
        <v>39</v>
      </c>
      <c r="V2340" s="24" t="s">
        <v>39</v>
      </c>
      <c r="W2340" s="24"/>
      <c r="X2340" s="24"/>
      <c r="Y2340" s="15"/>
      <c r="Z2340" s="15"/>
      <c r="AA2340" s="24"/>
      <c r="AB2340" s="24"/>
      <c r="AC2340" s="24"/>
      <c r="AD2340" s="24"/>
      <c r="AE2340" s="24"/>
      <c r="AF2340" s="24"/>
      <c r="AG2340" s="24"/>
      <c r="AH2340" s="24"/>
    </row>
    <row r="2341" spans="1:34" ht="30" x14ac:dyDescent="0.25">
      <c r="A2341" s="24" t="str">
        <f>HYPERLINK("https://www.cpso.on.ca/DoctorDetails/Timothy-Brian-Gofine/0028591-33414","Gofine, Timothy Brian")</f>
        <v>Gofine, Timothy Brian</v>
      </c>
      <c r="B2341" s="25" t="s">
        <v>21681</v>
      </c>
      <c r="C2341" s="24" t="s">
        <v>520</v>
      </c>
      <c r="D2341" s="24" t="s">
        <v>21682</v>
      </c>
      <c r="E2341" s="24" t="s">
        <v>29</v>
      </c>
      <c r="F2341" s="24" t="s">
        <v>30</v>
      </c>
      <c r="G2341" s="24" t="s">
        <v>31</v>
      </c>
      <c r="H2341" s="24" t="s">
        <v>21683</v>
      </c>
      <c r="I2341" s="24" t="s">
        <v>21684</v>
      </c>
      <c r="J2341" s="24" t="s">
        <v>21685</v>
      </c>
      <c r="K2341" s="24"/>
      <c r="L2341" s="24" t="s">
        <v>52</v>
      </c>
      <c r="M2341" s="15" t="s">
        <v>21686</v>
      </c>
      <c r="N2341" s="15"/>
      <c r="O2341" s="15" t="s">
        <v>3590</v>
      </c>
      <c r="P2341" s="15" t="s">
        <v>3194</v>
      </c>
      <c r="Q2341" s="15"/>
      <c r="R2341" s="15" t="s">
        <v>21687</v>
      </c>
      <c r="S2341" s="24" t="s">
        <v>39</v>
      </c>
      <c r="T2341" s="24" t="s">
        <v>39</v>
      </c>
      <c r="U2341" s="24" t="s">
        <v>39</v>
      </c>
      <c r="V2341" s="24" t="s">
        <v>39</v>
      </c>
      <c r="W2341" s="24" t="s">
        <v>21688</v>
      </c>
      <c r="X2341" s="24" t="s">
        <v>21689</v>
      </c>
      <c r="Y2341" s="15" t="s">
        <v>21690</v>
      </c>
      <c r="Z2341" s="15" t="s">
        <v>21691</v>
      </c>
      <c r="AA2341" s="24"/>
      <c r="AB2341" s="24"/>
      <c r="AC2341" s="24"/>
      <c r="AD2341" s="24"/>
      <c r="AE2341" s="24"/>
      <c r="AF2341" s="24"/>
      <c r="AG2341" s="24"/>
      <c r="AH2341" s="24"/>
    </row>
    <row r="2342" spans="1:34" ht="75" x14ac:dyDescent="0.25">
      <c r="A2342" s="24" t="str">
        <f>HYPERLINK("https://www.cpso.on.ca/DoctorDetails/Timothy-Dennis-Moran/0272935-96064","Moran, Timothy Dennis")</f>
        <v>Moran, Timothy Dennis</v>
      </c>
      <c r="B2342" s="25" t="s">
        <v>21692</v>
      </c>
      <c r="C2342" s="24" t="s">
        <v>1266</v>
      </c>
      <c r="D2342" s="24" t="s">
        <v>967</v>
      </c>
      <c r="E2342" s="24" t="s">
        <v>29</v>
      </c>
      <c r="F2342" s="24" t="s">
        <v>30</v>
      </c>
      <c r="G2342" s="24" t="s">
        <v>31</v>
      </c>
      <c r="H2342" s="24" t="s">
        <v>11908</v>
      </c>
      <c r="I2342" s="24" t="s">
        <v>21693</v>
      </c>
      <c r="J2342" s="24" t="s">
        <v>992</v>
      </c>
      <c r="K2342" s="24"/>
      <c r="L2342" s="24" t="s">
        <v>84</v>
      </c>
      <c r="M2342" s="15" t="s">
        <v>21694</v>
      </c>
      <c r="N2342" s="15"/>
      <c r="O2342" s="15" t="s">
        <v>711</v>
      </c>
      <c r="P2342" s="15" t="s">
        <v>973</v>
      </c>
      <c r="Q2342" s="15" t="s">
        <v>3046</v>
      </c>
      <c r="R2342" s="15" t="s">
        <v>4059</v>
      </c>
      <c r="S2342" s="24" t="s">
        <v>39</v>
      </c>
      <c r="T2342" s="24" t="s">
        <v>39</v>
      </c>
      <c r="U2342" s="24" t="s">
        <v>39</v>
      </c>
      <c r="V2342" s="24" t="s">
        <v>39</v>
      </c>
      <c r="W2342" s="24"/>
      <c r="X2342" s="24"/>
      <c r="Y2342" s="15"/>
      <c r="Z2342" s="15"/>
      <c r="AA2342" s="24"/>
      <c r="AB2342" s="24"/>
      <c r="AC2342" s="24"/>
      <c r="AD2342" s="24"/>
      <c r="AE2342" s="24"/>
      <c r="AF2342" s="24"/>
      <c r="AG2342" s="24"/>
      <c r="AH2342" s="24"/>
    </row>
    <row r="2343" spans="1:34" ht="90" x14ac:dyDescent="0.25">
      <c r="A2343" s="24" t="str">
        <f>HYPERLINK("https://www.cpso.on.ca/DoctorDetails/Timothy-Edwin-Lau/0139182-71310","Lau, Timothy Edwin")</f>
        <v>Lau, Timothy Edwin</v>
      </c>
      <c r="B2343" s="25" t="s">
        <v>21695</v>
      </c>
      <c r="C2343" s="24" t="s">
        <v>1390</v>
      </c>
      <c r="D2343" s="24" t="s">
        <v>1391</v>
      </c>
      <c r="E2343" s="24" t="s">
        <v>29</v>
      </c>
      <c r="F2343" s="24" t="s">
        <v>30</v>
      </c>
      <c r="G2343" s="24" t="s">
        <v>31</v>
      </c>
      <c r="H2343" s="24" t="s">
        <v>9273</v>
      </c>
      <c r="I2343" s="24" t="s">
        <v>8536</v>
      </c>
      <c r="J2343" s="24" t="s">
        <v>992</v>
      </c>
      <c r="K2343" s="24"/>
      <c r="L2343" s="24" t="s">
        <v>84</v>
      </c>
      <c r="M2343" s="15"/>
      <c r="N2343" s="15"/>
      <c r="O2343" s="15" t="s">
        <v>711</v>
      </c>
      <c r="P2343" s="15" t="s">
        <v>1398</v>
      </c>
      <c r="Q2343" s="15" t="s">
        <v>21696</v>
      </c>
      <c r="R2343" s="15" t="s">
        <v>1400</v>
      </c>
      <c r="S2343" s="24" t="s">
        <v>39</v>
      </c>
      <c r="T2343" s="24" t="s">
        <v>39</v>
      </c>
      <c r="U2343" s="24" t="s">
        <v>39</v>
      </c>
      <c r="V2343" s="24" t="s">
        <v>39</v>
      </c>
      <c r="W2343" s="24" t="s">
        <v>21697</v>
      </c>
      <c r="X2343" s="24" t="s">
        <v>20548</v>
      </c>
      <c r="Y2343" s="15" t="s">
        <v>21698</v>
      </c>
      <c r="Z2343" s="15" t="s">
        <v>2554</v>
      </c>
      <c r="AA2343" s="24"/>
      <c r="AB2343" s="24"/>
      <c r="AC2343" s="24"/>
      <c r="AD2343" s="24"/>
      <c r="AE2343" s="24"/>
      <c r="AF2343" s="24"/>
      <c r="AG2343" s="24"/>
      <c r="AH2343" s="24"/>
    </row>
    <row r="2344" spans="1:34" ht="75" x14ac:dyDescent="0.25">
      <c r="A2344" s="24" t="str">
        <f>HYPERLINK("https://www.cpso.on.ca/DoctorDetails/Timothy-Henry-Guimond/0204286-79362","Guimond, Timothy Henry")</f>
        <v>Guimond, Timothy Henry</v>
      </c>
      <c r="B2344" s="25" t="s">
        <v>21699</v>
      </c>
      <c r="C2344" s="24" t="s">
        <v>871</v>
      </c>
      <c r="D2344" s="24" t="s">
        <v>872</v>
      </c>
      <c r="E2344" s="24" t="s">
        <v>29</v>
      </c>
      <c r="F2344" s="24" t="s">
        <v>30</v>
      </c>
      <c r="G2344" s="24" t="s">
        <v>31</v>
      </c>
      <c r="H2344" s="24" t="s">
        <v>21700</v>
      </c>
      <c r="I2344" s="24" t="s">
        <v>21701</v>
      </c>
      <c r="J2344" s="24" t="s">
        <v>217</v>
      </c>
      <c r="K2344" s="24" t="s">
        <v>218</v>
      </c>
      <c r="L2344" s="24" t="s">
        <v>52</v>
      </c>
      <c r="M2344" s="15"/>
      <c r="N2344" s="15"/>
      <c r="O2344" s="15" t="s">
        <v>219</v>
      </c>
      <c r="P2344" s="15" t="s">
        <v>880</v>
      </c>
      <c r="Q2344" s="15" t="s">
        <v>1607</v>
      </c>
      <c r="R2344" s="15" t="s">
        <v>882</v>
      </c>
      <c r="S2344" s="24" t="s">
        <v>39</v>
      </c>
      <c r="T2344" s="24" t="s">
        <v>39</v>
      </c>
      <c r="U2344" s="24" t="s">
        <v>39</v>
      </c>
      <c r="V2344" s="24" t="s">
        <v>39</v>
      </c>
      <c r="W2344" s="24"/>
      <c r="X2344" s="24"/>
      <c r="Y2344" s="15"/>
      <c r="Z2344" s="15"/>
      <c r="AA2344" s="24"/>
      <c r="AB2344" s="24"/>
      <c r="AC2344" s="24"/>
      <c r="AD2344" s="24"/>
      <c r="AE2344" s="24"/>
      <c r="AF2344" s="24"/>
      <c r="AG2344" s="24"/>
      <c r="AH2344" s="24"/>
    </row>
    <row r="2345" spans="1:34" ht="90" x14ac:dyDescent="0.25">
      <c r="A2345" s="24" t="str">
        <f>HYPERLINK("https://www.cpso.on.ca/DoctorDetails/Timothy-Lee-Beal/0266783-94237","Beal, Timothy Lee")</f>
        <v>Beal, Timothy Lee</v>
      </c>
      <c r="B2345" s="25" t="s">
        <v>21702</v>
      </c>
      <c r="C2345" s="24" t="s">
        <v>21703</v>
      </c>
      <c r="D2345" s="24" t="s">
        <v>21704</v>
      </c>
      <c r="E2345" s="24" t="s">
        <v>29</v>
      </c>
      <c r="F2345" s="24" t="s">
        <v>30</v>
      </c>
      <c r="G2345" s="24" t="s">
        <v>31</v>
      </c>
      <c r="H2345" s="24" t="s">
        <v>21705</v>
      </c>
      <c r="I2345" s="24" t="s">
        <v>21706</v>
      </c>
      <c r="J2345" s="24" t="s">
        <v>21707</v>
      </c>
      <c r="K2345" s="24"/>
      <c r="L2345" s="24" t="s">
        <v>135</v>
      </c>
      <c r="M2345" s="15"/>
      <c r="N2345" s="15" t="s">
        <v>21708</v>
      </c>
      <c r="O2345" s="15"/>
      <c r="P2345" s="15" t="s">
        <v>21709</v>
      </c>
      <c r="Q2345" s="15"/>
      <c r="R2345" s="15" t="s">
        <v>21710</v>
      </c>
      <c r="S2345" s="24" t="s">
        <v>71</v>
      </c>
      <c r="T2345" s="24" t="s">
        <v>39</v>
      </c>
      <c r="U2345" s="24" t="s">
        <v>39</v>
      </c>
      <c r="V2345" s="24" t="s">
        <v>39</v>
      </c>
      <c r="W2345" s="24"/>
      <c r="X2345" s="24"/>
      <c r="Y2345" s="15"/>
      <c r="Z2345" s="15"/>
      <c r="AA2345" s="24"/>
      <c r="AB2345" s="24"/>
      <c r="AC2345" s="24"/>
      <c r="AD2345" s="24"/>
      <c r="AE2345" s="24"/>
      <c r="AF2345" s="24"/>
      <c r="AG2345" s="24"/>
      <c r="AH2345" s="24"/>
    </row>
    <row r="2346" spans="1:34" ht="30" x14ac:dyDescent="0.25">
      <c r="A2346" s="24" t="str">
        <f>HYPERLINK("https://www.cpso.on.ca/DoctorDetails/Timothy-Stuart-Bilkey/0036180-50156","Bilkey, Timothy Stuart")</f>
        <v>Bilkey, Timothy Stuart</v>
      </c>
      <c r="B2346" s="25" t="s">
        <v>21711</v>
      </c>
      <c r="C2346" s="24" t="s">
        <v>21712</v>
      </c>
      <c r="D2346" s="24" t="s">
        <v>21713</v>
      </c>
      <c r="E2346" s="24" t="s">
        <v>29</v>
      </c>
      <c r="F2346" s="24" t="s">
        <v>30</v>
      </c>
      <c r="G2346" s="24" t="s">
        <v>31</v>
      </c>
      <c r="H2346" s="24" t="s">
        <v>5269</v>
      </c>
      <c r="I2346" s="24" t="s">
        <v>21714</v>
      </c>
      <c r="J2346" s="24" t="s">
        <v>21715</v>
      </c>
      <c r="K2346" s="24" t="s">
        <v>21716</v>
      </c>
      <c r="L2346" s="24" t="s">
        <v>36</v>
      </c>
      <c r="M2346" s="15"/>
      <c r="N2346" s="15"/>
      <c r="O2346" s="15"/>
      <c r="P2346" s="15" t="s">
        <v>3636</v>
      </c>
      <c r="Q2346" s="15"/>
      <c r="R2346" s="15" t="s">
        <v>21717</v>
      </c>
      <c r="S2346" s="24" t="s">
        <v>39</v>
      </c>
      <c r="T2346" s="24" t="s">
        <v>39</v>
      </c>
      <c r="U2346" s="24" t="s">
        <v>39</v>
      </c>
      <c r="V2346" s="24" t="s">
        <v>39</v>
      </c>
      <c r="W2346" s="24" t="s">
        <v>21718</v>
      </c>
      <c r="X2346" s="24" t="s">
        <v>21719</v>
      </c>
      <c r="Y2346" s="15" t="s">
        <v>21720</v>
      </c>
      <c r="Z2346" s="15" t="s">
        <v>21721</v>
      </c>
      <c r="AA2346" s="24"/>
      <c r="AB2346" s="24"/>
      <c r="AC2346" s="24"/>
      <c r="AD2346" s="24"/>
      <c r="AE2346" s="24"/>
      <c r="AF2346" s="24"/>
      <c r="AG2346" s="24"/>
      <c r="AH2346" s="24"/>
    </row>
    <row r="2347" spans="1:34" ht="75" x14ac:dyDescent="0.25">
      <c r="A2347" s="24" t="str">
        <f>HYPERLINK("https://www.cpso.on.ca/DoctorDetails/Tin-NgoMinh/0233510-84493","Ngo-Minh, Tin")</f>
        <v>Ngo-Minh, Tin</v>
      </c>
      <c r="B2347" s="25" t="s">
        <v>21722</v>
      </c>
      <c r="C2347" s="24" t="s">
        <v>647</v>
      </c>
      <c r="D2347" s="24" t="s">
        <v>648</v>
      </c>
      <c r="E2347" s="24" t="s">
        <v>29</v>
      </c>
      <c r="F2347" s="24" t="s">
        <v>30</v>
      </c>
      <c r="G2347" s="24" t="s">
        <v>813</v>
      </c>
      <c r="H2347" s="24" t="s">
        <v>12700</v>
      </c>
      <c r="I2347" s="24" t="s">
        <v>21723</v>
      </c>
      <c r="J2347" s="24" t="s">
        <v>21724</v>
      </c>
      <c r="K2347" s="24"/>
      <c r="L2347" s="24"/>
      <c r="M2347" s="15"/>
      <c r="N2347" s="15" t="s">
        <v>710</v>
      </c>
      <c r="O2347" s="15"/>
      <c r="P2347" s="15" t="s">
        <v>654</v>
      </c>
      <c r="Q2347" s="15" t="s">
        <v>21390</v>
      </c>
      <c r="R2347" s="15" t="s">
        <v>656</v>
      </c>
      <c r="S2347" s="24" t="s">
        <v>39</v>
      </c>
      <c r="T2347" s="24" t="s">
        <v>39</v>
      </c>
      <c r="U2347" s="24" t="s">
        <v>39</v>
      </c>
      <c r="V2347" s="24" t="s">
        <v>39</v>
      </c>
      <c r="W2347" s="24"/>
      <c r="X2347" s="24"/>
      <c r="Y2347" s="15"/>
      <c r="Z2347" s="15"/>
      <c r="AA2347" s="24"/>
      <c r="AB2347" s="24"/>
      <c r="AC2347" s="24"/>
      <c r="AD2347" s="24"/>
      <c r="AE2347" s="24"/>
      <c r="AF2347" s="24"/>
      <c r="AG2347" s="24"/>
      <c r="AH2347" s="24"/>
    </row>
    <row r="2348" spans="1:34" ht="75" x14ac:dyDescent="0.25">
      <c r="A2348" s="24" t="str">
        <f>HYPERLINK("https://www.cpso.on.ca/DoctorDetails/Tina-Maria-May-Lun-Tao/0052779-66743","Tao, Tina Maria May Lun")</f>
        <v>Tao, Tina Maria May Lun</v>
      </c>
      <c r="B2348" s="25" t="s">
        <v>21725</v>
      </c>
      <c r="C2348" s="24" t="s">
        <v>836</v>
      </c>
      <c r="D2348" s="24" t="s">
        <v>837</v>
      </c>
      <c r="E2348" s="24" t="s">
        <v>29</v>
      </c>
      <c r="F2348" s="24" t="s">
        <v>47</v>
      </c>
      <c r="G2348" s="24" t="s">
        <v>31</v>
      </c>
      <c r="H2348" s="24" t="s">
        <v>9623</v>
      </c>
      <c r="I2348" s="24" t="s">
        <v>21726</v>
      </c>
      <c r="J2348" s="24" t="s">
        <v>21727</v>
      </c>
      <c r="K2348" s="24" t="s">
        <v>21728</v>
      </c>
      <c r="L2348" s="24" t="s">
        <v>52</v>
      </c>
      <c r="M2348" s="15" t="s">
        <v>21729</v>
      </c>
      <c r="N2348" s="15"/>
      <c r="O2348" s="15" t="s">
        <v>21730</v>
      </c>
      <c r="P2348" s="15" t="s">
        <v>303</v>
      </c>
      <c r="Q2348" s="15" t="s">
        <v>21731</v>
      </c>
      <c r="R2348" s="15" t="s">
        <v>844</v>
      </c>
      <c r="S2348" s="24" t="s">
        <v>39</v>
      </c>
      <c r="T2348" s="24" t="s">
        <v>39</v>
      </c>
      <c r="U2348" s="24" t="s">
        <v>39</v>
      </c>
      <c r="V2348" s="24" t="s">
        <v>39</v>
      </c>
      <c r="W2348" s="24" t="s">
        <v>21732</v>
      </c>
      <c r="X2348" s="24" t="s">
        <v>1858</v>
      </c>
      <c r="Y2348" s="15" t="s">
        <v>21733</v>
      </c>
      <c r="Z2348" s="15" t="s">
        <v>21734</v>
      </c>
      <c r="AA2348" s="24"/>
      <c r="AB2348" s="24"/>
      <c r="AC2348" s="24"/>
      <c r="AD2348" s="24"/>
      <c r="AE2348" s="24"/>
      <c r="AF2348" s="24"/>
      <c r="AG2348" s="24"/>
      <c r="AH2348" s="24"/>
    </row>
    <row r="2349" spans="1:34" ht="75" x14ac:dyDescent="0.25">
      <c r="A2349" s="24" t="str">
        <f>HYPERLINK("https://www.cpso.on.ca/DoctorDetails/Todor-Tode-Dragicevic/0271926-99896","Dragicevic, Todor Tode")</f>
        <v>Dragicevic, Todor Tode</v>
      </c>
      <c r="B2349" s="25" t="s">
        <v>21735</v>
      </c>
      <c r="C2349" s="24" t="s">
        <v>21736</v>
      </c>
      <c r="D2349" s="24" t="s">
        <v>21737</v>
      </c>
      <c r="E2349" s="24" t="s">
        <v>29</v>
      </c>
      <c r="F2349" s="24" t="s">
        <v>30</v>
      </c>
      <c r="G2349" s="24" t="s">
        <v>5822</v>
      </c>
      <c r="H2349" s="24" t="s">
        <v>5943</v>
      </c>
      <c r="I2349" s="24" t="s">
        <v>10678</v>
      </c>
      <c r="J2349" s="24" t="s">
        <v>16372</v>
      </c>
      <c r="K2349" s="24"/>
      <c r="L2349" s="24" t="s">
        <v>65</v>
      </c>
      <c r="M2349" s="15"/>
      <c r="N2349" s="15" t="s">
        <v>11519</v>
      </c>
      <c r="O2349" s="15" t="s">
        <v>4228</v>
      </c>
      <c r="P2349" s="15" t="s">
        <v>21738</v>
      </c>
      <c r="Q2349" s="15"/>
      <c r="R2349" s="15" t="s">
        <v>21739</v>
      </c>
      <c r="S2349" s="24" t="s">
        <v>71</v>
      </c>
      <c r="T2349" s="24" t="s">
        <v>39</v>
      </c>
      <c r="U2349" s="24" t="s">
        <v>39</v>
      </c>
      <c r="V2349" s="24" t="s">
        <v>39</v>
      </c>
      <c r="W2349" s="24" t="s">
        <v>21740</v>
      </c>
      <c r="X2349" s="24" t="s">
        <v>4530</v>
      </c>
      <c r="Y2349" s="15" t="s">
        <v>21741</v>
      </c>
      <c r="Z2349" s="15" t="s">
        <v>14641</v>
      </c>
      <c r="AA2349" s="24"/>
      <c r="AB2349" s="24"/>
      <c r="AC2349" s="24"/>
      <c r="AD2349" s="24"/>
      <c r="AE2349" s="24"/>
      <c r="AF2349" s="24"/>
      <c r="AG2349" s="24"/>
      <c r="AH2349" s="24"/>
    </row>
    <row r="2350" spans="1:34" x14ac:dyDescent="0.25">
      <c r="A2350" s="24" t="str">
        <f>HYPERLINK("https://www.cpso.on.ca/DoctorDetails/Toghra-Ghaemmaghami/0020308-25096","Ghaemmaghami, Toghra")</f>
        <v>Ghaemmaghami, Toghra</v>
      </c>
      <c r="B2350" s="25" t="s">
        <v>21742</v>
      </c>
      <c r="C2350" s="24" t="s">
        <v>21743</v>
      </c>
      <c r="D2350" s="24" t="s">
        <v>21744</v>
      </c>
      <c r="E2350" s="24" t="s">
        <v>21745</v>
      </c>
      <c r="F2350" s="24" t="s">
        <v>47</v>
      </c>
      <c r="G2350" s="24" t="s">
        <v>31</v>
      </c>
      <c r="H2350" s="24" t="s">
        <v>21746</v>
      </c>
      <c r="I2350" s="24" t="s">
        <v>21747</v>
      </c>
      <c r="J2350" s="24" t="s">
        <v>21748</v>
      </c>
      <c r="K2350" s="24"/>
      <c r="L2350" s="24" t="s">
        <v>52</v>
      </c>
      <c r="M2350" s="15" t="s">
        <v>21749</v>
      </c>
      <c r="N2350" s="15"/>
      <c r="O2350" s="15"/>
      <c r="P2350" s="15" t="s">
        <v>2459</v>
      </c>
      <c r="Q2350" s="15"/>
      <c r="R2350" s="15" t="s">
        <v>21750</v>
      </c>
      <c r="S2350" s="24" t="s">
        <v>39</v>
      </c>
      <c r="T2350" s="24" t="s">
        <v>39</v>
      </c>
      <c r="U2350" s="24" t="s">
        <v>39</v>
      </c>
      <c r="V2350" s="24" t="s">
        <v>39</v>
      </c>
      <c r="W2350" s="24"/>
      <c r="X2350" s="24"/>
      <c r="Y2350" s="15"/>
      <c r="Z2350" s="15"/>
      <c r="AA2350" s="24"/>
      <c r="AB2350" s="24"/>
      <c r="AC2350" s="24"/>
      <c r="AD2350" s="24"/>
      <c r="AE2350" s="24"/>
      <c r="AF2350" s="24"/>
      <c r="AG2350" s="24"/>
      <c r="AH2350" s="24"/>
    </row>
    <row r="2351" spans="1:34" ht="90" x14ac:dyDescent="0.25">
      <c r="A2351" s="24" t="str">
        <f>HYPERLINK("https://www.cpso.on.ca/DoctorDetails/Tomas-Fogl/0227223-83840","Fogl, Tomas")</f>
        <v>Fogl, Tomas</v>
      </c>
      <c r="B2351" s="25" t="s">
        <v>21751</v>
      </c>
      <c r="C2351" s="24" t="s">
        <v>21752</v>
      </c>
      <c r="D2351" s="24" t="s">
        <v>21753</v>
      </c>
      <c r="E2351" s="24" t="s">
        <v>29</v>
      </c>
      <c r="F2351" s="24" t="s">
        <v>30</v>
      </c>
      <c r="G2351" s="24" t="s">
        <v>813</v>
      </c>
      <c r="H2351" s="24" t="s">
        <v>21754</v>
      </c>
      <c r="I2351" s="24" t="s">
        <v>21755</v>
      </c>
      <c r="J2351" s="24" t="s">
        <v>21756</v>
      </c>
      <c r="K2351" s="24"/>
      <c r="L2351" s="24" t="s">
        <v>84</v>
      </c>
      <c r="M2351" s="15" t="s">
        <v>21757</v>
      </c>
      <c r="N2351" s="15"/>
      <c r="O2351" s="15" t="s">
        <v>711</v>
      </c>
      <c r="P2351" s="15" t="s">
        <v>21758</v>
      </c>
      <c r="Q2351" s="15"/>
      <c r="R2351" s="15" t="s">
        <v>21759</v>
      </c>
      <c r="S2351" s="24" t="s">
        <v>39</v>
      </c>
      <c r="T2351" s="24" t="s">
        <v>39</v>
      </c>
      <c r="U2351" s="24" t="s">
        <v>39</v>
      </c>
      <c r="V2351" s="24" t="s">
        <v>39</v>
      </c>
      <c r="W2351" s="24" t="s">
        <v>21760</v>
      </c>
      <c r="X2351" s="24" t="s">
        <v>21761</v>
      </c>
      <c r="Y2351" s="15"/>
      <c r="Z2351" s="15"/>
      <c r="AA2351" s="24" t="s">
        <v>21760</v>
      </c>
      <c r="AB2351" s="24" t="s">
        <v>21762</v>
      </c>
      <c r="AC2351" s="24" t="s">
        <v>21763</v>
      </c>
      <c r="AD2351" s="24" t="s">
        <v>21764</v>
      </c>
      <c r="AE2351" s="24"/>
      <c r="AF2351" s="24"/>
      <c r="AG2351" s="24"/>
      <c r="AH2351" s="24"/>
    </row>
    <row r="2352" spans="1:34" ht="45" x14ac:dyDescent="0.25">
      <c r="A2352" s="24" t="str">
        <f>HYPERLINK("https://www.cpso.on.ca/DoctorDetails/Tony-Albert-Cohn/0031090-43070","Cohn, Tony Albert")</f>
        <v>Cohn, Tony Albert</v>
      </c>
      <c r="B2352" s="25" t="s">
        <v>21765</v>
      </c>
      <c r="C2352" s="24" t="s">
        <v>21766</v>
      </c>
      <c r="D2352" s="24" t="s">
        <v>21767</v>
      </c>
      <c r="E2352" s="24" t="s">
        <v>29</v>
      </c>
      <c r="F2352" s="24" t="s">
        <v>30</v>
      </c>
      <c r="G2352" s="24" t="s">
        <v>31</v>
      </c>
      <c r="H2352" s="24" t="s">
        <v>21768</v>
      </c>
      <c r="I2352" s="24" t="s">
        <v>21769</v>
      </c>
      <c r="J2352" s="24" t="s">
        <v>21770</v>
      </c>
      <c r="K2352" s="24" t="s">
        <v>21771</v>
      </c>
      <c r="L2352" s="24" t="s">
        <v>52</v>
      </c>
      <c r="M2352" s="15" t="s">
        <v>21772</v>
      </c>
      <c r="N2352" s="15"/>
      <c r="O2352" s="15" t="s">
        <v>981</v>
      </c>
      <c r="P2352" s="15" t="s">
        <v>1192</v>
      </c>
      <c r="Q2352" s="15"/>
      <c r="R2352" s="15" t="s">
        <v>21773</v>
      </c>
      <c r="S2352" s="24" t="s">
        <v>39</v>
      </c>
      <c r="T2352" s="24" t="s">
        <v>39</v>
      </c>
      <c r="U2352" s="24" t="s">
        <v>39</v>
      </c>
      <c r="V2352" s="24" t="s">
        <v>39</v>
      </c>
      <c r="W2352" s="24" t="s">
        <v>21774</v>
      </c>
      <c r="X2352" s="24" t="s">
        <v>21775</v>
      </c>
      <c r="Y2352" s="15" t="s">
        <v>21776</v>
      </c>
      <c r="Z2352" s="15" t="s">
        <v>21777</v>
      </c>
      <c r="AA2352" s="24"/>
      <c r="AB2352" s="24"/>
      <c r="AC2352" s="24"/>
      <c r="AD2352" s="24"/>
      <c r="AE2352" s="24"/>
      <c r="AF2352" s="24"/>
      <c r="AG2352" s="24"/>
      <c r="AH2352" s="24"/>
    </row>
    <row r="2353" spans="1:34" ht="30" x14ac:dyDescent="0.25">
      <c r="A2353" s="24" t="str">
        <f>HYPERLINK("https://www.cpso.on.ca/DoctorDetails/Tony-P-George/0235191-85614","George, Tony P")</f>
        <v>George, Tony P</v>
      </c>
      <c r="B2353" s="25" t="s">
        <v>21778</v>
      </c>
      <c r="C2353" s="24" t="s">
        <v>21779</v>
      </c>
      <c r="D2353" s="24" t="s">
        <v>21780</v>
      </c>
      <c r="E2353" s="24" t="s">
        <v>29</v>
      </c>
      <c r="F2353" s="24" t="s">
        <v>30</v>
      </c>
      <c r="G2353" s="24" t="s">
        <v>31</v>
      </c>
      <c r="H2353" s="24" t="s">
        <v>18857</v>
      </c>
      <c r="I2353" s="24" t="s">
        <v>21781</v>
      </c>
      <c r="J2353" s="24" t="s">
        <v>21782</v>
      </c>
      <c r="K2353" s="24" t="s">
        <v>2481</v>
      </c>
      <c r="L2353" s="24" t="s">
        <v>52</v>
      </c>
      <c r="M2353" s="15" t="s">
        <v>21783</v>
      </c>
      <c r="N2353" s="15"/>
      <c r="O2353" s="15" t="s">
        <v>842</v>
      </c>
      <c r="P2353" s="15" t="s">
        <v>21784</v>
      </c>
      <c r="Q2353" s="15"/>
      <c r="R2353" s="15" t="s">
        <v>21785</v>
      </c>
      <c r="S2353" s="24" t="s">
        <v>39</v>
      </c>
      <c r="T2353" s="24" t="s">
        <v>39</v>
      </c>
      <c r="U2353" s="24" t="s">
        <v>39</v>
      </c>
      <c r="V2353" s="24" t="s">
        <v>39</v>
      </c>
      <c r="W2353" s="24"/>
      <c r="X2353" s="24"/>
      <c r="Y2353" s="15"/>
      <c r="Z2353" s="15"/>
      <c r="AA2353" s="24"/>
      <c r="AB2353" s="24"/>
      <c r="AC2353" s="24"/>
      <c r="AD2353" s="24"/>
      <c r="AE2353" s="24"/>
      <c r="AF2353" s="24"/>
      <c r="AG2353" s="24"/>
      <c r="AH2353" s="24"/>
    </row>
    <row r="2354" spans="1:34" ht="90" x14ac:dyDescent="0.25">
      <c r="A2354" s="24" t="str">
        <f>HYPERLINK("https://www.cpso.on.ca/DoctorDetails/Tracy-TakWai-Cheng/0200998-79024","Cheng, Tracy Tak-Wai")</f>
        <v>Cheng, Tracy Tak-Wai</v>
      </c>
      <c r="B2354" s="25" t="s">
        <v>21786</v>
      </c>
      <c r="C2354" s="24" t="s">
        <v>871</v>
      </c>
      <c r="D2354" s="24" t="s">
        <v>872</v>
      </c>
      <c r="E2354" s="24" t="s">
        <v>29</v>
      </c>
      <c r="F2354" s="24" t="s">
        <v>47</v>
      </c>
      <c r="G2354" s="24" t="s">
        <v>1392</v>
      </c>
      <c r="H2354" s="24" t="s">
        <v>5617</v>
      </c>
      <c r="I2354" s="24" t="s">
        <v>21787</v>
      </c>
      <c r="J2354" s="24" t="s">
        <v>21788</v>
      </c>
      <c r="K2354" s="24"/>
      <c r="L2354" s="24" t="s">
        <v>184</v>
      </c>
      <c r="M2354" s="15"/>
      <c r="N2354" s="15"/>
      <c r="O2354" s="15" t="s">
        <v>4002</v>
      </c>
      <c r="P2354" s="15" t="s">
        <v>880</v>
      </c>
      <c r="Q2354" s="15" t="s">
        <v>21789</v>
      </c>
      <c r="R2354" s="15" t="s">
        <v>882</v>
      </c>
      <c r="S2354" s="24" t="s">
        <v>39</v>
      </c>
      <c r="T2354" s="24" t="s">
        <v>39</v>
      </c>
      <c r="U2354" s="24" t="s">
        <v>39</v>
      </c>
      <c r="V2354" s="24" t="s">
        <v>39</v>
      </c>
      <c r="W2354" s="24" t="s">
        <v>21790</v>
      </c>
      <c r="X2354" s="24" t="s">
        <v>21015</v>
      </c>
      <c r="Y2354" s="15" t="s">
        <v>21791</v>
      </c>
      <c r="Z2354" s="15" t="s">
        <v>21792</v>
      </c>
      <c r="AA2354" s="24"/>
      <c r="AB2354" s="24"/>
      <c r="AC2354" s="24"/>
      <c r="AD2354" s="24"/>
      <c r="AE2354" s="24"/>
      <c r="AF2354" s="24"/>
      <c r="AG2354" s="24"/>
      <c r="AH2354" s="24"/>
    </row>
    <row r="2355" spans="1:34" ht="90" x14ac:dyDescent="0.25">
      <c r="A2355" s="24" t="str">
        <f>HYPERLINK("https://www.cpso.on.ca/DoctorDetails/Treena-Dawn-Wilkie/0168945-74931","Wilkie, Treena Dawn")</f>
        <v>Wilkie, Treena Dawn</v>
      </c>
      <c r="B2355" s="25" t="s">
        <v>21793</v>
      </c>
      <c r="C2355" s="24" t="s">
        <v>3642</v>
      </c>
      <c r="D2355" s="24" t="s">
        <v>1234</v>
      </c>
      <c r="E2355" s="24" t="s">
        <v>29</v>
      </c>
      <c r="F2355" s="24" t="s">
        <v>47</v>
      </c>
      <c r="G2355" s="24" t="s">
        <v>31</v>
      </c>
      <c r="H2355" s="24" t="s">
        <v>20987</v>
      </c>
      <c r="I2355" s="24" t="s">
        <v>11363</v>
      </c>
      <c r="J2355" s="24" t="s">
        <v>1262</v>
      </c>
      <c r="K2355" s="24"/>
      <c r="L2355" s="24" t="s">
        <v>52</v>
      </c>
      <c r="M2355" s="15"/>
      <c r="N2355" s="15"/>
      <c r="O2355" s="15" t="s">
        <v>981</v>
      </c>
      <c r="P2355" s="15" t="s">
        <v>1239</v>
      </c>
      <c r="Q2355" s="15" t="s">
        <v>21794</v>
      </c>
      <c r="R2355" s="15" t="s">
        <v>3649</v>
      </c>
      <c r="S2355" s="24" t="s">
        <v>39</v>
      </c>
      <c r="T2355" s="24" t="s">
        <v>39</v>
      </c>
      <c r="U2355" s="24" t="s">
        <v>39</v>
      </c>
      <c r="V2355" s="24" t="s">
        <v>39</v>
      </c>
      <c r="W2355" s="24"/>
      <c r="X2355" s="24"/>
      <c r="Y2355" s="15"/>
      <c r="Z2355" s="15"/>
      <c r="AA2355" s="24"/>
      <c r="AB2355" s="24"/>
      <c r="AC2355" s="24"/>
      <c r="AD2355" s="24"/>
      <c r="AE2355" s="24"/>
      <c r="AF2355" s="24"/>
      <c r="AG2355" s="24"/>
      <c r="AH2355" s="24"/>
    </row>
    <row r="2356" spans="1:34" ht="75" x14ac:dyDescent="0.25">
      <c r="A2356" s="24" t="str">
        <f>HYPERLINK("https://www.cpso.on.ca/DoctorDetails/Tyrone-Silvio-Turner/0019849-24637","Turner, Tyrone Silvio")</f>
        <v>Turner, Tyrone Silvio</v>
      </c>
      <c r="B2356" s="25" t="s">
        <v>21795</v>
      </c>
      <c r="C2356" s="24" t="s">
        <v>21796</v>
      </c>
      <c r="D2356" s="24" t="s">
        <v>21797</v>
      </c>
      <c r="E2356" s="24" t="s">
        <v>29</v>
      </c>
      <c r="F2356" s="24" t="s">
        <v>30</v>
      </c>
      <c r="G2356" s="24" t="s">
        <v>31</v>
      </c>
      <c r="H2356" s="24" t="s">
        <v>3884</v>
      </c>
      <c r="I2356" s="24" t="s">
        <v>21798</v>
      </c>
      <c r="J2356" s="24" t="s">
        <v>21799</v>
      </c>
      <c r="K2356" s="24" t="s">
        <v>4720</v>
      </c>
      <c r="L2356" s="24" t="s">
        <v>52</v>
      </c>
      <c r="M2356" s="15" t="s">
        <v>21800</v>
      </c>
      <c r="N2356" s="15"/>
      <c r="O2356" s="15" t="s">
        <v>21801</v>
      </c>
      <c r="P2356" s="15" t="s">
        <v>21802</v>
      </c>
      <c r="Q2356" s="15" t="s">
        <v>21803</v>
      </c>
      <c r="R2356" s="15" t="s">
        <v>21804</v>
      </c>
      <c r="S2356" s="24" t="s">
        <v>39</v>
      </c>
      <c r="T2356" s="24" t="s">
        <v>39</v>
      </c>
      <c r="U2356" s="24" t="s">
        <v>39</v>
      </c>
      <c r="V2356" s="24" t="s">
        <v>39</v>
      </c>
      <c r="W2356" s="24" t="s">
        <v>21805</v>
      </c>
      <c r="X2356" s="24" t="s">
        <v>4253</v>
      </c>
      <c r="Y2356" s="15" t="s">
        <v>21806</v>
      </c>
      <c r="Z2356" s="15" t="s">
        <v>21807</v>
      </c>
      <c r="AA2356" s="24"/>
      <c r="AB2356" s="24"/>
      <c r="AC2356" s="24"/>
      <c r="AD2356" s="24"/>
      <c r="AE2356" s="24"/>
      <c r="AF2356" s="24"/>
      <c r="AG2356" s="24"/>
      <c r="AH2356" s="24"/>
    </row>
    <row r="2357" spans="1:34" ht="75" x14ac:dyDescent="0.25">
      <c r="A2357" s="24" t="str">
        <f>HYPERLINK("https://www.cpso.on.ca/DoctorDetails/Uchenna-Gabriel-Anyogu/0309421-110853","Anyogu, Uchenna Gabriel")</f>
        <v>Anyogu, Uchenna Gabriel</v>
      </c>
      <c r="B2357" s="25" t="s">
        <v>21808</v>
      </c>
      <c r="C2357" s="24" t="s">
        <v>323</v>
      </c>
      <c r="D2357" s="24" t="s">
        <v>21809</v>
      </c>
      <c r="E2357" s="24" t="s">
        <v>29</v>
      </c>
      <c r="F2357" s="24" t="s">
        <v>30</v>
      </c>
      <c r="G2357" s="24" t="s">
        <v>31</v>
      </c>
      <c r="H2357" s="24" t="s">
        <v>2098</v>
      </c>
      <c r="I2357" s="24" t="s">
        <v>1852</v>
      </c>
      <c r="J2357" s="24" t="s">
        <v>21810</v>
      </c>
      <c r="K2357" s="24" t="s">
        <v>1854</v>
      </c>
      <c r="L2357" s="24" t="s">
        <v>328</v>
      </c>
      <c r="M2357" s="15" t="s">
        <v>21811</v>
      </c>
      <c r="N2357" s="15" t="s">
        <v>4171</v>
      </c>
      <c r="O2357" s="15" t="s">
        <v>1855</v>
      </c>
      <c r="P2357" s="15" t="s">
        <v>195</v>
      </c>
      <c r="Q2357" s="15"/>
      <c r="R2357" s="15" t="s">
        <v>21812</v>
      </c>
      <c r="S2357" s="24" t="s">
        <v>39</v>
      </c>
      <c r="T2357" s="24" t="s">
        <v>39</v>
      </c>
      <c r="U2357" s="24" t="s">
        <v>39</v>
      </c>
      <c r="V2357" s="24" t="s">
        <v>39</v>
      </c>
      <c r="W2357" s="24" t="s">
        <v>21813</v>
      </c>
      <c r="X2357" s="24" t="s">
        <v>21814</v>
      </c>
      <c r="Y2357" s="15" t="s">
        <v>21815</v>
      </c>
      <c r="Z2357" s="15" t="s">
        <v>21816</v>
      </c>
      <c r="AA2357" s="24"/>
      <c r="AB2357" s="24"/>
      <c r="AC2357" s="24"/>
      <c r="AD2357" s="24"/>
      <c r="AE2357" s="24"/>
      <c r="AF2357" s="24"/>
      <c r="AG2357" s="24"/>
      <c r="AH2357" s="24"/>
    </row>
    <row r="2358" spans="1:34" ht="45" x14ac:dyDescent="0.25">
      <c r="A2358" s="24" t="str">
        <f>HYPERLINK("https://www.cpso.on.ca/DoctorDetails/Uchenna-Gabriel-Ofokansi/0320997-114294","Ofokansi, Uchenna Gabriel")</f>
        <v>Ofokansi, Uchenna Gabriel</v>
      </c>
      <c r="B2358" s="25" t="s">
        <v>21817</v>
      </c>
      <c r="C2358" s="24" t="s">
        <v>19695</v>
      </c>
      <c r="D2358" s="24" t="s">
        <v>9614</v>
      </c>
      <c r="E2358" s="24" t="s">
        <v>29</v>
      </c>
      <c r="F2358" s="24" t="s">
        <v>30</v>
      </c>
      <c r="G2358" s="24" t="s">
        <v>31</v>
      </c>
      <c r="H2358" s="24" t="s">
        <v>4270</v>
      </c>
      <c r="I2358" s="24" t="s">
        <v>21818</v>
      </c>
      <c r="J2358" s="24" t="s">
        <v>21819</v>
      </c>
      <c r="K2358" s="24"/>
      <c r="L2358" s="24" t="s">
        <v>84</v>
      </c>
      <c r="M2358" s="15"/>
      <c r="N2358" s="15"/>
      <c r="O2358" s="15"/>
      <c r="P2358" s="15" t="s">
        <v>21820</v>
      </c>
      <c r="Q2358" s="15"/>
      <c r="R2358" s="15" t="s">
        <v>21821</v>
      </c>
      <c r="S2358" s="24" t="s">
        <v>71</v>
      </c>
      <c r="T2358" s="24" t="s">
        <v>39</v>
      </c>
      <c r="U2358" s="24" t="s">
        <v>39</v>
      </c>
      <c r="V2358" s="24" t="s">
        <v>39</v>
      </c>
      <c r="W2358" s="24" t="s">
        <v>21822</v>
      </c>
      <c r="X2358" s="24" t="s">
        <v>21823</v>
      </c>
      <c r="Y2358" s="15" t="s">
        <v>21824</v>
      </c>
      <c r="Z2358" s="15" t="s">
        <v>21825</v>
      </c>
      <c r="AA2358" s="24"/>
      <c r="AB2358" s="24"/>
      <c r="AC2358" s="24"/>
      <c r="AD2358" s="24"/>
      <c r="AE2358" s="24"/>
      <c r="AF2358" s="24"/>
      <c r="AG2358" s="24"/>
      <c r="AH2358" s="24"/>
    </row>
    <row r="2359" spans="1:34" ht="30" x14ac:dyDescent="0.25">
      <c r="A2359" s="24" t="str">
        <f>HYPERLINK("https://www.cpso.on.ca/DoctorDetails/Umesh-Ravi-Kant-Jain/0056928-68517","Jain, Umesh Ravi Kant")</f>
        <v>Jain, Umesh Ravi Kant</v>
      </c>
      <c r="B2359" s="25" t="s">
        <v>21826</v>
      </c>
      <c r="C2359" s="24" t="s">
        <v>21827</v>
      </c>
      <c r="D2359" s="24" t="s">
        <v>21828</v>
      </c>
      <c r="E2359" s="24" t="s">
        <v>29</v>
      </c>
      <c r="F2359" s="24" t="s">
        <v>30</v>
      </c>
      <c r="G2359" s="24" t="s">
        <v>31</v>
      </c>
      <c r="H2359" s="24" t="s">
        <v>21829</v>
      </c>
      <c r="I2359" s="24" t="s">
        <v>21830</v>
      </c>
      <c r="J2359" s="24" t="s">
        <v>21831</v>
      </c>
      <c r="K2359" s="24" t="s">
        <v>2192</v>
      </c>
      <c r="L2359" s="24" t="s">
        <v>52</v>
      </c>
      <c r="M2359" s="15" t="s">
        <v>21832</v>
      </c>
      <c r="N2359" s="15"/>
      <c r="O2359" s="15" t="s">
        <v>4929</v>
      </c>
      <c r="P2359" s="15" t="s">
        <v>3433</v>
      </c>
      <c r="Q2359" s="15"/>
      <c r="R2359" s="15" t="s">
        <v>21833</v>
      </c>
      <c r="S2359" s="24" t="s">
        <v>39</v>
      </c>
      <c r="T2359" s="24" t="s">
        <v>39</v>
      </c>
      <c r="U2359" s="24" t="s">
        <v>39</v>
      </c>
      <c r="V2359" s="24" t="s">
        <v>39</v>
      </c>
      <c r="W2359" s="24" t="s">
        <v>21834</v>
      </c>
      <c r="X2359" s="24" t="s">
        <v>21835</v>
      </c>
      <c r="Y2359" s="15" t="s">
        <v>21836</v>
      </c>
      <c r="Z2359" s="15" t="s">
        <v>21837</v>
      </c>
      <c r="AA2359" s="24"/>
      <c r="AB2359" s="24"/>
      <c r="AC2359" s="24"/>
      <c r="AD2359" s="24"/>
      <c r="AE2359" s="24"/>
      <c r="AF2359" s="24"/>
      <c r="AG2359" s="24"/>
      <c r="AH2359" s="24"/>
    </row>
    <row r="2360" spans="1:34" ht="90" x14ac:dyDescent="0.25">
      <c r="A2360" s="24" t="str">
        <f>HYPERLINK("https://www.cpso.on.ca/DoctorDetails/Upasana-Krishnadev/0249899-88524","Krishnadev, Upasana")</f>
        <v>Krishnadev, Upasana</v>
      </c>
      <c r="B2360" s="25" t="s">
        <v>21838</v>
      </c>
      <c r="C2360" s="24" t="s">
        <v>846</v>
      </c>
      <c r="D2360" s="24" t="s">
        <v>600</v>
      </c>
      <c r="E2360" s="24" t="s">
        <v>29</v>
      </c>
      <c r="F2360" s="24" t="s">
        <v>47</v>
      </c>
      <c r="G2360" s="24" t="s">
        <v>31</v>
      </c>
      <c r="H2360" s="24" t="s">
        <v>4878</v>
      </c>
      <c r="I2360" s="24" t="s">
        <v>21839</v>
      </c>
      <c r="J2360" s="24" t="s">
        <v>21840</v>
      </c>
      <c r="K2360" s="24" t="s">
        <v>21841</v>
      </c>
      <c r="L2360" s="24" t="s">
        <v>52</v>
      </c>
      <c r="M2360" s="15" t="s">
        <v>21842</v>
      </c>
      <c r="N2360" s="15" t="s">
        <v>17142</v>
      </c>
      <c r="O2360" s="15" t="s">
        <v>4929</v>
      </c>
      <c r="P2360" s="15" t="s">
        <v>12573</v>
      </c>
      <c r="Q2360" s="15" t="s">
        <v>21843</v>
      </c>
      <c r="R2360" s="15" t="s">
        <v>853</v>
      </c>
      <c r="S2360" s="24" t="s">
        <v>39</v>
      </c>
      <c r="T2360" s="24" t="s">
        <v>39</v>
      </c>
      <c r="U2360" s="24" t="s">
        <v>39</v>
      </c>
      <c r="V2360" s="24" t="s">
        <v>39</v>
      </c>
      <c r="W2360" s="24" t="s">
        <v>21844</v>
      </c>
      <c r="X2360" s="24" t="s">
        <v>21845</v>
      </c>
      <c r="Y2360" s="15" t="s">
        <v>21846</v>
      </c>
      <c r="Z2360" s="15" t="s">
        <v>21847</v>
      </c>
      <c r="AA2360" s="24"/>
      <c r="AB2360" s="24"/>
      <c r="AC2360" s="24"/>
      <c r="AD2360" s="24"/>
      <c r="AE2360" s="24"/>
      <c r="AF2360" s="24"/>
      <c r="AG2360" s="24"/>
      <c r="AH2360" s="24"/>
    </row>
    <row r="2361" spans="1:34" ht="120" x14ac:dyDescent="0.25">
      <c r="A2361" s="24" t="str">
        <f>HYPERLINK("https://www.cpso.on.ca/DoctorDetails/Upninderjit-Singh-Harrad/0049089-63067","Harrad, Upninderjit Singh")</f>
        <v>Harrad, Upninderjit Singh</v>
      </c>
      <c r="B2361" s="25" t="s">
        <v>21848</v>
      </c>
      <c r="C2361" s="24" t="s">
        <v>21849</v>
      </c>
      <c r="D2361" s="24" t="s">
        <v>21850</v>
      </c>
      <c r="E2361" s="24" t="s">
        <v>29</v>
      </c>
      <c r="F2361" s="24" t="s">
        <v>30</v>
      </c>
      <c r="G2361" s="24" t="s">
        <v>61</v>
      </c>
      <c r="H2361" s="24" t="s">
        <v>21851</v>
      </c>
      <c r="I2361" s="24" t="s">
        <v>21852</v>
      </c>
      <c r="J2361" s="24" t="s">
        <v>21853</v>
      </c>
      <c r="K2361" s="24" t="s">
        <v>21854</v>
      </c>
      <c r="L2361" s="24"/>
      <c r="M2361" s="15"/>
      <c r="N2361" s="15" t="s">
        <v>1370</v>
      </c>
      <c r="O2361" s="15"/>
      <c r="P2361" s="15" t="s">
        <v>3353</v>
      </c>
      <c r="Q2361" s="15" t="s">
        <v>21855</v>
      </c>
      <c r="R2361" s="15" t="s">
        <v>21856</v>
      </c>
      <c r="S2361" s="24" t="s">
        <v>39</v>
      </c>
      <c r="T2361" s="24" t="s">
        <v>39</v>
      </c>
      <c r="U2361" s="24" t="s">
        <v>39</v>
      </c>
      <c r="V2361" s="24" t="s">
        <v>39</v>
      </c>
      <c r="W2361" s="24"/>
      <c r="X2361" s="24"/>
      <c r="Y2361" s="15"/>
      <c r="Z2361" s="15"/>
      <c r="AA2361" s="24"/>
      <c r="AB2361" s="24"/>
      <c r="AC2361" s="24"/>
      <c r="AD2361" s="24"/>
      <c r="AE2361" s="24"/>
      <c r="AF2361" s="24"/>
      <c r="AG2361" s="24"/>
      <c r="AH2361" s="24"/>
    </row>
    <row r="2362" spans="1:34" ht="45" x14ac:dyDescent="0.25">
      <c r="A2362" s="24" t="str">
        <f>HYPERLINK("https://www.cpso.on.ca/DoctorDetails/Usama-Zahlan/0063082-69727","Zahlan, Usama")</f>
        <v>Zahlan, Usama</v>
      </c>
      <c r="B2362" s="25" t="s">
        <v>21857</v>
      </c>
      <c r="C2362" s="24" t="s">
        <v>21858</v>
      </c>
      <c r="D2362" s="24" t="s">
        <v>21859</v>
      </c>
      <c r="E2362" s="24" t="s">
        <v>29</v>
      </c>
      <c r="F2362" s="24" t="s">
        <v>30</v>
      </c>
      <c r="G2362" s="24" t="s">
        <v>105</v>
      </c>
      <c r="H2362" s="24" t="s">
        <v>21860</v>
      </c>
      <c r="I2362" s="24" t="s">
        <v>21861</v>
      </c>
      <c r="J2362" s="24" t="s">
        <v>21862</v>
      </c>
      <c r="K2362" s="24" t="s">
        <v>21863</v>
      </c>
      <c r="L2362" s="24" t="s">
        <v>3849</v>
      </c>
      <c r="M2362" s="15" t="s">
        <v>21864</v>
      </c>
      <c r="N2362" s="15"/>
      <c r="O2362" s="15" t="s">
        <v>21865</v>
      </c>
      <c r="P2362" s="15" t="s">
        <v>11675</v>
      </c>
      <c r="Q2362" s="15"/>
      <c r="R2362" s="15" t="s">
        <v>21866</v>
      </c>
      <c r="S2362" s="24" t="s">
        <v>39</v>
      </c>
      <c r="T2362" s="24" t="s">
        <v>39</v>
      </c>
      <c r="U2362" s="24" t="s">
        <v>39</v>
      </c>
      <c r="V2362" s="24" t="s">
        <v>39</v>
      </c>
      <c r="W2362" s="24" t="s">
        <v>21867</v>
      </c>
      <c r="X2362" s="24" t="s">
        <v>13439</v>
      </c>
      <c r="Y2362" s="15" t="s">
        <v>21868</v>
      </c>
      <c r="Z2362" s="15" t="s">
        <v>21869</v>
      </c>
      <c r="AA2362" s="24"/>
      <c r="AB2362" s="24"/>
      <c r="AC2362" s="24"/>
      <c r="AD2362" s="24"/>
      <c r="AE2362" s="24"/>
      <c r="AF2362" s="24"/>
      <c r="AG2362" s="24"/>
      <c r="AH2362" s="24"/>
    </row>
    <row r="2363" spans="1:34" ht="75" x14ac:dyDescent="0.25">
      <c r="A2363" s="24" t="str">
        <f>HYPERLINK("https://www.cpso.on.ca/DoctorDetails/Usha-Devi-Parthasarathi/0233948-85359","Parthasarathi, Usha Devi")</f>
        <v>Parthasarathi, Usha Devi</v>
      </c>
      <c r="B2363" s="25" t="s">
        <v>21870</v>
      </c>
      <c r="C2363" s="24" t="s">
        <v>5139</v>
      </c>
      <c r="D2363" s="24" t="s">
        <v>5140</v>
      </c>
      <c r="E2363" s="24" t="s">
        <v>29</v>
      </c>
      <c r="F2363" s="24" t="s">
        <v>47</v>
      </c>
      <c r="G2363" s="24" t="s">
        <v>21871</v>
      </c>
      <c r="H2363" s="24" t="s">
        <v>19739</v>
      </c>
      <c r="I2363" s="24" t="s">
        <v>21872</v>
      </c>
      <c r="J2363" s="24" t="s">
        <v>16834</v>
      </c>
      <c r="K2363" s="24"/>
      <c r="L2363" s="24" t="s">
        <v>184</v>
      </c>
      <c r="M2363" s="15"/>
      <c r="N2363" s="15" t="s">
        <v>695</v>
      </c>
      <c r="O2363" s="15" t="s">
        <v>6565</v>
      </c>
      <c r="P2363" s="15" t="s">
        <v>21063</v>
      </c>
      <c r="Q2363" s="15" t="s">
        <v>21873</v>
      </c>
      <c r="R2363" s="15" t="s">
        <v>21874</v>
      </c>
      <c r="S2363" s="24" t="s">
        <v>39</v>
      </c>
      <c r="T2363" s="24" t="s">
        <v>39</v>
      </c>
      <c r="U2363" s="24" t="s">
        <v>39</v>
      </c>
      <c r="V2363" s="24" t="s">
        <v>39</v>
      </c>
      <c r="W2363" s="24"/>
      <c r="X2363" s="24"/>
      <c r="Y2363" s="15"/>
      <c r="Z2363" s="15"/>
      <c r="AA2363" s="24"/>
      <c r="AB2363" s="24"/>
      <c r="AC2363" s="24"/>
      <c r="AD2363" s="24"/>
      <c r="AE2363" s="24"/>
      <c r="AF2363" s="24"/>
      <c r="AG2363" s="24"/>
      <c r="AH2363" s="24"/>
    </row>
    <row r="2364" spans="1:34" ht="75" x14ac:dyDescent="0.25">
      <c r="A2364" s="24" t="str">
        <f>HYPERLINK("https://www.cpso.on.ca/DoctorDetails/Uttam-Jit-Kaur-Wadhwa/0187554-76987","Wadhwa, Uttam Jit Kaur")</f>
        <v>Wadhwa, Uttam Jit Kaur</v>
      </c>
      <c r="B2364" s="25" t="s">
        <v>21875</v>
      </c>
      <c r="C2364" s="24" t="s">
        <v>21876</v>
      </c>
      <c r="D2364" s="24" t="s">
        <v>21877</v>
      </c>
      <c r="E2364" s="24" t="s">
        <v>29</v>
      </c>
      <c r="F2364" s="24" t="s">
        <v>47</v>
      </c>
      <c r="G2364" s="24" t="s">
        <v>2425</v>
      </c>
      <c r="H2364" s="24" t="s">
        <v>13412</v>
      </c>
      <c r="I2364" s="24" t="s">
        <v>21878</v>
      </c>
      <c r="J2364" s="24" t="s">
        <v>21879</v>
      </c>
      <c r="K2364" s="24" t="s">
        <v>21880</v>
      </c>
      <c r="L2364" s="24" t="s">
        <v>36</v>
      </c>
      <c r="M2364" s="15"/>
      <c r="N2364" s="15"/>
      <c r="O2364" s="15" t="s">
        <v>653</v>
      </c>
      <c r="P2364" s="15" t="s">
        <v>21881</v>
      </c>
      <c r="Q2364" s="15"/>
      <c r="R2364" s="15" t="s">
        <v>21882</v>
      </c>
      <c r="S2364" s="24" t="s">
        <v>39</v>
      </c>
      <c r="T2364" s="24" t="s">
        <v>39</v>
      </c>
      <c r="U2364" s="24" t="s">
        <v>39</v>
      </c>
      <c r="V2364" s="24" t="s">
        <v>39</v>
      </c>
      <c r="W2364" s="24" t="s">
        <v>21883</v>
      </c>
      <c r="X2364" s="24" t="s">
        <v>21884</v>
      </c>
      <c r="Y2364" s="15" t="s">
        <v>21885</v>
      </c>
      <c r="Z2364" s="15" t="s">
        <v>21886</v>
      </c>
      <c r="AA2364" s="24"/>
      <c r="AB2364" s="24"/>
      <c r="AC2364" s="24"/>
      <c r="AD2364" s="24"/>
      <c r="AE2364" s="24"/>
      <c r="AF2364" s="24"/>
      <c r="AG2364" s="24"/>
      <c r="AH2364" s="24"/>
    </row>
    <row r="2365" spans="1:34" ht="255" x14ac:dyDescent="0.25">
      <c r="A2365" s="24" t="str">
        <f>HYPERLINK("https://www.cpso.on.ca/DoctorDetails/Vadim-Beletsky/0178241-75976","Beletsky, Vadim")</f>
        <v>Beletsky, Vadim</v>
      </c>
      <c r="B2365" s="25" t="s">
        <v>21887</v>
      </c>
      <c r="C2365" s="24" t="s">
        <v>4223</v>
      </c>
      <c r="D2365" s="24" t="s">
        <v>4224</v>
      </c>
      <c r="E2365" s="24" t="s">
        <v>21888</v>
      </c>
      <c r="F2365" s="24" t="s">
        <v>30</v>
      </c>
      <c r="G2365" s="24" t="s">
        <v>873</v>
      </c>
      <c r="H2365" s="24" t="s">
        <v>21889</v>
      </c>
      <c r="I2365" s="24" t="s">
        <v>21890</v>
      </c>
      <c r="J2365" s="24" t="s">
        <v>2716</v>
      </c>
      <c r="K2365" s="24" t="s">
        <v>20650</v>
      </c>
      <c r="L2365" s="24" t="s">
        <v>135</v>
      </c>
      <c r="M2365" s="15"/>
      <c r="N2365" s="15"/>
      <c r="O2365" s="15" t="s">
        <v>20372</v>
      </c>
      <c r="P2365" s="15" t="s">
        <v>21891</v>
      </c>
      <c r="Q2365" s="15" t="s">
        <v>21892</v>
      </c>
      <c r="R2365" s="15" t="s">
        <v>21893</v>
      </c>
      <c r="S2365" s="24" t="s">
        <v>39</v>
      </c>
      <c r="T2365" s="24" t="s">
        <v>39</v>
      </c>
      <c r="U2365" s="24" t="s">
        <v>39</v>
      </c>
      <c r="V2365" s="24" t="s">
        <v>39</v>
      </c>
      <c r="W2365" s="24" t="s">
        <v>21894</v>
      </c>
      <c r="X2365" s="24" t="s">
        <v>21895</v>
      </c>
      <c r="Y2365" s="15" t="s">
        <v>21896</v>
      </c>
      <c r="Z2365" s="15" t="s">
        <v>21897</v>
      </c>
      <c r="AA2365" s="24"/>
      <c r="AB2365" s="24"/>
      <c r="AC2365" s="24"/>
      <c r="AD2365" s="24"/>
      <c r="AE2365" s="24"/>
      <c r="AF2365" s="24"/>
      <c r="AG2365" s="24"/>
      <c r="AH2365" s="24"/>
    </row>
    <row r="2366" spans="1:34" ht="45" x14ac:dyDescent="0.25">
      <c r="A2366" s="24" t="str">
        <f>HYPERLINK("https://www.cpso.on.ca/DoctorDetails/Vadim-Borisovich-Ilivitsky/0038269-52245","Ilivitsky, Vadim Borisovich")</f>
        <v>Ilivitsky, Vadim Borisovich</v>
      </c>
      <c r="B2366" s="25" t="s">
        <v>21898</v>
      </c>
      <c r="C2366" s="24" t="s">
        <v>21899</v>
      </c>
      <c r="D2366" s="24" t="s">
        <v>2868</v>
      </c>
      <c r="E2366" s="24" t="s">
        <v>29</v>
      </c>
      <c r="F2366" s="24" t="s">
        <v>30</v>
      </c>
      <c r="G2366" s="24" t="s">
        <v>873</v>
      </c>
      <c r="H2366" s="24" t="s">
        <v>21900</v>
      </c>
      <c r="I2366" s="24" t="s">
        <v>742</v>
      </c>
      <c r="J2366" s="24" t="s">
        <v>21901</v>
      </c>
      <c r="K2366" s="24" t="s">
        <v>5291</v>
      </c>
      <c r="L2366" s="24" t="s">
        <v>84</v>
      </c>
      <c r="M2366" s="15"/>
      <c r="N2366" s="15"/>
      <c r="O2366" s="15"/>
      <c r="P2366" s="15" t="s">
        <v>1947</v>
      </c>
      <c r="Q2366" s="15"/>
      <c r="R2366" s="15" t="s">
        <v>21902</v>
      </c>
      <c r="S2366" s="24" t="s">
        <v>39</v>
      </c>
      <c r="T2366" s="24" t="s">
        <v>39</v>
      </c>
      <c r="U2366" s="24" t="s">
        <v>39</v>
      </c>
      <c r="V2366" s="24" t="s">
        <v>39</v>
      </c>
      <c r="W2366" s="24"/>
      <c r="X2366" s="24"/>
      <c r="Y2366" s="15"/>
      <c r="Z2366" s="15"/>
      <c r="AA2366" s="24"/>
      <c r="AB2366" s="24"/>
      <c r="AC2366" s="24"/>
      <c r="AD2366" s="24"/>
      <c r="AE2366" s="24"/>
      <c r="AF2366" s="24"/>
      <c r="AG2366" s="24"/>
      <c r="AH2366" s="24"/>
    </row>
    <row r="2367" spans="1:34" ht="30" x14ac:dyDescent="0.25">
      <c r="A2367" s="24" t="str">
        <f>HYPERLINK("https://www.cpso.on.ca/DoctorDetails/Valerie-Anne-Macleod/0047700-61678","Macleod, Valerie Anne")</f>
        <v>Macleod, Valerie Anne</v>
      </c>
      <c r="B2367" s="25" t="s">
        <v>21903</v>
      </c>
      <c r="C2367" s="24" t="s">
        <v>21904</v>
      </c>
      <c r="D2367" s="24" t="s">
        <v>21905</v>
      </c>
      <c r="E2367" s="24" t="s">
        <v>29</v>
      </c>
      <c r="F2367" s="24" t="s">
        <v>47</v>
      </c>
      <c r="G2367" s="24" t="s">
        <v>31</v>
      </c>
      <c r="H2367" s="24" t="s">
        <v>11946</v>
      </c>
      <c r="I2367" s="24" t="s">
        <v>21906</v>
      </c>
      <c r="J2367" s="24" t="s">
        <v>16858</v>
      </c>
      <c r="K2367" s="24" t="s">
        <v>21646</v>
      </c>
      <c r="L2367" s="24" t="s">
        <v>135</v>
      </c>
      <c r="M2367" s="15"/>
      <c r="N2367" s="15"/>
      <c r="O2367" s="15" t="s">
        <v>14066</v>
      </c>
      <c r="P2367" s="15" t="s">
        <v>21907</v>
      </c>
      <c r="Q2367" s="15" t="s">
        <v>21908</v>
      </c>
      <c r="R2367" s="15" t="s">
        <v>21909</v>
      </c>
      <c r="S2367" s="24" t="s">
        <v>39</v>
      </c>
      <c r="T2367" s="24" t="s">
        <v>39</v>
      </c>
      <c r="U2367" s="24" t="s">
        <v>39</v>
      </c>
      <c r="V2367" s="24" t="s">
        <v>39</v>
      </c>
      <c r="W2367" s="24" t="s">
        <v>16863</v>
      </c>
      <c r="X2367" s="24" t="s">
        <v>16864</v>
      </c>
      <c r="Y2367" s="15" t="s">
        <v>16865</v>
      </c>
      <c r="Z2367" s="15" t="s">
        <v>16866</v>
      </c>
      <c r="AA2367" s="24"/>
      <c r="AB2367" s="24"/>
      <c r="AC2367" s="24"/>
      <c r="AD2367" s="24"/>
      <c r="AE2367" s="24"/>
      <c r="AF2367" s="24"/>
      <c r="AG2367" s="24"/>
      <c r="AH2367" s="24"/>
    </row>
    <row r="2368" spans="1:34" ht="60" x14ac:dyDescent="0.25">
      <c r="A2368" s="24" t="str">
        <f>HYPERLINK("https://www.cpso.on.ca/DoctorDetails/Valerie-Giroux/0294886-103646","Giroux, Valerie")</f>
        <v>Giroux, Valerie</v>
      </c>
      <c r="B2368" s="25" t="s">
        <v>21910</v>
      </c>
      <c r="C2368" s="24" t="s">
        <v>1350</v>
      </c>
      <c r="D2368" s="24" t="s">
        <v>21911</v>
      </c>
      <c r="E2368" s="24" t="s">
        <v>29</v>
      </c>
      <c r="F2368" s="24" t="s">
        <v>47</v>
      </c>
      <c r="G2368" s="24" t="s">
        <v>813</v>
      </c>
      <c r="H2368" s="24" t="s">
        <v>5057</v>
      </c>
      <c r="I2368" s="24" t="s">
        <v>21912</v>
      </c>
      <c r="J2368" s="24" t="s">
        <v>21913</v>
      </c>
      <c r="K2368" s="24"/>
      <c r="L2368" s="24" t="s">
        <v>84</v>
      </c>
      <c r="M2368" s="15"/>
      <c r="N2368" s="15"/>
      <c r="O2368" s="15" t="s">
        <v>817</v>
      </c>
      <c r="P2368" s="15" t="s">
        <v>629</v>
      </c>
      <c r="Q2368" s="15" t="s">
        <v>21914</v>
      </c>
      <c r="R2368" s="15" t="s">
        <v>21915</v>
      </c>
      <c r="S2368" s="24" t="s">
        <v>39</v>
      </c>
      <c r="T2368" s="24" t="s">
        <v>39</v>
      </c>
      <c r="U2368" s="24" t="s">
        <v>39</v>
      </c>
      <c r="V2368" s="24" t="s">
        <v>39</v>
      </c>
      <c r="W2368" s="24" t="s">
        <v>21916</v>
      </c>
      <c r="X2368" s="24" t="s">
        <v>21917</v>
      </c>
      <c r="Y2368" s="15" t="s">
        <v>21918</v>
      </c>
      <c r="Z2368" s="15" t="s">
        <v>21919</v>
      </c>
      <c r="AA2368" s="24"/>
      <c r="AB2368" s="24"/>
      <c r="AC2368" s="24"/>
      <c r="AD2368" s="24"/>
      <c r="AE2368" s="24"/>
      <c r="AF2368" s="24"/>
      <c r="AG2368" s="24"/>
      <c r="AH2368" s="24"/>
    </row>
    <row r="2369" spans="1:34" ht="135" x14ac:dyDescent="0.25">
      <c r="A2369" s="24" t="str">
        <f>HYPERLINK("https://www.cpso.on.ca/DoctorDetails/Valerie-Hannah-Taylor/0161866-73630","Taylor, Valerie Hannah")</f>
        <v>Taylor, Valerie Hannah</v>
      </c>
      <c r="B2369" s="25" t="s">
        <v>21920</v>
      </c>
      <c r="C2369" s="24" t="s">
        <v>280</v>
      </c>
      <c r="D2369" s="24" t="s">
        <v>281</v>
      </c>
      <c r="E2369" s="24" t="s">
        <v>29</v>
      </c>
      <c r="F2369" s="24" t="s">
        <v>47</v>
      </c>
      <c r="G2369" s="24" t="s">
        <v>31</v>
      </c>
      <c r="H2369" s="24" t="s">
        <v>21921</v>
      </c>
      <c r="I2369" s="24" t="s">
        <v>21922</v>
      </c>
      <c r="J2369" s="24" t="s">
        <v>21923</v>
      </c>
      <c r="K2369" s="24" t="s">
        <v>21924</v>
      </c>
      <c r="L2369" s="24" t="s">
        <v>52</v>
      </c>
      <c r="M2369" s="15"/>
      <c r="N2369" s="15"/>
      <c r="O2369" s="15" t="s">
        <v>9081</v>
      </c>
      <c r="P2369" s="15" t="s">
        <v>288</v>
      </c>
      <c r="Q2369" s="15" t="s">
        <v>21925</v>
      </c>
      <c r="R2369" s="15" t="s">
        <v>290</v>
      </c>
      <c r="S2369" s="24" t="s">
        <v>39</v>
      </c>
      <c r="T2369" s="24" t="s">
        <v>39</v>
      </c>
      <c r="U2369" s="24" t="s">
        <v>39</v>
      </c>
      <c r="V2369" s="24" t="s">
        <v>39</v>
      </c>
      <c r="W2369" s="24" t="s">
        <v>21926</v>
      </c>
      <c r="X2369" s="24" t="s">
        <v>21927</v>
      </c>
      <c r="Y2369" s="15" t="s">
        <v>21928</v>
      </c>
      <c r="Z2369" s="15" t="s">
        <v>21929</v>
      </c>
      <c r="AA2369" s="24"/>
      <c r="AB2369" s="24"/>
      <c r="AC2369" s="24"/>
      <c r="AD2369" s="24"/>
      <c r="AE2369" s="24"/>
      <c r="AF2369" s="24"/>
      <c r="AG2369" s="24"/>
      <c r="AH2369" s="24"/>
    </row>
    <row r="2370" spans="1:34" ht="45" x14ac:dyDescent="0.25">
      <c r="A2370" s="24" t="str">
        <f>HYPERLINK("https://www.cpso.on.ca/DoctorDetails/Valerie-Mary-Goff/0030443-42423","Goff, Valerie Mary")</f>
        <v>Goff, Valerie Mary</v>
      </c>
      <c r="B2370" s="25" t="s">
        <v>21930</v>
      </c>
      <c r="C2370" s="24" t="s">
        <v>21931</v>
      </c>
      <c r="D2370" s="24" t="s">
        <v>860</v>
      </c>
      <c r="E2370" s="24" t="s">
        <v>29</v>
      </c>
      <c r="F2370" s="24" t="s">
        <v>47</v>
      </c>
      <c r="G2370" s="24" t="s">
        <v>31</v>
      </c>
      <c r="H2370" s="24" t="s">
        <v>21932</v>
      </c>
      <c r="I2370" s="24" t="s">
        <v>21933</v>
      </c>
      <c r="J2370" s="24" t="s">
        <v>21934</v>
      </c>
      <c r="K2370" s="24" t="s">
        <v>21935</v>
      </c>
      <c r="L2370" s="24" t="s">
        <v>340</v>
      </c>
      <c r="M2370" s="15"/>
      <c r="N2370" s="15"/>
      <c r="O2370" s="15" t="s">
        <v>9648</v>
      </c>
      <c r="P2370" s="15" t="s">
        <v>8919</v>
      </c>
      <c r="Q2370" s="15"/>
      <c r="R2370" s="15" t="s">
        <v>21936</v>
      </c>
      <c r="S2370" s="24" t="s">
        <v>39</v>
      </c>
      <c r="T2370" s="24" t="s">
        <v>39</v>
      </c>
      <c r="U2370" s="24" t="s">
        <v>39</v>
      </c>
      <c r="V2370" s="24" t="s">
        <v>39</v>
      </c>
      <c r="W2370" s="24"/>
      <c r="X2370" s="24"/>
      <c r="Y2370" s="15"/>
      <c r="Z2370" s="15"/>
      <c r="AA2370" s="24"/>
      <c r="AB2370" s="24"/>
      <c r="AC2370" s="24"/>
      <c r="AD2370" s="24"/>
      <c r="AE2370" s="24"/>
      <c r="AF2370" s="24"/>
      <c r="AG2370" s="24"/>
      <c r="AH2370" s="24"/>
    </row>
    <row r="2371" spans="1:34" ht="120" x14ac:dyDescent="0.25">
      <c r="A2371" s="24" t="str">
        <f>HYPERLINK("https://www.cpso.on.ca/DoctorDetails/Valerie-Primeau/0250718-89492","Primeau, Valerie")</f>
        <v>Primeau, Valerie</v>
      </c>
      <c r="B2371" s="25" t="s">
        <v>21937</v>
      </c>
      <c r="C2371" s="24" t="s">
        <v>21938</v>
      </c>
      <c r="D2371" s="24" t="s">
        <v>21939</v>
      </c>
      <c r="E2371" s="24" t="s">
        <v>29</v>
      </c>
      <c r="F2371" s="24" t="s">
        <v>47</v>
      </c>
      <c r="G2371" s="24" t="s">
        <v>813</v>
      </c>
      <c r="H2371" s="24" t="s">
        <v>21940</v>
      </c>
      <c r="I2371" s="24" t="s">
        <v>6098</v>
      </c>
      <c r="J2371" s="24" t="s">
        <v>6099</v>
      </c>
      <c r="K2371" s="24"/>
      <c r="L2371" s="24" t="s">
        <v>328</v>
      </c>
      <c r="M2371" s="15"/>
      <c r="N2371" s="15"/>
      <c r="O2371" s="15" t="s">
        <v>329</v>
      </c>
      <c r="P2371" s="15" t="s">
        <v>21941</v>
      </c>
      <c r="Q2371" s="15" t="s">
        <v>21942</v>
      </c>
      <c r="R2371" s="15" t="s">
        <v>21943</v>
      </c>
      <c r="S2371" s="24" t="s">
        <v>39</v>
      </c>
      <c r="T2371" s="24" t="s">
        <v>39</v>
      </c>
      <c r="U2371" s="24" t="s">
        <v>39</v>
      </c>
      <c r="V2371" s="24" t="s">
        <v>39</v>
      </c>
      <c r="W2371" s="24"/>
      <c r="X2371" s="24"/>
      <c r="Y2371" s="15"/>
      <c r="Z2371" s="15"/>
      <c r="AA2371" s="24"/>
      <c r="AB2371" s="24"/>
      <c r="AC2371" s="24"/>
      <c r="AD2371" s="24"/>
      <c r="AE2371" s="24"/>
      <c r="AF2371" s="24"/>
      <c r="AG2371" s="24"/>
      <c r="AH2371" s="24"/>
    </row>
    <row r="2372" spans="1:34" ht="90" x14ac:dyDescent="0.25">
      <c r="A2372" s="24" t="str">
        <f>HYPERLINK("https://www.cpso.on.ca/DoctorDetails/Valerie-Voon/0143350-71557","Voon, Valerie")</f>
        <v>Voon, Valerie</v>
      </c>
      <c r="B2372" s="25" t="s">
        <v>21944</v>
      </c>
      <c r="C2372" s="24" t="s">
        <v>21945</v>
      </c>
      <c r="D2372" s="24" t="s">
        <v>21946</v>
      </c>
      <c r="E2372" s="24" t="s">
        <v>29</v>
      </c>
      <c r="F2372" s="24" t="s">
        <v>47</v>
      </c>
      <c r="G2372" s="24" t="s">
        <v>31</v>
      </c>
      <c r="H2372" s="24" t="s">
        <v>4752</v>
      </c>
      <c r="I2372" s="24" t="s">
        <v>21947</v>
      </c>
      <c r="J2372" s="24" t="s">
        <v>21948</v>
      </c>
      <c r="K2372" s="24"/>
      <c r="L2372" s="24"/>
      <c r="M2372" s="15"/>
      <c r="N2372" s="15" t="s">
        <v>398</v>
      </c>
      <c r="O2372" s="15"/>
      <c r="P2372" s="15" t="s">
        <v>1398</v>
      </c>
      <c r="Q2372" s="15" t="s">
        <v>21949</v>
      </c>
      <c r="R2372" s="15" t="s">
        <v>21950</v>
      </c>
      <c r="S2372" s="24" t="s">
        <v>39</v>
      </c>
      <c r="T2372" s="24" t="s">
        <v>39</v>
      </c>
      <c r="U2372" s="24" t="s">
        <v>39</v>
      </c>
      <c r="V2372" s="24" t="s">
        <v>39</v>
      </c>
      <c r="W2372" s="24"/>
      <c r="X2372" s="24"/>
      <c r="Y2372" s="15"/>
      <c r="Z2372" s="15"/>
      <c r="AA2372" s="24"/>
      <c r="AB2372" s="24"/>
      <c r="AC2372" s="24"/>
      <c r="AD2372" s="24"/>
      <c r="AE2372" s="24"/>
      <c r="AF2372" s="24"/>
      <c r="AG2372" s="24"/>
      <c r="AH2372" s="24"/>
    </row>
    <row r="2373" spans="1:34" ht="75" x14ac:dyDescent="0.25">
      <c r="A2373" s="24" t="str">
        <f>HYPERLINK("https://www.cpso.on.ca/DoctorDetails/Vance-Michael-Logan/0044471-58449","Logan, Vance Michael")</f>
        <v>Logan, Vance Michael</v>
      </c>
      <c r="B2373" s="25" t="s">
        <v>21951</v>
      </c>
      <c r="C2373" s="24" t="s">
        <v>1609</v>
      </c>
      <c r="D2373" s="24" t="s">
        <v>21952</v>
      </c>
      <c r="E2373" s="24" t="s">
        <v>29</v>
      </c>
      <c r="F2373" s="24" t="s">
        <v>30</v>
      </c>
      <c r="G2373" s="24" t="s">
        <v>31</v>
      </c>
      <c r="H2373" s="24" t="s">
        <v>3164</v>
      </c>
      <c r="I2373" s="24" t="s">
        <v>21953</v>
      </c>
      <c r="J2373" s="24" t="s">
        <v>21954</v>
      </c>
      <c r="K2373" s="24"/>
      <c r="L2373" s="24" t="s">
        <v>52</v>
      </c>
      <c r="M2373" s="15"/>
      <c r="N2373" s="15"/>
      <c r="O2373" s="15"/>
      <c r="P2373" s="15" t="s">
        <v>1984</v>
      </c>
      <c r="Q2373" s="15" t="s">
        <v>21955</v>
      </c>
      <c r="R2373" s="15" t="s">
        <v>21956</v>
      </c>
      <c r="S2373" s="24" t="s">
        <v>39</v>
      </c>
      <c r="T2373" s="24" t="s">
        <v>39</v>
      </c>
      <c r="U2373" s="24" t="s">
        <v>39</v>
      </c>
      <c r="V2373" s="24" t="s">
        <v>39</v>
      </c>
      <c r="W2373" s="24"/>
      <c r="X2373" s="24"/>
      <c r="Y2373" s="15"/>
      <c r="Z2373" s="15"/>
      <c r="AA2373" s="24"/>
      <c r="AB2373" s="24"/>
      <c r="AC2373" s="24"/>
      <c r="AD2373" s="24"/>
      <c r="AE2373" s="24"/>
      <c r="AF2373" s="24"/>
      <c r="AG2373" s="24"/>
      <c r="AH2373" s="24"/>
    </row>
    <row r="2374" spans="1:34" ht="60" x14ac:dyDescent="0.25">
      <c r="A2374" s="24" t="str">
        <f>HYPERLINK("https://www.cpso.on.ca/DoctorDetails/Vanessa-Juliane-Lentz/0274616-95992","Lentz, Vanessa Juliane")</f>
        <v>Lentz, Vanessa Juliane</v>
      </c>
      <c r="B2374" s="25" t="s">
        <v>21957</v>
      </c>
      <c r="C2374" s="24" t="s">
        <v>21958</v>
      </c>
      <c r="D2374" s="24" t="s">
        <v>21959</v>
      </c>
      <c r="E2374" s="24" t="s">
        <v>29</v>
      </c>
      <c r="F2374" s="24" t="s">
        <v>47</v>
      </c>
      <c r="G2374" s="24" t="s">
        <v>813</v>
      </c>
      <c r="H2374" s="24" t="s">
        <v>21960</v>
      </c>
      <c r="I2374" s="24" t="s">
        <v>21961</v>
      </c>
      <c r="J2374" s="24" t="s">
        <v>21962</v>
      </c>
      <c r="K2374" s="24" t="s">
        <v>3011</v>
      </c>
      <c r="L2374" s="24" t="s">
        <v>184</v>
      </c>
      <c r="M2374" s="15" t="s">
        <v>21963</v>
      </c>
      <c r="N2374" s="15"/>
      <c r="O2374" s="15" t="s">
        <v>6565</v>
      </c>
      <c r="P2374" s="15" t="s">
        <v>629</v>
      </c>
      <c r="Q2374" s="15" t="s">
        <v>21964</v>
      </c>
      <c r="R2374" s="15" t="s">
        <v>21965</v>
      </c>
      <c r="S2374" s="24" t="s">
        <v>39</v>
      </c>
      <c r="T2374" s="24" t="s">
        <v>39</v>
      </c>
      <c r="U2374" s="24" t="s">
        <v>39</v>
      </c>
      <c r="V2374" s="24" t="s">
        <v>39</v>
      </c>
      <c r="W2374" s="24" t="s">
        <v>21966</v>
      </c>
      <c r="X2374" s="24" t="s">
        <v>21967</v>
      </c>
      <c r="Y2374" s="15" t="s">
        <v>21968</v>
      </c>
      <c r="Z2374" s="15" t="s">
        <v>21969</v>
      </c>
      <c r="AA2374" s="24"/>
      <c r="AB2374" s="24"/>
      <c r="AC2374" s="24"/>
      <c r="AD2374" s="24"/>
      <c r="AE2374" s="24"/>
      <c r="AF2374" s="24"/>
      <c r="AG2374" s="24"/>
      <c r="AH2374" s="24"/>
    </row>
    <row r="2375" spans="1:34" ht="60" x14ac:dyDescent="0.25">
      <c r="A2375" s="24" t="str">
        <f>HYPERLINK("https://www.cpso.on.ca/DoctorDetails/Vanessa-LiJien-Thoo/0298799-105156","Thoo, Vanessa Li-Jien")</f>
        <v>Thoo, Vanessa Li-Jien</v>
      </c>
      <c r="B2375" s="25" t="s">
        <v>21970</v>
      </c>
      <c r="C2375" s="24" t="s">
        <v>21971</v>
      </c>
      <c r="D2375" s="24" t="s">
        <v>571</v>
      </c>
      <c r="E2375" s="24" t="s">
        <v>29</v>
      </c>
      <c r="F2375" s="24" t="s">
        <v>47</v>
      </c>
      <c r="G2375" s="24" t="s">
        <v>31</v>
      </c>
      <c r="H2375" s="24" t="s">
        <v>4916</v>
      </c>
      <c r="I2375" s="24" t="s">
        <v>21972</v>
      </c>
      <c r="J2375" s="24" t="s">
        <v>21973</v>
      </c>
      <c r="K2375" s="24"/>
      <c r="L2375" s="24" t="s">
        <v>52</v>
      </c>
      <c r="M2375" s="15"/>
      <c r="N2375" s="15"/>
      <c r="O2375" s="15" t="s">
        <v>21974</v>
      </c>
      <c r="P2375" s="15" t="s">
        <v>629</v>
      </c>
      <c r="Q2375" s="15" t="s">
        <v>21975</v>
      </c>
      <c r="R2375" s="15" t="s">
        <v>21976</v>
      </c>
      <c r="S2375" s="24" t="s">
        <v>39</v>
      </c>
      <c r="T2375" s="24" t="s">
        <v>39</v>
      </c>
      <c r="U2375" s="24" t="s">
        <v>39</v>
      </c>
      <c r="V2375" s="24" t="s">
        <v>39</v>
      </c>
      <c r="W2375" s="24"/>
      <c r="X2375" s="24"/>
      <c r="Y2375" s="15"/>
      <c r="Z2375" s="15"/>
      <c r="AA2375" s="24"/>
      <c r="AB2375" s="24"/>
      <c r="AC2375" s="24"/>
      <c r="AD2375" s="24"/>
      <c r="AE2375" s="24"/>
      <c r="AF2375" s="24"/>
      <c r="AG2375" s="24"/>
      <c r="AH2375" s="24"/>
    </row>
    <row r="2376" spans="1:34" ht="45" x14ac:dyDescent="0.25">
      <c r="A2376" s="24" t="str">
        <f>HYPERLINK("https://www.cpso.on.ca/DoctorDetails/Varadaraj-Rajagopal-Velamoor/0040077-54053","Velamoor, Varadaraj Rajagopal")</f>
        <v>Velamoor, Varadaraj Rajagopal</v>
      </c>
      <c r="B2376" s="25" t="s">
        <v>21977</v>
      </c>
      <c r="C2376" s="24" t="s">
        <v>21978</v>
      </c>
      <c r="D2376" s="24" t="s">
        <v>8235</v>
      </c>
      <c r="E2376" s="24" t="s">
        <v>21979</v>
      </c>
      <c r="F2376" s="24" t="s">
        <v>30</v>
      </c>
      <c r="G2376" s="24" t="s">
        <v>21980</v>
      </c>
      <c r="H2376" s="24" t="s">
        <v>21981</v>
      </c>
      <c r="I2376" s="24" t="s">
        <v>21982</v>
      </c>
      <c r="J2376" s="24" t="s">
        <v>21983</v>
      </c>
      <c r="K2376" s="24" t="s">
        <v>21984</v>
      </c>
      <c r="L2376" s="24" t="s">
        <v>52</v>
      </c>
      <c r="M2376" s="15"/>
      <c r="N2376" s="15" t="s">
        <v>1449</v>
      </c>
      <c r="O2376" s="15"/>
      <c r="P2376" s="15" t="s">
        <v>2864</v>
      </c>
      <c r="Q2376" s="15"/>
      <c r="R2376" s="15" t="s">
        <v>21985</v>
      </c>
      <c r="S2376" s="24" t="s">
        <v>71</v>
      </c>
      <c r="T2376" s="24" t="s">
        <v>39</v>
      </c>
      <c r="U2376" s="24" t="s">
        <v>39</v>
      </c>
      <c r="V2376" s="24" t="s">
        <v>39</v>
      </c>
      <c r="W2376" s="24" t="s">
        <v>21986</v>
      </c>
      <c r="X2376" s="24" t="s">
        <v>9359</v>
      </c>
      <c r="Y2376" s="15" t="s">
        <v>21987</v>
      </c>
      <c r="Z2376" s="15" t="s">
        <v>21988</v>
      </c>
      <c r="AA2376" s="24"/>
      <c r="AB2376" s="24"/>
      <c r="AC2376" s="24"/>
      <c r="AD2376" s="24"/>
      <c r="AE2376" s="24"/>
      <c r="AF2376" s="24"/>
      <c r="AG2376" s="24"/>
      <c r="AH2376" s="24"/>
    </row>
    <row r="2377" spans="1:34" x14ac:dyDescent="0.25">
      <c r="A2377" s="24" t="str">
        <f>HYPERLINK("https://www.cpso.on.ca/DoctorDetails/Varadarajan-Raghuraman/0052085-66064","Raghuraman, Varadarajan")</f>
        <v>Raghuraman, Varadarajan</v>
      </c>
      <c r="B2377" s="25" t="s">
        <v>21989</v>
      </c>
      <c r="C2377" s="24" t="s">
        <v>21990</v>
      </c>
      <c r="D2377" s="24" t="s">
        <v>21991</v>
      </c>
      <c r="E2377" s="24" t="s">
        <v>29</v>
      </c>
      <c r="F2377" s="24" t="s">
        <v>30</v>
      </c>
      <c r="G2377" s="24" t="s">
        <v>2255</v>
      </c>
      <c r="H2377" s="24" t="s">
        <v>12300</v>
      </c>
      <c r="I2377" s="24" t="s">
        <v>21992</v>
      </c>
      <c r="J2377" s="24" t="s">
        <v>21993</v>
      </c>
      <c r="K2377" s="24" t="s">
        <v>8943</v>
      </c>
      <c r="L2377" s="24" t="s">
        <v>52</v>
      </c>
      <c r="M2377" s="15"/>
      <c r="N2377" s="15"/>
      <c r="O2377" s="15" t="s">
        <v>232</v>
      </c>
      <c r="P2377" s="15" t="s">
        <v>3232</v>
      </c>
      <c r="Q2377" s="15"/>
      <c r="R2377" s="15" t="s">
        <v>21994</v>
      </c>
      <c r="S2377" s="24" t="s">
        <v>39</v>
      </c>
      <c r="T2377" s="24" t="s">
        <v>39</v>
      </c>
      <c r="U2377" s="24" t="s">
        <v>39</v>
      </c>
      <c r="V2377" s="24" t="s">
        <v>39</v>
      </c>
      <c r="W2377" s="24" t="s">
        <v>21995</v>
      </c>
      <c r="X2377" s="24" t="s">
        <v>21996</v>
      </c>
      <c r="Y2377" s="15" t="s">
        <v>21997</v>
      </c>
      <c r="Z2377" s="15" t="s">
        <v>21998</v>
      </c>
      <c r="AA2377" s="24"/>
      <c r="AB2377" s="24"/>
      <c r="AC2377" s="24"/>
      <c r="AD2377" s="24"/>
      <c r="AE2377" s="24"/>
      <c r="AF2377" s="24"/>
      <c r="AG2377" s="24"/>
      <c r="AH2377" s="24"/>
    </row>
    <row r="2378" spans="1:34" ht="105" x14ac:dyDescent="0.25">
      <c r="A2378" s="24" t="str">
        <f>HYPERLINK("https://www.cpso.on.ca/DoctorDetails/Varinder-Dua/0046720-60698","Dua, Varinder")</f>
        <v>Dua, Varinder</v>
      </c>
      <c r="B2378" s="25" t="s">
        <v>21999</v>
      </c>
      <c r="C2378" s="24" t="s">
        <v>765</v>
      </c>
      <c r="D2378" s="24" t="s">
        <v>22000</v>
      </c>
      <c r="E2378" s="24" t="s">
        <v>29</v>
      </c>
      <c r="F2378" s="24" t="s">
        <v>47</v>
      </c>
      <c r="G2378" s="24" t="s">
        <v>61</v>
      </c>
      <c r="H2378" s="24" t="s">
        <v>22001</v>
      </c>
      <c r="I2378" s="24" t="s">
        <v>7457</v>
      </c>
      <c r="J2378" s="24" t="s">
        <v>22002</v>
      </c>
      <c r="K2378" s="24" t="s">
        <v>22003</v>
      </c>
      <c r="L2378" s="24" t="s">
        <v>135</v>
      </c>
      <c r="M2378" s="15" t="s">
        <v>22004</v>
      </c>
      <c r="N2378" s="15"/>
      <c r="O2378" s="15" t="s">
        <v>22005</v>
      </c>
      <c r="P2378" s="15" t="s">
        <v>8479</v>
      </c>
      <c r="Q2378" s="15" t="s">
        <v>22006</v>
      </c>
      <c r="R2378" s="15" t="s">
        <v>22007</v>
      </c>
      <c r="S2378" s="24" t="s">
        <v>39</v>
      </c>
      <c r="T2378" s="24" t="s">
        <v>39</v>
      </c>
      <c r="U2378" s="24" t="s">
        <v>39</v>
      </c>
      <c r="V2378" s="24" t="s">
        <v>39</v>
      </c>
      <c r="W2378" s="24" t="s">
        <v>22008</v>
      </c>
      <c r="X2378" s="24" t="s">
        <v>17388</v>
      </c>
      <c r="Y2378" s="15" t="s">
        <v>22009</v>
      </c>
      <c r="Z2378" s="15" t="s">
        <v>22010</v>
      </c>
      <c r="AA2378" s="24"/>
      <c r="AB2378" s="24"/>
      <c r="AC2378" s="24"/>
      <c r="AD2378" s="24"/>
      <c r="AE2378" s="24"/>
      <c r="AF2378" s="24"/>
      <c r="AG2378" s="24"/>
      <c r="AH2378" s="24"/>
    </row>
    <row r="2379" spans="1:34" ht="90" x14ac:dyDescent="0.25">
      <c r="A2379" s="24" t="str">
        <f>HYPERLINK("https://www.cpso.on.ca/DoctorDetails/Varinderjit-Singh-Parmar/0258684-91427","Parmar, Varinderjit Singh")</f>
        <v>Parmar, Varinderjit Singh</v>
      </c>
      <c r="B2379" s="25" t="s">
        <v>22011</v>
      </c>
      <c r="C2379" s="24" t="s">
        <v>22012</v>
      </c>
      <c r="D2379" s="24" t="s">
        <v>443</v>
      </c>
      <c r="E2379" s="24" t="s">
        <v>29</v>
      </c>
      <c r="F2379" s="24" t="s">
        <v>30</v>
      </c>
      <c r="G2379" s="24" t="s">
        <v>61</v>
      </c>
      <c r="H2379" s="24" t="s">
        <v>22013</v>
      </c>
      <c r="I2379" s="24" t="s">
        <v>22014</v>
      </c>
      <c r="J2379" s="24" t="s">
        <v>1690</v>
      </c>
      <c r="K2379" s="24"/>
      <c r="L2379" s="24" t="s">
        <v>36</v>
      </c>
      <c r="M2379" s="15"/>
      <c r="N2379" s="15" t="s">
        <v>1370</v>
      </c>
      <c r="O2379" s="15"/>
      <c r="P2379" s="15" t="s">
        <v>449</v>
      </c>
      <c r="Q2379" s="15" t="s">
        <v>2180</v>
      </c>
      <c r="R2379" s="15" t="s">
        <v>22015</v>
      </c>
      <c r="S2379" s="24" t="s">
        <v>39</v>
      </c>
      <c r="T2379" s="24" t="s">
        <v>39</v>
      </c>
      <c r="U2379" s="24" t="s">
        <v>39</v>
      </c>
      <c r="V2379" s="24" t="s">
        <v>39</v>
      </c>
      <c r="W2379" s="24" t="s">
        <v>22016</v>
      </c>
      <c r="X2379" s="24" t="s">
        <v>22017</v>
      </c>
      <c r="Y2379" s="15" t="s">
        <v>22018</v>
      </c>
      <c r="Z2379" s="15" t="s">
        <v>22019</v>
      </c>
      <c r="AA2379" s="24"/>
      <c r="AB2379" s="24"/>
      <c r="AC2379" s="24"/>
      <c r="AD2379" s="24"/>
      <c r="AE2379" s="24"/>
      <c r="AF2379" s="24"/>
      <c r="AG2379" s="24"/>
      <c r="AH2379" s="24"/>
    </row>
    <row r="2380" spans="1:34" ht="90" x14ac:dyDescent="0.25">
      <c r="A2380" s="24" t="str">
        <f>HYPERLINK("https://www.cpso.on.ca/DoctorDetails/Vasavi-Raju-Poolacherla/0299587-105504","Poolacherla, Vasavi Raju")</f>
        <v>Poolacherla, Vasavi Raju</v>
      </c>
      <c r="B2380" s="25" t="s">
        <v>22020</v>
      </c>
      <c r="C2380" s="24" t="s">
        <v>22021</v>
      </c>
      <c r="D2380" s="24" t="s">
        <v>22022</v>
      </c>
      <c r="E2380" s="24" t="s">
        <v>29</v>
      </c>
      <c r="F2380" s="24" t="s">
        <v>47</v>
      </c>
      <c r="G2380" s="24" t="s">
        <v>22023</v>
      </c>
      <c r="H2380" s="24" t="s">
        <v>22024</v>
      </c>
      <c r="I2380" s="24" t="s">
        <v>22025</v>
      </c>
      <c r="J2380" s="24"/>
      <c r="K2380" s="24"/>
      <c r="L2380" s="24" t="s">
        <v>135</v>
      </c>
      <c r="M2380" s="15"/>
      <c r="N2380" s="15"/>
      <c r="O2380" s="15"/>
      <c r="P2380" s="15" t="s">
        <v>22026</v>
      </c>
      <c r="Q2380" s="15"/>
      <c r="R2380" s="15" t="s">
        <v>22027</v>
      </c>
      <c r="S2380" s="24" t="s">
        <v>71</v>
      </c>
      <c r="T2380" s="24" t="s">
        <v>39</v>
      </c>
      <c r="U2380" s="24" t="s">
        <v>39</v>
      </c>
      <c r="V2380" s="24" t="s">
        <v>39</v>
      </c>
      <c r="W2380" s="24" t="s">
        <v>22028</v>
      </c>
      <c r="X2380" s="24" t="s">
        <v>22029</v>
      </c>
      <c r="Y2380" s="15"/>
      <c r="Z2380" s="15"/>
      <c r="AA2380" s="24"/>
      <c r="AB2380" s="24"/>
      <c r="AC2380" s="24"/>
      <c r="AD2380" s="24"/>
      <c r="AE2380" s="24"/>
      <c r="AF2380" s="24"/>
      <c r="AG2380" s="24"/>
      <c r="AH2380" s="24"/>
    </row>
    <row r="2381" spans="1:34" ht="60" x14ac:dyDescent="0.25">
      <c r="A2381" s="24" t="str">
        <f>HYPERLINK("https://www.cpso.on.ca/DoctorDetails/Vasundhara-Srinivasan/0030506-42486","Srinivasan, Vasundhara")</f>
        <v>Srinivasan, Vasundhara</v>
      </c>
      <c r="B2381" s="25" t="s">
        <v>22030</v>
      </c>
      <c r="C2381" s="24" t="s">
        <v>7958</v>
      </c>
      <c r="D2381" s="24" t="s">
        <v>5384</v>
      </c>
      <c r="E2381" s="24" t="s">
        <v>29</v>
      </c>
      <c r="F2381" s="24" t="s">
        <v>47</v>
      </c>
      <c r="G2381" s="24" t="s">
        <v>8845</v>
      </c>
      <c r="H2381" s="24" t="s">
        <v>22031</v>
      </c>
      <c r="I2381" s="24" t="s">
        <v>22032</v>
      </c>
      <c r="J2381" s="24" t="s">
        <v>22033</v>
      </c>
      <c r="K2381" s="24" t="s">
        <v>22034</v>
      </c>
      <c r="L2381" s="24" t="s">
        <v>36</v>
      </c>
      <c r="M2381" s="15" t="s">
        <v>22035</v>
      </c>
      <c r="N2381" s="15"/>
      <c r="O2381" s="15"/>
      <c r="P2381" s="15" t="s">
        <v>1794</v>
      </c>
      <c r="Q2381" s="15"/>
      <c r="R2381" s="15" t="s">
        <v>22036</v>
      </c>
      <c r="S2381" s="24" t="s">
        <v>39</v>
      </c>
      <c r="T2381" s="24" t="s">
        <v>39</v>
      </c>
      <c r="U2381" s="24" t="s">
        <v>39</v>
      </c>
      <c r="V2381" s="24" t="s">
        <v>39</v>
      </c>
      <c r="W2381" s="24" t="s">
        <v>22037</v>
      </c>
      <c r="X2381" s="24" t="s">
        <v>22038</v>
      </c>
      <c r="Y2381" s="15" t="s">
        <v>22039</v>
      </c>
      <c r="Z2381" s="15" t="s">
        <v>22040</v>
      </c>
      <c r="AA2381" s="24"/>
      <c r="AB2381" s="24"/>
      <c r="AC2381" s="24"/>
      <c r="AD2381" s="24"/>
      <c r="AE2381" s="24"/>
      <c r="AF2381" s="24"/>
      <c r="AG2381" s="24"/>
      <c r="AH2381" s="24"/>
    </row>
    <row r="2382" spans="1:34" ht="75" x14ac:dyDescent="0.25">
      <c r="A2382" s="24" t="str">
        <f>HYPERLINK("https://www.cpso.on.ca/DoctorDetails/Velan-Sivasubramanian/0052614-66578","Sivasubramanian, Velan")</f>
        <v>Sivasubramanian, Velan</v>
      </c>
      <c r="B2382" s="25" t="s">
        <v>22041</v>
      </c>
      <c r="C2382" s="24" t="s">
        <v>1931</v>
      </c>
      <c r="D2382" s="24" t="s">
        <v>1932</v>
      </c>
      <c r="E2382" s="24" t="s">
        <v>29</v>
      </c>
      <c r="F2382" s="24" t="s">
        <v>30</v>
      </c>
      <c r="G2382" s="24" t="s">
        <v>31</v>
      </c>
      <c r="H2382" s="24" t="s">
        <v>1933</v>
      </c>
      <c r="I2382" s="24" t="s">
        <v>22042</v>
      </c>
      <c r="J2382" s="24" t="s">
        <v>9802</v>
      </c>
      <c r="K2382" s="24" t="s">
        <v>9803</v>
      </c>
      <c r="L2382" s="24" t="s">
        <v>52</v>
      </c>
      <c r="M2382" s="15"/>
      <c r="N2382" s="15"/>
      <c r="O2382" s="15"/>
      <c r="P2382" s="15" t="s">
        <v>303</v>
      </c>
      <c r="Q2382" s="15" t="s">
        <v>22043</v>
      </c>
      <c r="R2382" s="15" t="s">
        <v>1938</v>
      </c>
      <c r="S2382" s="24" t="s">
        <v>39</v>
      </c>
      <c r="T2382" s="24" t="s">
        <v>39</v>
      </c>
      <c r="U2382" s="24" t="s">
        <v>39</v>
      </c>
      <c r="V2382" s="24" t="s">
        <v>39</v>
      </c>
      <c r="W2382" s="24"/>
      <c r="X2382" s="24"/>
      <c r="Y2382" s="15"/>
      <c r="Z2382" s="15"/>
      <c r="AA2382" s="24"/>
      <c r="AB2382" s="24"/>
      <c r="AC2382" s="24"/>
      <c r="AD2382" s="24"/>
      <c r="AE2382" s="24"/>
      <c r="AF2382" s="24"/>
      <c r="AG2382" s="24"/>
      <c r="AH2382" s="24"/>
    </row>
    <row r="2383" spans="1:34" ht="30" x14ac:dyDescent="0.25">
      <c r="A2383" s="24" t="str">
        <f>HYPERLINK("https://www.cpso.on.ca/DoctorDetails/Venkat-Bhat/0276725-113570","Bhat, Venkat")</f>
        <v>Bhat, Venkat</v>
      </c>
      <c r="B2383" s="25" t="s">
        <v>22044</v>
      </c>
      <c r="C2383" s="24" t="s">
        <v>8981</v>
      </c>
      <c r="D2383" s="24" t="s">
        <v>22045</v>
      </c>
      <c r="E2383" s="24" t="s">
        <v>29</v>
      </c>
      <c r="F2383" s="24" t="s">
        <v>30</v>
      </c>
      <c r="G2383" s="24" t="s">
        <v>31</v>
      </c>
      <c r="H2383" s="24" t="s">
        <v>22046</v>
      </c>
      <c r="I2383" s="24" t="s">
        <v>22047</v>
      </c>
      <c r="J2383" s="24" t="s">
        <v>22048</v>
      </c>
      <c r="K2383" s="24"/>
      <c r="L2383" s="24" t="s">
        <v>52</v>
      </c>
      <c r="M2383" s="15" t="s">
        <v>22049</v>
      </c>
      <c r="N2383" s="15"/>
      <c r="O2383" s="15"/>
      <c r="P2383" s="15" t="s">
        <v>4909</v>
      </c>
      <c r="Q2383" s="15" t="s">
        <v>22050</v>
      </c>
      <c r="R2383" s="15" t="s">
        <v>22051</v>
      </c>
      <c r="S2383" s="24" t="s">
        <v>39</v>
      </c>
      <c r="T2383" s="24" t="s">
        <v>39</v>
      </c>
      <c r="U2383" s="24" t="s">
        <v>39</v>
      </c>
      <c r="V2383" s="24" t="s">
        <v>39</v>
      </c>
      <c r="W2383" s="24"/>
      <c r="X2383" s="24"/>
      <c r="Y2383" s="15"/>
      <c r="Z2383" s="15"/>
      <c r="AA2383" s="24"/>
      <c r="AB2383" s="24"/>
      <c r="AC2383" s="24"/>
      <c r="AD2383" s="24"/>
      <c r="AE2383" s="24"/>
      <c r="AF2383" s="24"/>
      <c r="AG2383" s="24"/>
      <c r="AH2383" s="24"/>
    </row>
    <row r="2384" spans="1:34" ht="45" x14ac:dyDescent="0.25">
      <c r="A2384" s="24" t="str">
        <f>HYPERLINK("https://www.cpso.on.ca/DoctorDetails/Verghese-John/0191816-77386","John, Verghese")</f>
        <v>John, Verghese</v>
      </c>
      <c r="B2384" s="25" t="s">
        <v>22052</v>
      </c>
      <c r="C2384" s="24" t="s">
        <v>22053</v>
      </c>
      <c r="D2384" s="24" t="s">
        <v>22054</v>
      </c>
      <c r="E2384" s="24" t="s">
        <v>29</v>
      </c>
      <c r="F2384" s="24" t="s">
        <v>30</v>
      </c>
      <c r="G2384" s="24" t="s">
        <v>3230</v>
      </c>
      <c r="H2384" s="24" t="s">
        <v>22055</v>
      </c>
      <c r="I2384" s="24" t="s">
        <v>22056</v>
      </c>
      <c r="J2384" s="24" t="s">
        <v>22057</v>
      </c>
      <c r="K2384" s="24" t="s">
        <v>1959</v>
      </c>
      <c r="L2384" s="24" t="s">
        <v>52</v>
      </c>
      <c r="M2384" s="15"/>
      <c r="N2384" s="15"/>
      <c r="O2384" s="15"/>
      <c r="P2384" s="15" t="s">
        <v>668</v>
      </c>
      <c r="Q2384" s="15" t="s">
        <v>22058</v>
      </c>
      <c r="R2384" s="15" t="s">
        <v>22059</v>
      </c>
      <c r="S2384" s="24" t="s">
        <v>39</v>
      </c>
      <c r="T2384" s="24" t="s">
        <v>39</v>
      </c>
      <c r="U2384" s="24" t="s">
        <v>39</v>
      </c>
      <c r="V2384" s="24" t="s">
        <v>39</v>
      </c>
      <c r="W2384" s="24" t="s">
        <v>22060</v>
      </c>
      <c r="X2384" s="24" t="s">
        <v>22061</v>
      </c>
      <c r="Y2384" s="15" t="s">
        <v>22062</v>
      </c>
      <c r="Z2384" s="15" t="s">
        <v>22063</v>
      </c>
      <c r="AA2384" s="24"/>
      <c r="AB2384" s="24"/>
      <c r="AC2384" s="24"/>
      <c r="AD2384" s="24"/>
      <c r="AE2384" s="24"/>
      <c r="AF2384" s="24"/>
      <c r="AG2384" s="24"/>
      <c r="AH2384" s="24"/>
    </row>
    <row r="2385" spans="1:34" ht="60" x14ac:dyDescent="0.25">
      <c r="A2385" s="24" t="str">
        <f>HYPERLINK("https://www.cpso.on.ca/DoctorDetails/Verinder-Sharma/0046846-60824","Sharma, Verinder")</f>
        <v>Sharma, Verinder</v>
      </c>
      <c r="B2385" s="25" t="s">
        <v>22064</v>
      </c>
      <c r="C2385" s="24" t="s">
        <v>22065</v>
      </c>
      <c r="D2385" s="24" t="s">
        <v>22066</v>
      </c>
      <c r="E2385" s="24" t="s">
        <v>29</v>
      </c>
      <c r="F2385" s="24" t="s">
        <v>30</v>
      </c>
      <c r="G2385" s="24" t="s">
        <v>691</v>
      </c>
      <c r="H2385" s="24" t="s">
        <v>22067</v>
      </c>
      <c r="I2385" s="24" t="s">
        <v>22068</v>
      </c>
      <c r="J2385" s="24" t="s">
        <v>22069</v>
      </c>
      <c r="K2385" s="24" t="s">
        <v>22070</v>
      </c>
      <c r="L2385" s="24" t="s">
        <v>135</v>
      </c>
      <c r="M2385" s="15" t="s">
        <v>22071</v>
      </c>
      <c r="N2385" s="15"/>
      <c r="O2385" s="15" t="s">
        <v>22072</v>
      </c>
      <c r="P2385" s="15" t="s">
        <v>2250</v>
      </c>
      <c r="Q2385" s="15"/>
      <c r="R2385" s="15" t="s">
        <v>22073</v>
      </c>
      <c r="S2385" s="24" t="s">
        <v>39</v>
      </c>
      <c r="T2385" s="24" t="s">
        <v>39</v>
      </c>
      <c r="U2385" s="24" t="s">
        <v>39</v>
      </c>
      <c r="V2385" s="24" t="s">
        <v>39</v>
      </c>
      <c r="W2385" s="24" t="s">
        <v>22074</v>
      </c>
      <c r="X2385" s="24" t="s">
        <v>22075</v>
      </c>
      <c r="Y2385" s="15" t="s">
        <v>22076</v>
      </c>
      <c r="Z2385" s="15" t="s">
        <v>22077</v>
      </c>
      <c r="AA2385" s="24"/>
      <c r="AB2385" s="24"/>
      <c r="AC2385" s="24"/>
      <c r="AD2385" s="24"/>
      <c r="AE2385" s="24"/>
      <c r="AF2385" s="24"/>
      <c r="AG2385" s="24"/>
      <c r="AH2385" s="24"/>
    </row>
    <row r="2386" spans="1:34" ht="30" x14ac:dyDescent="0.25">
      <c r="A2386" s="24" t="str">
        <f>HYPERLINK("https://www.cpso.on.ca/DoctorDetails/Verkeen-Stefanos-Gorguy/0156192-77164","Gorguy, Verkeen Stefanos")</f>
        <v>Gorguy, Verkeen Stefanos</v>
      </c>
      <c r="B2386" s="25" t="s">
        <v>22078</v>
      </c>
      <c r="C2386" s="24" t="s">
        <v>22079</v>
      </c>
      <c r="D2386" s="24" t="s">
        <v>22080</v>
      </c>
      <c r="E2386" s="24" t="s">
        <v>29</v>
      </c>
      <c r="F2386" s="24" t="s">
        <v>47</v>
      </c>
      <c r="G2386" s="24" t="s">
        <v>105</v>
      </c>
      <c r="H2386" s="24" t="s">
        <v>22081</v>
      </c>
      <c r="I2386" s="24" t="s">
        <v>22082</v>
      </c>
      <c r="J2386" s="24" t="s">
        <v>6399</v>
      </c>
      <c r="K2386" s="24" t="s">
        <v>6400</v>
      </c>
      <c r="L2386" s="24" t="s">
        <v>52</v>
      </c>
      <c r="M2386" s="15" t="s">
        <v>22083</v>
      </c>
      <c r="N2386" s="15"/>
      <c r="O2386" s="15" t="s">
        <v>958</v>
      </c>
      <c r="P2386" s="15" t="s">
        <v>562</v>
      </c>
      <c r="Q2386" s="15"/>
      <c r="R2386" s="15" t="s">
        <v>22084</v>
      </c>
      <c r="S2386" s="24" t="s">
        <v>39</v>
      </c>
      <c r="T2386" s="24" t="s">
        <v>39</v>
      </c>
      <c r="U2386" s="24" t="s">
        <v>39</v>
      </c>
      <c r="V2386" s="24" t="s">
        <v>39</v>
      </c>
      <c r="W2386" s="24" t="s">
        <v>22085</v>
      </c>
      <c r="X2386" s="24" t="s">
        <v>8147</v>
      </c>
      <c r="Y2386" s="15" t="s">
        <v>22086</v>
      </c>
      <c r="Z2386" s="15" t="s">
        <v>22087</v>
      </c>
      <c r="AA2386" s="24"/>
      <c r="AB2386" s="24"/>
      <c r="AC2386" s="24"/>
      <c r="AD2386" s="24"/>
      <c r="AE2386" s="24"/>
      <c r="AF2386" s="24"/>
      <c r="AG2386" s="24"/>
      <c r="AH2386" s="24"/>
    </row>
    <row r="2387" spans="1:34" ht="75" x14ac:dyDescent="0.25">
      <c r="A2387" s="24" t="str">
        <f>HYPERLINK("https://www.cpso.on.ca/DoctorDetails/Veronica-Joan-McCarthy/0168901-74938","McCarthy, Veronica Joan")</f>
        <v>McCarthy, Veronica Joan</v>
      </c>
      <c r="B2387" s="25" t="s">
        <v>22088</v>
      </c>
      <c r="C2387" s="24" t="s">
        <v>22089</v>
      </c>
      <c r="D2387" s="24" t="s">
        <v>22090</v>
      </c>
      <c r="E2387" s="24" t="s">
        <v>29</v>
      </c>
      <c r="F2387" s="24" t="s">
        <v>47</v>
      </c>
      <c r="G2387" s="24" t="s">
        <v>31</v>
      </c>
      <c r="H2387" s="24" t="s">
        <v>20987</v>
      </c>
      <c r="I2387" s="24" t="s">
        <v>22091</v>
      </c>
      <c r="J2387" s="24" t="s">
        <v>10781</v>
      </c>
      <c r="K2387" s="24"/>
      <c r="L2387" s="24" t="s">
        <v>84</v>
      </c>
      <c r="M2387" s="15"/>
      <c r="N2387" s="15"/>
      <c r="O2387" s="15" t="s">
        <v>3979</v>
      </c>
      <c r="P2387" s="15" t="s">
        <v>1239</v>
      </c>
      <c r="Q2387" s="15" t="s">
        <v>3339</v>
      </c>
      <c r="R2387" s="15" t="s">
        <v>22092</v>
      </c>
      <c r="S2387" s="24" t="s">
        <v>39</v>
      </c>
      <c r="T2387" s="24" t="s">
        <v>39</v>
      </c>
      <c r="U2387" s="24" t="s">
        <v>39</v>
      </c>
      <c r="V2387" s="24" t="s">
        <v>39</v>
      </c>
      <c r="W2387" s="24" t="s">
        <v>22093</v>
      </c>
      <c r="X2387" s="24" t="s">
        <v>1318</v>
      </c>
      <c r="Y2387" s="15" t="s">
        <v>22094</v>
      </c>
      <c r="Z2387" s="15" t="s">
        <v>22095</v>
      </c>
      <c r="AA2387" s="24"/>
      <c r="AB2387" s="24"/>
      <c r="AC2387" s="24"/>
      <c r="AD2387" s="24"/>
      <c r="AE2387" s="24"/>
      <c r="AF2387" s="24"/>
      <c r="AG2387" s="24"/>
      <c r="AH2387" s="24"/>
    </row>
    <row r="2388" spans="1:34" x14ac:dyDescent="0.25">
      <c r="A2388" s="24" t="str">
        <f>HYPERLINK("https://www.cpso.on.ca/DoctorDetails/Veronica-Maria-Lantos/0024836-29658","Lantos, Veronica Maria")</f>
        <v>Lantos, Veronica Maria</v>
      </c>
      <c r="B2388" s="25" t="s">
        <v>22096</v>
      </c>
      <c r="C2388" s="24" t="s">
        <v>22097</v>
      </c>
      <c r="D2388" s="24" t="s">
        <v>22098</v>
      </c>
      <c r="E2388" s="24" t="s">
        <v>29</v>
      </c>
      <c r="F2388" s="24" t="s">
        <v>47</v>
      </c>
      <c r="G2388" s="24" t="s">
        <v>12746</v>
      </c>
      <c r="H2388" s="24" t="s">
        <v>22099</v>
      </c>
      <c r="I2388" s="24" t="s">
        <v>22100</v>
      </c>
      <c r="J2388" s="24" t="s">
        <v>22101</v>
      </c>
      <c r="K2388" s="24"/>
      <c r="L2388" s="24" t="s">
        <v>84</v>
      </c>
      <c r="M2388" s="15"/>
      <c r="N2388" s="15"/>
      <c r="O2388" s="15"/>
      <c r="P2388" s="15" t="s">
        <v>8792</v>
      </c>
      <c r="Q2388" s="15"/>
      <c r="R2388" s="15" t="s">
        <v>22102</v>
      </c>
      <c r="S2388" s="24" t="s">
        <v>39</v>
      </c>
      <c r="T2388" s="24" t="s">
        <v>39</v>
      </c>
      <c r="U2388" s="24" t="s">
        <v>39</v>
      </c>
      <c r="V2388" s="24" t="s">
        <v>39</v>
      </c>
      <c r="W2388" s="24"/>
      <c r="X2388" s="24"/>
      <c r="Y2388" s="15"/>
      <c r="Z2388" s="15"/>
      <c r="AA2388" s="24"/>
      <c r="AB2388" s="24"/>
      <c r="AC2388" s="24"/>
      <c r="AD2388" s="24"/>
      <c r="AE2388" s="24"/>
      <c r="AF2388" s="24"/>
      <c r="AG2388" s="24"/>
      <c r="AH2388" s="24"/>
    </row>
    <row r="2389" spans="1:34" ht="30" x14ac:dyDescent="0.25">
      <c r="A2389" s="24" t="str">
        <f>HYPERLINK("https://www.cpso.on.ca/DoctorDetails/Victor-Likwornik/0021806-26595","Likwornik, Victor")</f>
        <v>Likwornik, Victor</v>
      </c>
      <c r="B2389" s="25" t="s">
        <v>22103</v>
      </c>
      <c r="C2389" s="24" t="s">
        <v>18522</v>
      </c>
      <c r="D2389" s="24" t="s">
        <v>18523</v>
      </c>
      <c r="E2389" s="24" t="s">
        <v>29</v>
      </c>
      <c r="F2389" s="24" t="s">
        <v>30</v>
      </c>
      <c r="G2389" s="24" t="s">
        <v>31</v>
      </c>
      <c r="H2389" s="24" t="s">
        <v>455</v>
      </c>
      <c r="I2389" s="24" t="s">
        <v>22104</v>
      </c>
      <c r="J2389" s="24" t="s">
        <v>22105</v>
      </c>
      <c r="K2389" s="24" t="s">
        <v>22106</v>
      </c>
      <c r="L2389" s="24" t="s">
        <v>52</v>
      </c>
      <c r="M2389" s="15" t="s">
        <v>22107</v>
      </c>
      <c r="N2389" s="15" t="s">
        <v>1370</v>
      </c>
      <c r="O2389" s="15" t="s">
        <v>16274</v>
      </c>
      <c r="P2389" s="15" t="s">
        <v>17022</v>
      </c>
      <c r="Q2389" s="15"/>
      <c r="R2389" s="15" t="s">
        <v>22108</v>
      </c>
      <c r="S2389" s="24" t="s">
        <v>39</v>
      </c>
      <c r="T2389" s="24" t="s">
        <v>39</v>
      </c>
      <c r="U2389" s="24" t="s">
        <v>39</v>
      </c>
      <c r="V2389" s="24" t="s">
        <v>39</v>
      </c>
      <c r="W2389" s="24"/>
      <c r="X2389" s="24"/>
      <c r="Y2389" s="15"/>
      <c r="Z2389" s="15"/>
      <c r="AA2389" s="24"/>
      <c r="AB2389" s="24"/>
      <c r="AC2389" s="24"/>
      <c r="AD2389" s="24"/>
      <c r="AE2389" s="24"/>
      <c r="AF2389" s="24"/>
      <c r="AG2389" s="24"/>
      <c r="AH2389" s="24"/>
    </row>
    <row r="2390" spans="1:34" ht="45" x14ac:dyDescent="0.25">
      <c r="A2390" s="24" t="str">
        <f>HYPERLINK("https://www.cpso.on.ca/DoctorDetails/Victor-Mario-Feder/0050325-64304","Feder, Victor Mario")</f>
        <v>Feder, Victor Mario</v>
      </c>
      <c r="B2390" s="25" t="s">
        <v>22109</v>
      </c>
      <c r="C2390" s="24" t="s">
        <v>22110</v>
      </c>
      <c r="D2390" s="24" t="s">
        <v>22111</v>
      </c>
      <c r="E2390" s="24" t="s">
        <v>29</v>
      </c>
      <c r="F2390" s="24" t="s">
        <v>30</v>
      </c>
      <c r="G2390" s="24" t="s">
        <v>115</v>
      </c>
      <c r="H2390" s="24" t="s">
        <v>16090</v>
      </c>
      <c r="I2390" s="24" t="s">
        <v>22112</v>
      </c>
      <c r="J2390" s="24" t="s">
        <v>22113</v>
      </c>
      <c r="K2390" s="24" t="s">
        <v>22114</v>
      </c>
      <c r="L2390" s="24" t="s">
        <v>52</v>
      </c>
      <c r="M2390" s="15" t="s">
        <v>22115</v>
      </c>
      <c r="N2390" s="15"/>
      <c r="O2390" s="15" t="s">
        <v>232</v>
      </c>
      <c r="P2390" s="15" t="s">
        <v>169</v>
      </c>
      <c r="Q2390" s="15"/>
      <c r="R2390" s="15" t="s">
        <v>22116</v>
      </c>
      <c r="S2390" s="24" t="s">
        <v>39</v>
      </c>
      <c r="T2390" s="24" t="s">
        <v>39</v>
      </c>
      <c r="U2390" s="24" t="s">
        <v>39</v>
      </c>
      <c r="V2390" s="24" t="s">
        <v>39</v>
      </c>
      <c r="W2390" s="24" t="s">
        <v>22117</v>
      </c>
      <c r="X2390" s="24" t="s">
        <v>18637</v>
      </c>
      <c r="Y2390" s="15" t="s">
        <v>22118</v>
      </c>
      <c r="Z2390" s="15" t="s">
        <v>22119</v>
      </c>
      <c r="AA2390" s="24"/>
      <c r="AB2390" s="24"/>
      <c r="AC2390" s="24"/>
      <c r="AD2390" s="24"/>
      <c r="AE2390" s="24"/>
      <c r="AF2390" s="24"/>
      <c r="AG2390" s="24"/>
      <c r="AH2390" s="24"/>
    </row>
    <row r="2391" spans="1:34" ht="75" x14ac:dyDescent="0.25">
      <c r="A2391" s="24" t="str">
        <f>HYPERLINK("https://www.cpso.on.ca/DoctorDetails/Victor-Osamuyimen-Uwaifo/0282008-99513","Uwaifo, Victor Osamuyimen")</f>
        <v>Uwaifo, Victor Osamuyimen</v>
      </c>
      <c r="B2391" s="25" t="s">
        <v>22120</v>
      </c>
      <c r="C2391" s="24" t="s">
        <v>22121</v>
      </c>
      <c r="D2391" s="24" t="s">
        <v>22122</v>
      </c>
      <c r="E2391" s="24" t="s">
        <v>29</v>
      </c>
      <c r="F2391" s="24" t="s">
        <v>30</v>
      </c>
      <c r="G2391" s="24" t="s">
        <v>31</v>
      </c>
      <c r="H2391" s="24" t="s">
        <v>394</v>
      </c>
      <c r="I2391" s="24" t="s">
        <v>22123</v>
      </c>
      <c r="J2391" s="24" t="s">
        <v>6922</v>
      </c>
      <c r="K2391" s="24"/>
      <c r="L2391" s="24" t="s">
        <v>184</v>
      </c>
      <c r="M2391" s="15" t="s">
        <v>22124</v>
      </c>
      <c r="N2391" s="15" t="s">
        <v>22125</v>
      </c>
      <c r="O2391" s="15"/>
      <c r="P2391" s="15" t="s">
        <v>682</v>
      </c>
      <c r="Q2391" s="15"/>
      <c r="R2391" s="15" t="s">
        <v>22126</v>
      </c>
      <c r="S2391" s="24" t="s">
        <v>39</v>
      </c>
      <c r="T2391" s="24" t="s">
        <v>39</v>
      </c>
      <c r="U2391" s="24" t="s">
        <v>39</v>
      </c>
      <c r="V2391" s="24" t="s">
        <v>39</v>
      </c>
      <c r="W2391" s="24" t="s">
        <v>22127</v>
      </c>
      <c r="X2391" s="24" t="s">
        <v>8684</v>
      </c>
      <c r="Y2391" s="15" t="s">
        <v>22128</v>
      </c>
      <c r="Z2391" s="15" t="s">
        <v>22129</v>
      </c>
      <c r="AA2391" s="24"/>
      <c r="AB2391" s="24"/>
      <c r="AC2391" s="24"/>
      <c r="AD2391" s="24"/>
      <c r="AE2391" s="24"/>
      <c r="AF2391" s="24"/>
      <c r="AG2391" s="24"/>
      <c r="AH2391" s="24"/>
    </row>
    <row r="2392" spans="1:34" ht="30" x14ac:dyDescent="0.25">
      <c r="A2392" s="24" t="str">
        <f>HYPERLINK("https://www.cpso.on.ca/DoctorDetails/Victoria-Jennifer-Jones/0025236-30059","Jones, Victoria Jennifer")</f>
        <v>Jones, Victoria Jennifer</v>
      </c>
      <c r="B2392" s="25" t="s">
        <v>22130</v>
      </c>
      <c r="C2392" s="24" t="s">
        <v>22131</v>
      </c>
      <c r="D2392" s="24" t="s">
        <v>22132</v>
      </c>
      <c r="E2392" s="24" t="s">
        <v>29</v>
      </c>
      <c r="F2392" s="24" t="s">
        <v>47</v>
      </c>
      <c r="G2392" s="24" t="s">
        <v>31</v>
      </c>
      <c r="H2392" s="24" t="s">
        <v>13984</v>
      </c>
      <c r="I2392" s="24" t="s">
        <v>22133</v>
      </c>
      <c r="J2392" s="24" t="s">
        <v>22134</v>
      </c>
      <c r="K2392" s="24" t="s">
        <v>7142</v>
      </c>
      <c r="L2392" s="24" t="s">
        <v>52</v>
      </c>
      <c r="M2392" s="15"/>
      <c r="N2392" s="15"/>
      <c r="O2392" s="15" t="s">
        <v>232</v>
      </c>
      <c r="P2392" s="15" t="s">
        <v>4853</v>
      </c>
      <c r="Q2392" s="15"/>
      <c r="R2392" s="15" t="s">
        <v>22135</v>
      </c>
      <c r="S2392" s="24" t="s">
        <v>39</v>
      </c>
      <c r="T2392" s="24" t="s">
        <v>39</v>
      </c>
      <c r="U2392" s="24" t="s">
        <v>39</v>
      </c>
      <c r="V2392" s="24" t="s">
        <v>39</v>
      </c>
      <c r="W2392" s="24" t="s">
        <v>22136</v>
      </c>
      <c r="X2392" s="24" t="s">
        <v>22137</v>
      </c>
      <c r="Y2392" s="15" t="s">
        <v>22138</v>
      </c>
      <c r="Z2392" s="15" t="s">
        <v>22139</v>
      </c>
      <c r="AA2392" s="24"/>
      <c r="AB2392" s="24"/>
      <c r="AC2392" s="24"/>
      <c r="AD2392" s="24"/>
      <c r="AE2392" s="24"/>
      <c r="AF2392" s="24"/>
      <c r="AG2392" s="24"/>
      <c r="AH2392" s="24"/>
    </row>
    <row r="2393" spans="1:34" ht="30" x14ac:dyDescent="0.25">
      <c r="A2393" s="24" t="str">
        <f>HYPERLINK("https://www.cpso.on.ca/DoctorDetails/Victoria-Lee/0037451-51427","Lee, Victoria")</f>
        <v>Lee, Victoria</v>
      </c>
      <c r="B2393" s="25" t="s">
        <v>22140</v>
      </c>
      <c r="C2393" s="24" t="s">
        <v>3676</v>
      </c>
      <c r="D2393" s="24" t="s">
        <v>22141</v>
      </c>
      <c r="E2393" s="24" t="s">
        <v>29</v>
      </c>
      <c r="F2393" s="24" t="s">
        <v>47</v>
      </c>
      <c r="G2393" s="24" t="s">
        <v>31</v>
      </c>
      <c r="H2393" s="24" t="s">
        <v>1874</v>
      </c>
      <c r="I2393" s="24" t="s">
        <v>22142</v>
      </c>
      <c r="J2393" s="24" t="s">
        <v>22143</v>
      </c>
      <c r="K2393" s="24" t="s">
        <v>1190</v>
      </c>
      <c r="L2393" s="24" t="s">
        <v>52</v>
      </c>
      <c r="M2393" s="15" t="s">
        <v>22144</v>
      </c>
      <c r="N2393" s="15"/>
      <c r="O2393" s="15" t="s">
        <v>1191</v>
      </c>
      <c r="P2393" s="15" t="s">
        <v>3194</v>
      </c>
      <c r="Q2393" s="15"/>
      <c r="R2393" s="15" t="s">
        <v>22145</v>
      </c>
      <c r="S2393" s="24" t="s">
        <v>39</v>
      </c>
      <c r="T2393" s="24" t="s">
        <v>39</v>
      </c>
      <c r="U2393" s="24" t="s">
        <v>39</v>
      </c>
      <c r="V2393" s="24" t="s">
        <v>39</v>
      </c>
      <c r="W2393" s="24" t="s">
        <v>22146</v>
      </c>
      <c r="X2393" s="24" t="s">
        <v>22147</v>
      </c>
      <c r="Y2393" s="15" t="s">
        <v>22148</v>
      </c>
      <c r="Z2393" s="15" t="s">
        <v>22149</v>
      </c>
      <c r="AA2393" s="24"/>
      <c r="AB2393" s="24"/>
      <c r="AC2393" s="24"/>
      <c r="AD2393" s="24"/>
      <c r="AE2393" s="24"/>
      <c r="AF2393" s="24"/>
      <c r="AG2393" s="24"/>
      <c r="AH2393" s="24"/>
    </row>
    <row r="2394" spans="1:34" ht="75" x14ac:dyDescent="0.25">
      <c r="A2394" s="24" t="str">
        <f>HYPERLINK("https://www.cpso.on.ca/DoctorDetails/Victoria-Stergiopoulos/0143349-71231","Stergiopoulos, Victoria")</f>
        <v>Stergiopoulos, Victoria</v>
      </c>
      <c r="B2394" s="25" t="s">
        <v>22150</v>
      </c>
      <c r="C2394" s="24" t="s">
        <v>22151</v>
      </c>
      <c r="D2394" s="24" t="s">
        <v>22152</v>
      </c>
      <c r="E2394" s="24" t="s">
        <v>29</v>
      </c>
      <c r="F2394" s="24" t="s">
        <v>47</v>
      </c>
      <c r="G2394" s="24" t="s">
        <v>536</v>
      </c>
      <c r="H2394" s="24" t="s">
        <v>3689</v>
      </c>
      <c r="I2394" s="24" t="s">
        <v>12906</v>
      </c>
      <c r="J2394" s="24" t="s">
        <v>22153</v>
      </c>
      <c r="K2394" s="24" t="s">
        <v>22154</v>
      </c>
      <c r="L2394" s="24" t="s">
        <v>52</v>
      </c>
      <c r="M2394" s="15" t="s">
        <v>22155</v>
      </c>
      <c r="N2394" s="15"/>
      <c r="O2394" s="15" t="s">
        <v>981</v>
      </c>
      <c r="P2394" s="15" t="s">
        <v>1398</v>
      </c>
      <c r="Q2394" s="15" t="s">
        <v>3693</v>
      </c>
      <c r="R2394" s="15" t="s">
        <v>22156</v>
      </c>
      <c r="S2394" s="24" t="s">
        <v>39</v>
      </c>
      <c r="T2394" s="24" t="s">
        <v>39</v>
      </c>
      <c r="U2394" s="24" t="s">
        <v>39</v>
      </c>
      <c r="V2394" s="24" t="s">
        <v>39</v>
      </c>
      <c r="W2394" s="24" t="s">
        <v>22157</v>
      </c>
      <c r="X2394" s="24" t="s">
        <v>5686</v>
      </c>
      <c r="Y2394" s="15" t="s">
        <v>22158</v>
      </c>
      <c r="Z2394" s="15" t="s">
        <v>22159</v>
      </c>
      <c r="AA2394" s="24"/>
      <c r="AB2394" s="24"/>
      <c r="AC2394" s="24"/>
      <c r="AD2394" s="24"/>
      <c r="AE2394" s="24"/>
      <c r="AF2394" s="24"/>
      <c r="AG2394" s="24"/>
      <c r="AH2394" s="24"/>
    </row>
    <row r="2395" spans="1:34" ht="60" x14ac:dyDescent="0.25">
      <c r="A2395" s="24" t="str">
        <f>HYPERLINK("https://www.cpso.on.ca/DoctorDetails/Vidya-Jagdish-Butany/0030459-42439","Butany, Vidya Jagdish")</f>
        <v>Butany, Vidya Jagdish</v>
      </c>
      <c r="B2395" s="25" t="s">
        <v>22160</v>
      </c>
      <c r="C2395" s="24" t="s">
        <v>14874</v>
      </c>
      <c r="D2395" s="24" t="s">
        <v>15039</v>
      </c>
      <c r="E2395" s="24" t="s">
        <v>29</v>
      </c>
      <c r="F2395" s="24" t="s">
        <v>47</v>
      </c>
      <c r="G2395" s="24" t="s">
        <v>691</v>
      </c>
      <c r="H2395" s="24" t="s">
        <v>22161</v>
      </c>
      <c r="I2395" s="24" t="s">
        <v>22162</v>
      </c>
      <c r="J2395" s="24" t="s">
        <v>22163</v>
      </c>
      <c r="K2395" s="24" t="s">
        <v>22164</v>
      </c>
      <c r="L2395" s="24" t="s">
        <v>52</v>
      </c>
      <c r="M2395" s="15"/>
      <c r="N2395" s="15"/>
      <c r="O2395" s="15"/>
      <c r="P2395" s="15" t="s">
        <v>233</v>
      </c>
      <c r="Q2395" s="15"/>
      <c r="R2395" s="15" t="s">
        <v>22165</v>
      </c>
      <c r="S2395" s="24" t="s">
        <v>39</v>
      </c>
      <c r="T2395" s="24" t="s">
        <v>39</v>
      </c>
      <c r="U2395" s="24" t="s">
        <v>39</v>
      </c>
      <c r="V2395" s="24" t="s">
        <v>39</v>
      </c>
      <c r="W2395" s="24"/>
      <c r="X2395" s="24"/>
      <c r="Y2395" s="15"/>
      <c r="Z2395" s="15"/>
      <c r="AA2395" s="24"/>
      <c r="AB2395" s="24"/>
      <c r="AC2395" s="24"/>
      <c r="AD2395" s="24"/>
      <c r="AE2395" s="24"/>
      <c r="AF2395" s="24"/>
      <c r="AG2395" s="24"/>
      <c r="AH2395" s="24"/>
    </row>
    <row r="2396" spans="1:34" ht="45" x14ac:dyDescent="0.25">
      <c r="A2396" s="24" t="str">
        <f>HYPERLINK("https://www.cpso.on.ca/DoctorDetails/Vijayalaxmi-Prabhu/0034031-46011","Prabhu, Vijayalaxmi")</f>
        <v>Prabhu, Vijayalaxmi</v>
      </c>
      <c r="B2396" s="25" t="s">
        <v>22166</v>
      </c>
      <c r="C2396" s="24" t="s">
        <v>22167</v>
      </c>
      <c r="D2396" s="24" t="s">
        <v>22168</v>
      </c>
      <c r="E2396" s="24" t="s">
        <v>29</v>
      </c>
      <c r="F2396" s="24" t="s">
        <v>47</v>
      </c>
      <c r="G2396" s="24" t="s">
        <v>31</v>
      </c>
      <c r="H2396" s="24" t="s">
        <v>22169</v>
      </c>
      <c r="I2396" s="24" t="s">
        <v>22170</v>
      </c>
      <c r="J2396" s="24" t="s">
        <v>16132</v>
      </c>
      <c r="K2396" s="24" t="s">
        <v>7051</v>
      </c>
      <c r="L2396" s="24" t="s">
        <v>340</v>
      </c>
      <c r="M2396" s="15"/>
      <c r="N2396" s="15"/>
      <c r="O2396" s="15"/>
      <c r="P2396" s="15" t="s">
        <v>1227</v>
      </c>
      <c r="Q2396" s="15" t="s">
        <v>22171</v>
      </c>
      <c r="R2396" s="15" t="s">
        <v>22172</v>
      </c>
      <c r="S2396" s="24" t="s">
        <v>39</v>
      </c>
      <c r="T2396" s="24" t="s">
        <v>39</v>
      </c>
      <c r="U2396" s="24" t="s">
        <v>39</v>
      </c>
      <c r="V2396" s="24" t="s">
        <v>39</v>
      </c>
      <c r="W2396" s="24" t="s">
        <v>22173</v>
      </c>
      <c r="X2396" s="24" t="s">
        <v>22174</v>
      </c>
      <c r="Y2396" s="15" t="s">
        <v>22175</v>
      </c>
      <c r="Z2396" s="15" t="s">
        <v>22176</v>
      </c>
      <c r="AA2396" s="24"/>
      <c r="AB2396" s="24"/>
      <c r="AC2396" s="24"/>
      <c r="AD2396" s="24"/>
      <c r="AE2396" s="24"/>
      <c r="AF2396" s="24"/>
      <c r="AG2396" s="24"/>
      <c r="AH2396" s="24"/>
    </row>
    <row r="2397" spans="1:34" ht="75" x14ac:dyDescent="0.25">
      <c r="A2397" s="24" t="str">
        <f>HYPERLINK("https://www.cpso.on.ca/DoctorDetails/Vikas-Duggal/0181350-76271","Duggal, Vikas")</f>
        <v>Duggal, Vikas</v>
      </c>
      <c r="B2397" s="25" t="s">
        <v>22177</v>
      </c>
      <c r="C2397" s="24" t="s">
        <v>1130</v>
      </c>
      <c r="D2397" s="24" t="s">
        <v>4401</v>
      </c>
      <c r="E2397" s="24" t="s">
        <v>29</v>
      </c>
      <c r="F2397" s="24" t="s">
        <v>30</v>
      </c>
      <c r="G2397" s="24" t="s">
        <v>31</v>
      </c>
      <c r="H2397" s="24" t="s">
        <v>12386</v>
      </c>
      <c r="I2397" s="24" t="s">
        <v>22178</v>
      </c>
      <c r="J2397" s="24" t="s">
        <v>2716</v>
      </c>
      <c r="K2397" s="24"/>
      <c r="L2397" s="24" t="s">
        <v>135</v>
      </c>
      <c r="M2397" s="15"/>
      <c r="N2397" s="15"/>
      <c r="O2397" s="15" t="s">
        <v>4812</v>
      </c>
      <c r="P2397" s="15" t="s">
        <v>1149</v>
      </c>
      <c r="Q2397" s="15" t="s">
        <v>3063</v>
      </c>
      <c r="R2397" s="15" t="s">
        <v>4407</v>
      </c>
      <c r="S2397" s="24" t="s">
        <v>39</v>
      </c>
      <c r="T2397" s="24" t="s">
        <v>39</v>
      </c>
      <c r="U2397" s="24" t="s">
        <v>39</v>
      </c>
      <c r="V2397" s="24" t="s">
        <v>39</v>
      </c>
      <c r="W2397" s="24" t="s">
        <v>22179</v>
      </c>
      <c r="X2397" s="24" t="s">
        <v>22180</v>
      </c>
      <c r="Y2397" s="15" t="s">
        <v>22181</v>
      </c>
      <c r="Z2397" s="15" t="s">
        <v>22182</v>
      </c>
      <c r="AA2397" s="24"/>
      <c r="AB2397" s="24"/>
      <c r="AC2397" s="24"/>
      <c r="AD2397" s="24"/>
      <c r="AE2397" s="24"/>
      <c r="AF2397" s="24"/>
      <c r="AG2397" s="24"/>
      <c r="AH2397" s="24"/>
    </row>
    <row r="2398" spans="1:34" ht="75" x14ac:dyDescent="0.25">
      <c r="A2398" s="24" t="str">
        <f>HYPERLINK("https://www.cpso.on.ca/DoctorDetails/Vikram-Dua/0048427-62405","Dua, Vikram")</f>
        <v>Dua, Vikram</v>
      </c>
      <c r="B2398" s="25" t="s">
        <v>22183</v>
      </c>
      <c r="C2398" s="24" t="s">
        <v>22184</v>
      </c>
      <c r="D2398" s="24" t="s">
        <v>22185</v>
      </c>
      <c r="E2398" s="24" t="s">
        <v>29</v>
      </c>
      <c r="F2398" s="24" t="s">
        <v>30</v>
      </c>
      <c r="G2398" s="24" t="s">
        <v>691</v>
      </c>
      <c r="H2398" s="24" t="s">
        <v>1956</v>
      </c>
      <c r="I2398" s="24" t="s">
        <v>22186</v>
      </c>
      <c r="J2398" s="24" t="s">
        <v>22187</v>
      </c>
      <c r="K2398" s="24"/>
      <c r="L2398" s="24" t="s">
        <v>52</v>
      </c>
      <c r="M2398" s="15"/>
      <c r="N2398" s="15" t="s">
        <v>1370</v>
      </c>
      <c r="O2398" s="15"/>
      <c r="P2398" s="15" t="s">
        <v>3220</v>
      </c>
      <c r="Q2398" s="15"/>
      <c r="R2398" s="15" t="s">
        <v>22188</v>
      </c>
      <c r="S2398" s="24" t="s">
        <v>39</v>
      </c>
      <c r="T2398" s="24" t="s">
        <v>39</v>
      </c>
      <c r="U2398" s="24" t="s">
        <v>39</v>
      </c>
      <c r="V2398" s="24" t="s">
        <v>39</v>
      </c>
      <c r="W2398" s="24" t="s">
        <v>22189</v>
      </c>
      <c r="X2398" s="24" t="s">
        <v>22190</v>
      </c>
      <c r="Y2398" s="15" t="s">
        <v>22191</v>
      </c>
      <c r="Z2398" s="15" t="s">
        <v>22192</v>
      </c>
      <c r="AA2398" s="24"/>
      <c r="AB2398" s="24"/>
      <c r="AC2398" s="24"/>
      <c r="AD2398" s="24"/>
      <c r="AE2398" s="24"/>
      <c r="AF2398" s="24"/>
      <c r="AG2398" s="24"/>
      <c r="AH2398" s="24"/>
    </row>
    <row r="2399" spans="1:34" ht="135" x14ac:dyDescent="0.25">
      <c r="A2399" s="24" t="str">
        <f>HYPERLINK("https://www.cpso.on.ca/DoctorDetails/Viktor-Yatsynovich/0259579-92412","Yatsynovich, Viktor")</f>
        <v>Yatsynovich, Viktor</v>
      </c>
      <c r="B2399" s="25" t="s">
        <v>22193</v>
      </c>
      <c r="C2399" s="24" t="s">
        <v>22194</v>
      </c>
      <c r="D2399" s="24" t="s">
        <v>22195</v>
      </c>
      <c r="E2399" s="24" t="s">
        <v>29</v>
      </c>
      <c r="F2399" s="24" t="s">
        <v>30</v>
      </c>
      <c r="G2399" s="24" t="s">
        <v>873</v>
      </c>
      <c r="H2399" s="24" t="s">
        <v>22196</v>
      </c>
      <c r="I2399" s="24" t="s">
        <v>22197</v>
      </c>
      <c r="J2399" s="24" t="s">
        <v>22198</v>
      </c>
      <c r="K2399" s="24" t="s">
        <v>2467</v>
      </c>
      <c r="L2399" s="24" t="s">
        <v>36</v>
      </c>
      <c r="M2399" s="15" t="s">
        <v>22199</v>
      </c>
      <c r="N2399" s="15" t="s">
        <v>1571</v>
      </c>
      <c r="O2399" s="15" t="s">
        <v>2469</v>
      </c>
      <c r="P2399" s="15" t="s">
        <v>22200</v>
      </c>
      <c r="Q2399" s="15"/>
      <c r="R2399" s="15" t="s">
        <v>22201</v>
      </c>
      <c r="S2399" s="24" t="s">
        <v>71</v>
      </c>
      <c r="T2399" s="24" t="s">
        <v>39</v>
      </c>
      <c r="U2399" s="24" t="s">
        <v>39</v>
      </c>
      <c r="V2399" s="24" t="s">
        <v>39</v>
      </c>
      <c r="W2399" s="24" t="s">
        <v>22202</v>
      </c>
      <c r="X2399" s="24" t="s">
        <v>22203</v>
      </c>
      <c r="Y2399" s="15" t="s">
        <v>22204</v>
      </c>
      <c r="Z2399" s="15" t="s">
        <v>22205</v>
      </c>
      <c r="AA2399" s="24"/>
      <c r="AB2399" s="24"/>
      <c r="AC2399" s="24"/>
      <c r="AD2399" s="24"/>
      <c r="AE2399" s="24"/>
      <c r="AF2399" s="24"/>
      <c r="AG2399" s="24"/>
      <c r="AH2399" s="24"/>
    </row>
    <row r="2400" spans="1:34" ht="75" x14ac:dyDescent="0.25">
      <c r="A2400" s="24" t="str">
        <f>HYPERLINK("https://www.cpso.on.ca/DoctorDetails/Vimala-Josephine-Chinnasamy/0048997-62975","Chinnasamy, Vimala Josephine")</f>
        <v>Chinnasamy, Vimala Josephine</v>
      </c>
      <c r="B2400" s="25" t="s">
        <v>22206</v>
      </c>
      <c r="C2400" s="24" t="s">
        <v>22207</v>
      </c>
      <c r="D2400" s="24" t="s">
        <v>22208</v>
      </c>
      <c r="E2400" s="24" t="s">
        <v>29</v>
      </c>
      <c r="F2400" s="24" t="s">
        <v>47</v>
      </c>
      <c r="G2400" s="24" t="s">
        <v>2255</v>
      </c>
      <c r="H2400" s="24" t="s">
        <v>22209</v>
      </c>
      <c r="I2400" s="24" t="s">
        <v>22210</v>
      </c>
      <c r="J2400" s="24" t="s">
        <v>22211</v>
      </c>
      <c r="K2400" s="24" t="s">
        <v>22212</v>
      </c>
      <c r="L2400" s="24" t="s">
        <v>184</v>
      </c>
      <c r="M2400" s="15"/>
      <c r="N2400" s="15"/>
      <c r="O2400" s="15" t="s">
        <v>3818</v>
      </c>
      <c r="P2400" s="15" t="s">
        <v>2293</v>
      </c>
      <c r="Q2400" s="15"/>
      <c r="R2400" s="15" t="s">
        <v>22213</v>
      </c>
      <c r="S2400" s="24" t="s">
        <v>39</v>
      </c>
      <c r="T2400" s="24" t="s">
        <v>39</v>
      </c>
      <c r="U2400" s="24" t="s">
        <v>39</v>
      </c>
      <c r="V2400" s="24" t="s">
        <v>39</v>
      </c>
      <c r="W2400" s="24" t="s">
        <v>22214</v>
      </c>
      <c r="X2400" s="24" t="s">
        <v>22215</v>
      </c>
      <c r="Y2400" s="15" t="s">
        <v>22216</v>
      </c>
      <c r="Z2400" s="15" t="s">
        <v>22217</v>
      </c>
      <c r="AA2400" s="24"/>
      <c r="AB2400" s="24"/>
      <c r="AC2400" s="24"/>
      <c r="AD2400" s="24"/>
      <c r="AE2400" s="24"/>
      <c r="AF2400" s="24"/>
      <c r="AG2400" s="24"/>
      <c r="AH2400" s="24"/>
    </row>
    <row r="2401" spans="1:34" ht="105" x14ac:dyDescent="0.25">
      <c r="A2401" s="24" t="str">
        <f>HYPERLINK("https://www.cpso.on.ca/DoctorDetails/Vinay-Lodha/0183507-76513","Lodha, Vinay")</f>
        <v>Lodha, Vinay</v>
      </c>
      <c r="B2401" s="25" t="s">
        <v>22218</v>
      </c>
      <c r="C2401" s="24" t="s">
        <v>1130</v>
      </c>
      <c r="D2401" s="24" t="s">
        <v>4401</v>
      </c>
      <c r="E2401" s="24" t="s">
        <v>29</v>
      </c>
      <c r="F2401" s="24" t="s">
        <v>30</v>
      </c>
      <c r="G2401" s="24" t="s">
        <v>31</v>
      </c>
      <c r="H2401" s="24" t="s">
        <v>4455</v>
      </c>
      <c r="I2401" s="24" t="s">
        <v>22219</v>
      </c>
      <c r="J2401" s="24" t="s">
        <v>1612</v>
      </c>
      <c r="K2401" s="24" t="s">
        <v>1613</v>
      </c>
      <c r="L2401" s="24" t="s">
        <v>84</v>
      </c>
      <c r="M2401" s="15"/>
      <c r="N2401" s="15"/>
      <c r="O2401" s="15" t="s">
        <v>3045</v>
      </c>
      <c r="P2401" s="15" t="s">
        <v>22220</v>
      </c>
      <c r="Q2401" s="15" t="s">
        <v>22221</v>
      </c>
      <c r="R2401" s="15" t="s">
        <v>4407</v>
      </c>
      <c r="S2401" s="24" t="s">
        <v>39</v>
      </c>
      <c r="T2401" s="24" t="s">
        <v>39</v>
      </c>
      <c r="U2401" s="24" t="s">
        <v>39</v>
      </c>
      <c r="V2401" s="24" t="s">
        <v>39</v>
      </c>
      <c r="W2401" s="24" t="s">
        <v>22222</v>
      </c>
      <c r="X2401" s="24" t="s">
        <v>12715</v>
      </c>
      <c r="Y2401" s="15" t="s">
        <v>22223</v>
      </c>
      <c r="Z2401" s="15" t="s">
        <v>22224</v>
      </c>
      <c r="AA2401" s="24"/>
      <c r="AB2401" s="24"/>
      <c r="AC2401" s="24"/>
      <c r="AD2401" s="24"/>
      <c r="AE2401" s="24"/>
      <c r="AF2401" s="24"/>
      <c r="AG2401" s="24"/>
      <c r="AH2401" s="24"/>
    </row>
    <row r="2402" spans="1:34" ht="75" x14ac:dyDescent="0.25">
      <c r="A2402" s="24" t="str">
        <f>HYPERLINK("https://www.cpso.on.ca/DoctorDetails/Vincent-Linkwong-Woo/0117176-70131","Woo, Vincent Linkwong")</f>
        <v>Woo, Vincent Linkwong</v>
      </c>
      <c r="B2402" s="25" t="s">
        <v>22225</v>
      </c>
      <c r="C2402" s="24" t="s">
        <v>2673</v>
      </c>
      <c r="D2402" s="24" t="s">
        <v>2674</v>
      </c>
      <c r="E2402" s="24" t="s">
        <v>29</v>
      </c>
      <c r="F2402" s="24" t="s">
        <v>30</v>
      </c>
      <c r="G2402" s="24" t="s">
        <v>31</v>
      </c>
      <c r="H2402" s="24" t="s">
        <v>1107</v>
      </c>
      <c r="I2402" s="24" t="s">
        <v>22226</v>
      </c>
      <c r="J2402" s="24" t="s">
        <v>22227</v>
      </c>
      <c r="K2402" s="24" t="s">
        <v>22228</v>
      </c>
      <c r="L2402" s="24"/>
      <c r="M2402" s="15"/>
      <c r="N2402" s="15" t="s">
        <v>258</v>
      </c>
      <c r="O2402" s="15" t="s">
        <v>842</v>
      </c>
      <c r="P2402" s="15" t="s">
        <v>22229</v>
      </c>
      <c r="Q2402" s="15" t="s">
        <v>1112</v>
      </c>
      <c r="R2402" s="15" t="s">
        <v>2680</v>
      </c>
      <c r="S2402" s="24" t="s">
        <v>39</v>
      </c>
      <c r="T2402" s="24" t="s">
        <v>39</v>
      </c>
      <c r="U2402" s="24" t="s">
        <v>39</v>
      </c>
      <c r="V2402" s="24" t="s">
        <v>39</v>
      </c>
      <c r="W2402" s="24" t="s">
        <v>22230</v>
      </c>
      <c r="X2402" s="24" t="s">
        <v>22231</v>
      </c>
      <c r="Y2402" s="15"/>
      <c r="Z2402" s="15"/>
      <c r="AA2402" s="24"/>
      <c r="AB2402" s="24"/>
      <c r="AC2402" s="24"/>
      <c r="AD2402" s="24"/>
      <c r="AE2402" s="24"/>
      <c r="AF2402" s="24"/>
      <c r="AG2402" s="24"/>
      <c r="AH2402" s="24"/>
    </row>
    <row r="2403" spans="1:34" ht="120" x14ac:dyDescent="0.25">
      <c r="A2403" s="24" t="str">
        <f>HYPERLINK("https://www.cpso.on.ca/DoctorDetails/Vincenzo-De-Luca/0214919-82141","De Luca, Vincenzo")</f>
        <v>De Luca, Vincenzo</v>
      </c>
      <c r="B2403" s="25" t="s">
        <v>22232</v>
      </c>
      <c r="C2403" s="24" t="s">
        <v>2820</v>
      </c>
      <c r="D2403" s="24" t="s">
        <v>22233</v>
      </c>
      <c r="E2403" s="24" t="s">
        <v>29</v>
      </c>
      <c r="F2403" s="24" t="s">
        <v>30</v>
      </c>
      <c r="G2403" s="24" t="s">
        <v>2188</v>
      </c>
      <c r="H2403" s="24" t="s">
        <v>22234</v>
      </c>
      <c r="I2403" s="24" t="s">
        <v>22235</v>
      </c>
      <c r="J2403" s="24" t="s">
        <v>22236</v>
      </c>
      <c r="K2403" s="24" t="s">
        <v>4990</v>
      </c>
      <c r="L2403" s="24" t="s">
        <v>52</v>
      </c>
      <c r="M2403" s="15"/>
      <c r="N2403" s="15" t="s">
        <v>4047</v>
      </c>
      <c r="O2403" s="15" t="s">
        <v>16804</v>
      </c>
      <c r="P2403" s="15" t="s">
        <v>22237</v>
      </c>
      <c r="Q2403" s="15" t="s">
        <v>22238</v>
      </c>
      <c r="R2403" s="15" t="s">
        <v>22239</v>
      </c>
      <c r="S2403" s="24" t="s">
        <v>71</v>
      </c>
      <c r="T2403" s="24" t="s">
        <v>39</v>
      </c>
      <c r="U2403" s="24" t="s">
        <v>39</v>
      </c>
      <c r="V2403" s="24" t="s">
        <v>39</v>
      </c>
      <c r="W2403" s="24"/>
      <c r="X2403" s="24"/>
      <c r="Y2403" s="15"/>
      <c r="Z2403" s="15"/>
      <c r="AA2403" s="24"/>
      <c r="AB2403" s="24"/>
      <c r="AC2403" s="24"/>
      <c r="AD2403" s="24"/>
      <c r="AE2403" s="24"/>
      <c r="AF2403" s="24"/>
      <c r="AG2403" s="24"/>
      <c r="AH2403" s="24"/>
    </row>
    <row r="2404" spans="1:34" ht="30" x14ac:dyDescent="0.25">
      <c r="A2404" s="24" t="str">
        <f>HYPERLINK("https://www.cpso.on.ca/DoctorDetails/Vincenzo-Giovanni-Franco-Di-Nicola/0043249-57227","Di Nicola, Vincenzo Giovanni Franco")</f>
        <v>Di Nicola, Vincenzo Giovanni Franco</v>
      </c>
      <c r="B2404" s="25" t="s">
        <v>22240</v>
      </c>
      <c r="C2404" s="24" t="s">
        <v>801</v>
      </c>
      <c r="D2404" s="24" t="s">
        <v>22241</v>
      </c>
      <c r="E2404" s="24" t="s">
        <v>29</v>
      </c>
      <c r="F2404" s="24" t="s">
        <v>30</v>
      </c>
      <c r="G2404" s="24" t="s">
        <v>22242</v>
      </c>
      <c r="H2404" s="24" t="s">
        <v>1176</v>
      </c>
      <c r="I2404" s="24" t="s">
        <v>22243</v>
      </c>
      <c r="J2404" s="24" t="s">
        <v>22244</v>
      </c>
      <c r="K2404" s="24" t="s">
        <v>22245</v>
      </c>
      <c r="L2404" s="24"/>
      <c r="M2404" s="15" t="s">
        <v>22246</v>
      </c>
      <c r="N2404" s="15" t="s">
        <v>710</v>
      </c>
      <c r="O2404" s="15"/>
      <c r="P2404" s="15" t="s">
        <v>5827</v>
      </c>
      <c r="Q2404" s="15"/>
      <c r="R2404" s="15" t="s">
        <v>22247</v>
      </c>
      <c r="S2404" s="24" t="s">
        <v>39</v>
      </c>
      <c r="T2404" s="24" t="s">
        <v>39</v>
      </c>
      <c r="U2404" s="24" t="s">
        <v>39</v>
      </c>
      <c r="V2404" s="24" t="s">
        <v>39</v>
      </c>
      <c r="W2404" s="24"/>
      <c r="X2404" s="24"/>
      <c r="Y2404" s="15"/>
      <c r="Z2404" s="15"/>
      <c r="AA2404" s="24"/>
      <c r="AB2404" s="24"/>
      <c r="AC2404" s="24"/>
      <c r="AD2404" s="24"/>
      <c r="AE2404" s="24"/>
      <c r="AF2404" s="24"/>
      <c r="AG2404" s="24"/>
      <c r="AH2404" s="24"/>
    </row>
    <row r="2405" spans="1:34" ht="60" x14ac:dyDescent="0.25">
      <c r="A2405" s="24" t="str">
        <f>HYPERLINK("https://www.cpso.on.ca/DoctorDetails/Vinod-Kumar-Bhatnagar/0303615-108525","Bhatnagar, Vinod Kumar")</f>
        <v>Bhatnagar, Vinod Kumar</v>
      </c>
      <c r="B2405" s="25" t="s">
        <v>22248</v>
      </c>
      <c r="C2405" s="24" t="s">
        <v>22249</v>
      </c>
      <c r="D2405" s="24" t="s">
        <v>22250</v>
      </c>
      <c r="E2405" s="24" t="s">
        <v>29</v>
      </c>
      <c r="F2405" s="24" t="s">
        <v>30</v>
      </c>
      <c r="G2405" s="24" t="s">
        <v>131</v>
      </c>
      <c r="H2405" s="24" t="s">
        <v>22251</v>
      </c>
      <c r="I2405" s="24" t="s">
        <v>22252</v>
      </c>
      <c r="J2405" s="24" t="s">
        <v>22253</v>
      </c>
      <c r="K2405" s="24" t="s">
        <v>22254</v>
      </c>
      <c r="L2405" s="24" t="s">
        <v>135</v>
      </c>
      <c r="M2405" s="15"/>
      <c r="N2405" s="15" t="s">
        <v>5167</v>
      </c>
      <c r="O2405" s="15" t="s">
        <v>4812</v>
      </c>
      <c r="P2405" s="15" t="s">
        <v>22255</v>
      </c>
      <c r="Q2405" s="15"/>
      <c r="R2405" s="15" t="s">
        <v>22256</v>
      </c>
      <c r="S2405" s="24" t="s">
        <v>71</v>
      </c>
      <c r="T2405" s="24" t="s">
        <v>39</v>
      </c>
      <c r="U2405" s="24" t="s">
        <v>39</v>
      </c>
      <c r="V2405" s="24" t="s">
        <v>39</v>
      </c>
      <c r="W2405" s="24"/>
      <c r="X2405" s="24"/>
      <c r="Y2405" s="15"/>
      <c r="Z2405" s="15"/>
      <c r="AA2405" s="24"/>
      <c r="AB2405" s="24"/>
      <c r="AC2405" s="24"/>
      <c r="AD2405" s="24"/>
      <c r="AE2405" s="24"/>
      <c r="AF2405" s="24"/>
      <c r="AG2405" s="24"/>
      <c r="AH2405" s="24"/>
    </row>
    <row r="2406" spans="1:34" ht="45" x14ac:dyDescent="0.25">
      <c r="A2406" s="24" t="str">
        <f>HYPERLINK("https://www.cpso.on.ca/DoctorDetails/Vinod-Malik/0030461-42441","Malik, Vinod")</f>
        <v>Malik, Vinod</v>
      </c>
      <c r="B2406" s="25" t="s">
        <v>22257</v>
      </c>
      <c r="C2406" s="24" t="s">
        <v>22258</v>
      </c>
      <c r="D2406" s="24" t="s">
        <v>1028</v>
      </c>
      <c r="E2406" s="24" t="s">
        <v>29</v>
      </c>
      <c r="F2406" s="24" t="s">
        <v>30</v>
      </c>
      <c r="G2406" s="24" t="s">
        <v>691</v>
      </c>
      <c r="H2406" s="24" t="s">
        <v>22259</v>
      </c>
      <c r="I2406" s="24" t="s">
        <v>22260</v>
      </c>
      <c r="J2406" s="24" t="s">
        <v>22261</v>
      </c>
      <c r="K2406" s="24"/>
      <c r="L2406" s="24" t="s">
        <v>84</v>
      </c>
      <c r="M2406" s="15"/>
      <c r="N2406" s="15"/>
      <c r="O2406" s="15"/>
      <c r="P2406" s="15" t="s">
        <v>1192</v>
      </c>
      <c r="Q2406" s="15"/>
      <c r="R2406" s="15" t="s">
        <v>22262</v>
      </c>
      <c r="S2406" s="24" t="s">
        <v>39</v>
      </c>
      <c r="T2406" s="24" t="s">
        <v>39</v>
      </c>
      <c r="U2406" s="24" t="s">
        <v>39</v>
      </c>
      <c r="V2406" s="24" t="s">
        <v>39</v>
      </c>
      <c r="W2406" s="24" t="s">
        <v>22263</v>
      </c>
      <c r="X2406" s="24" t="s">
        <v>18267</v>
      </c>
      <c r="Y2406" s="15" t="s">
        <v>22264</v>
      </c>
      <c r="Z2406" s="15" t="s">
        <v>22265</v>
      </c>
      <c r="AA2406" s="24"/>
      <c r="AB2406" s="24"/>
      <c r="AC2406" s="24"/>
      <c r="AD2406" s="24"/>
      <c r="AE2406" s="24"/>
      <c r="AF2406" s="24"/>
      <c r="AG2406" s="24"/>
      <c r="AH2406" s="24"/>
    </row>
    <row r="2407" spans="1:34" ht="60" x14ac:dyDescent="0.25">
      <c r="A2407" s="24" t="str">
        <f>HYPERLINK("https://www.cpso.on.ca/DoctorDetails/Vinodkumar-Gangolli/0038620-52596","Gangolli, Vinodkumar")</f>
        <v>Gangolli, Vinodkumar</v>
      </c>
      <c r="B2407" s="25" t="s">
        <v>22266</v>
      </c>
      <c r="C2407" s="24" t="s">
        <v>21673</v>
      </c>
      <c r="D2407" s="24" t="s">
        <v>22267</v>
      </c>
      <c r="E2407" s="24" t="s">
        <v>29</v>
      </c>
      <c r="F2407" s="24" t="s">
        <v>30</v>
      </c>
      <c r="G2407" s="24" t="s">
        <v>22268</v>
      </c>
      <c r="H2407" s="24" t="s">
        <v>22269</v>
      </c>
      <c r="I2407" s="24" t="s">
        <v>4625</v>
      </c>
      <c r="J2407" s="24" t="s">
        <v>14836</v>
      </c>
      <c r="K2407" s="24" t="s">
        <v>14558</v>
      </c>
      <c r="L2407" s="24" t="s">
        <v>152</v>
      </c>
      <c r="M2407" s="15"/>
      <c r="N2407" s="15" t="s">
        <v>695</v>
      </c>
      <c r="O2407" s="15"/>
      <c r="P2407" s="15" t="s">
        <v>745</v>
      </c>
      <c r="Q2407" s="15"/>
      <c r="R2407" s="15" t="s">
        <v>22270</v>
      </c>
      <c r="S2407" s="24" t="s">
        <v>39</v>
      </c>
      <c r="T2407" s="24" t="s">
        <v>39</v>
      </c>
      <c r="U2407" s="24" t="s">
        <v>39</v>
      </c>
      <c r="V2407" s="24" t="s">
        <v>39</v>
      </c>
      <c r="W2407" s="24"/>
      <c r="X2407" s="24"/>
      <c r="Y2407" s="15"/>
      <c r="Z2407" s="15"/>
      <c r="AA2407" s="24"/>
      <c r="AB2407" s="24"/>
      <c r="AC2407" s="24"/>
      <c r="AD2407" s="24"/>
      <c r="AE2407" s="24"/>
      <c r="AF2407" s="24"/>
      <c r="AG2407" s="24"/>
      <c r="AH2407" s="24"/>
    </row>
    <row r="2408" spans="1:34" ht="75" x14ac:dyDescent="0.25">
      <c r="A2408" s="24" t="str">
        <f>HYPERLINK("https://www.cpso.on.ca/DoctorDetails/Viraj-Mehta/0219982-83012","Mehta, Viraj")</f>
        <v>Mehta, Viraj</v>
      </c>
      <c r="B2408" s="25" t="s">
        <v>22271</v>
      </c>
      <c r="C2408" s="24" t="s">
        <v>2342</v>
      </c>
      <c r="D2408" s="24" t="s">
        <v>2343</v>
      </c>
      <c r="E2408" s="24" t="s">
        <v>29</v>
      </c>
      <c r="F2408" s="24" t="s">
        <v>30</v>
      </c>
      <c r="G2408" s="24" t="s">
        <v>31</v>
      </c>
      <c r="H2408" s="24" t="s">
        <v>2344</v>
      </c>
      <c r="I2408" s="24" t="s">
        <v>22272</v>
      </c>
      <c r="J2408" s="24" t="s">
        <v>3706</v>
      </c>
      <c r="K2408" s="24"/>
      <c r="L2408" s="24" t="s">
        <v>135</v>
      </c>
      <c r="M2408" s="15" t="s">
        <v>22273</v>
      </c>
      <c r="N2408" s="15"/>
      <c r="O2408" s="15" t="s">
        <v>22274</v>
      </c>
      <c r="P2408" s="15" t="s">
        <v>2348</v>
      </c>
      <c r="Q2408" s="15" t="s">
        <v>4951</v>
      </c>
      <c r="R2408" s="15" t="s">
        <v>2350</v>
      </c>
      <c r="S2408" s="24" t="s">
        <v>39</v>
      </c>
      <c r="T2408" s="24" t="s">
        <v>39</v>
      </c>
      <c r="U2408" s="24" t="s">
        <v>39</v>
      </c>
      <c r="V2408" s="24" t="s">
        <v>39</v>
      </c>
      <c r="W2408" s="24"/>
      <c r="X2408" s="24"/>
      <c r="Y2408" s="15"/>
      <c r="Z2408" s="15"/>
      <c r="AA2408" s="24"/>
      <c r="AB2408" s="24"/>
      <c r="AC2408" s="24"/>
      <c r="AD2408" s="24"/>
      <c r="AE2408" s="24"/>
      <c r="AF2408" s="24"/>
      <c r="AG2408" s="24"/>
      <c r="AH2408" s="24"/>
    </row>
    <row r="2409" spans="1:34" ht="195" x14ac:dyDescent="0.25">
      <c r="A2409" s="24" t="str">
        <f>HYPERLINK("https://www.cpso.on.ca/DoctorDetails/Virginia-Ann-Wesson/0045336-59314","Wesson, Virginia Ann")</f>
        <v>Wesson, Virginia Ann</v>
      </c>
      <c r="B2409" s="25" t="s">
        <v>22275</v>
      </c>
      <c r="C2409" s="24" t="s">
        <v>921</v>
      </c>
      <c r="D2409" s="24" t="s">
        <v>22276</v>
      </c>
      <c r="E2409" s="24" t="s">
        <v>29</v>
      </c>
      <c r="F2409" s="24" t="s">
        <v>47</v>
      </c>
      <c r="G2409" s="24" t="s">
        <v>31</v>
      </c>
      <c r="H2409" s="24" t="s">
        <v>2288</v>
      </c>
      <c r="I2409" s="24" t="s">
        <v>22277</v>
      </c>
      <c r="J2409" s="24" t="s">
        <v>22278</v>
      </c>
      <c r="K2409" s="24" t="s">
        <v>437</v>
      </c>
      <c r="L2409" s="24" t="s">
        <v>52</v>
      </c>
      <c r="M2409" s="15"/>
      <c r="N2409" s="15"/>
      <c r="O2409" s="15" t="s">
        <v>438</v>
      </c>
      <c r="P2409" s="15" t="s">
        <v>22279</v>
      </c>
      <c r="Q2409" s="15" t="s">
        <v>22280</v>
      </c>
      <c r="R2409" s="15" t="s">
        <v>22281</v>
      </c>
      <c r="S2409" s="24" t="s">
        <v>39</v>
      </c>
      <c r="T2409" s="24" t="s">
        <v>39</v>
      </c>
      <c r="U2409" s="24" t="s">
        <v>39</v>
      </c>
      <c r="V2409" s="24" t="s">
        <v>39</v>
      </c>
      <c r="W2409" s="24"/>
      <c r="X2409" s="24"/>
      <c r="Y2409" s="15"/>
      <c r="Z2409" s="15"/>
      <c r="AA2409" s="24"/>
      <c r="AB2409" s="24"/>
      <c r="AC2409" s="24"/>
      <c r="AD2409" s="24"/>
      <c r="AE2409" s="24"/>
      <c r="AF2409" s="24"/>
      <c r="AG2409" s="24"/>
      <c r="AH2409" s="24"/>
    </row>
    <row r="2410" spans="1:34" x14ac:dyDescent="0.25">
      <c r="A2410" s="24" t="str">
        <f>HYPERLINK("https://www.cpso.on.ca/DoctorDetails/Virginia-Anne-Duff/0045077-59055","Duff, Virginia Anne")</f>
        <v>Duff, Virginia Anne</v>
      </c>
      <c r="B2410" s="25" t="s">
        <v>22282</v>
      </c>
      <c r="C2410" s="24" t="s">
        <v>22283</v>
      </c>
      <c r="D2410" s="24" t="s">
        <v>22284</v>
      </c>
      <c r="E2410" s="24" t="s">
        <v>29</v>
      </c>
      <c r="F2410" s="24" t="s">
        <v>47</v>
      </c>
      <c r="G2410" s="24" t="s">
        <v>31</v>
      </c>
      <c r="H2410" s="24" t="s">
        <v>3419</v>
      </c>
      <c r="I2410" s="24" t="s">
        <v>22285</v>
      </c>
      <c r="J2410" s="24" t="s">
        <v>22286</v>
      </c>
      <c r="K2410" s="24" t="s">
        <v>22287</v>
      </c>
      <c r="L2410" s="24" t="s">
        <v>52</v>
      </c>
      <c r="M2410" s="15"/>
      <c r="N2410" s="15"/>
      <c r="O2410" s="15" t="s">
        <v>271</v>
      </c>
      <c r="P2410" s="15" t="s">
        <v>122</v>
      </c>
      <c r="Q2410" s="15"/>
      <c r="R2410" s="15" t="s">
        <v>22288</v>
      </c>
      <c r="S2410" s="24" t="s">
        <v>39</v>
      </c>
      <c r="T2410" s="24" t="s">
        <v>39</v>
      </c>
      <c r="U2410" s="24" t="s">
        <v>39</v>
      </c>
      <c r="V2410" s="24" t="s">
        <v>39</v>
      </c>
      <c r="W2410" s="24"/>
      <c r="X2410" s="24"/>
      <c r="Y2410" s="15"/>
      <c r="Z2410" s="15"/>
      <c r="AA2410" s="24"/>
      <c r="AB2410" s="24"/>
      <c r="AC2410" s="24"/>
      <c r="AD2410" s="24"/>
      <c r="AE2410" s="24"/>
      <c r="AF2410" s="24"/>
      <c r="AG2410" s="24"/>
      <c r="AH2410" s="24"/>
    </row>
    <row r="2411" spans="1:34" x14ac:dyDescent="0.25">
      <c r="A2411" s="24" t="str">
        <f>HYPERLINK("https://www.cpso.on.ca/DoctorDetails/Vivian-Ann-Polak/0230401-96777","Polak, Vivian Ann")</f>
        <v>Polak, Vivian Ann</v>
      </c>
      <c r="B2411" s="25" t="s">
        <v>22289</v>
      </c>
      <c r="C2411" s="24" t="s">
        <v>22290</v>
      </c>
      <c r="D2411" s="24" t="s">
        <v>22291</v>
      </c>
      <c r="E2411" s="24" t="s">
        <v>29</v>
      </c>
      <c r="F2411" s="24" t="s">
        <v>47</v>
      </c>
      <c r="G2411" s="24" t="s">
        <v>22292</v>
      </c>
      <c r="H2411" s="24" t="s">
        <v>22293</v>
      </c>
      <c r="I2411" s="24" t="s">
        <v>22294</v>
      </c>
      <c r="J2411" s="24" t="s">
        <v>22295</v>
      </c>
      <c r="K2411" s="24"/>
      <c r="L2411" s="24" t="s">
        <v>152</v>
      </c>
      <c r="M2411" s="15"/>
      <c r="N2411" s="15"/>
      <c r="O2411" s="15"/>
      <c r="P2411" s="15" t="s">
        <v>22296</v>
      </c>
      <c r="Q2411" s="15"/>
      <c r="R2411" s="15" t="s">
        <v>22297</v>
      </c>
      <c r="S2411" s="24" t="s">
        <v>39</v>
      </c>
      <c r="T2411" s="24" t="s">
        <v>39</v>
      </c>
      <c r="U2411" s="24" t="s">
        <v>39</v>
      </c>
      <c r="V2411" s="24" t="s">
        <v>39</v>
      </c>
      <c r="W2411" s="24" t="s">
        <v>22298</v>
      </c>
      <c r="X2411" s="24" t="s">
        <v>22299</v>
      </c>
      <c r="Y2411" s="15" t="s">
        <v>22300</v>
      </c>
      <c r="Z2411" s="15" t="s">
        <v>22301</v>
      </c>
      <c r="AA2411" s="24"/>
      <c r="AB2411" s="24"/>
      <c r="AC2411" s="24"/>
      <c r="AD2411" s="24"/>
      <c r="AE2411" s="24"/>
      <c r="AF2411" s="24"/>
      <c r="AG2411" s="24"/>
      <c r="AH2411" s="24"/>
    </row>
    <row r="2412" spans="1:34" ht="135" x14ac:dyDescent="0.25">
      <c r="A2412" s="24" t="str">
        <f>HYPERLINK("https://www.cpso.on.ca/DoctorDetails/Vivian-Hannah-Sapirman/0233082-84342","Sapirman, Vivian Hannah")</f>
        <v>Sapirman, Vivian Hannah</v>
      </c>
      <c r="B2412" s="25" t="s">
        <v>22302</v>
      </c>
      <c r="C2412" s="24" t="s">
        <v>2253</v>
      </c>
      <c r="D2412" s="24" t="s">
        <v>2254</v>
      </c>
      <c r="E2412" s="24" t="s">
        <v>29</v>
      </c>
      <c r="F2412" s="24" t="s">
        <v>47</v>
      </c>
      <c r="G2412" s="24" t="s">
        <v>31</v>
      </c>
      <c r="H2412" s="24" t="s">
        <v>2613</v>
      </c>
      <c r="I2412" s="24" t="s">
        <v>22303</v>
      </c>
      <c r="J2412" s="24" t="s">
        <v>50</v>
      </c>
      <c r="K2412" s="24"/>
      <c r="L2412" s="24" t="s">
        <v>52</v>
      </c>
      <c r="M2412" s="15" t="s">
        <v>22304</v>
      </c>
      <c r="N2412" s="15"/>
      <c r="O2412" s="15" t="s">
        <v>22305</v>
      </c>
      <c r="P2412" s="15" t="s">
        <v>449</v>
      </c>
      <c r="Q2412" s="15" t="s">
        <v>22306</v>
      </c>
      <c r="R2412" s="15" t="s">
        <v>22307</v>
      </c>
      <c r="S2412" s="24" t="s">
        <v>39</v>
      </c>
      <c r="T2412" s="24" t="s">
        <v>39</v>
      </c>
      <c r="U2412" s="24" t="s">
        <v>39</v>
      </c>
      <c r="V2412" s="24" t="s">
        <v>39</v>
      </c>
      <c r="W2412" s="24"/>
      <c r="X2412" s="24"/>
      <c r="Y2412" s="15"/>
      <c r="Z2412" s="15"/>
      <c r="AA2412" s="24"/>
      <c r="AB2412" s="24"/>
      <c r="AC2412" s="24"/>
      <c r="AD2412" s="24"/>
      <c r="AE2412" s="24"/>
      <c r="AF2412" s="24"/>
      <c r="AG2412" s="24"/>
      <c r="AH2412" s="24"/>
    </row>
    <row r="2413" spans="1:34" ht="135" x14ac:dyDescent="0.25">
      <c r="A2413" s="24" t="str">
        <f>HYPERLINK("https://www.cpso.on.ca/DoctorDetails/Vivian-Magdy-ElKholi/0049130-63108","El-Kholi, Vivian Magdy")</f>
        <v>El-Kholi, Vivian Magdy</v>
      </c>
      <c r="B2413" s="25" t="s">
        <v>22308</v>
      </c>
      <c r="C2413" s="24" t="s">
        <v>22309</v>
      </c>
      <c r="D2413" s="24" t="s">
        <v>22310</v>
      </c>
      <c r="E2413" s="24" t="s">
        <v>29</v>
      </c>
      <c r="F2413" s="24" t="s">
        <v>47</v>
      </c>
      <c r="G2413" s="24" t="s">
        <v>105</v>
      </c>
      <c r="H2413" s="24" t="s">
        <v>19319</v>
      </c>
      <c r="I2413" s="24" t="s">
        <v>22311</v>
      </c>
      <c r="J2413" s="24" t="s">
        <v>22312</v>
      </c>
      <c r="K2413" s="24" t="s">
        <v>22313</v>
      </c>
      <c r="L2413" s="24" t="s">
        <v>36</v>
      </c>
      <c r="M2413" s="15" t="s">
        <v>22314</v>
      </c>
      <c r="N2413" s="15"/>
      <c r="O2413" s="15" t="s">
        <v>833</v>
      </c>
      <c r="P2413" s="15" t="s">
        <v>3220</v>
      </c>
      <c r="Q2413" s="15" t="s">
        <v>22315</v>
      </c>
      <c r="R2413" s="15" t="s">
        <v>22316</v>
      </c>
      <c r="S2413" s="24" t="s">
        <v>39</v>
      </c>
      <c r="T2413" s="24" t="s">
        <v>39</v>
      </c>
      <c r="U2413" s="24" t="s">
        <v>39</v>
      </c>
      <c r="V2413" s="24" t="s">
        <v>39</v>
      </c>
      <c r="W2413" s="24" t="s">
        <v>22317</v>
      </c>
      <c r="X2413" s="24" t="s">
        <v>476</v>
      </c>
      <c r="Y2413" s="15"/>
      <c r="Z2413" s="15"/>
      <c r="AA2413" s="24" t="s">
        <v>22317</v>
      </c>
      <c r="AB2413" s="24" t="s">
        <v>12706</v>
      </c>
      <c r="AC2413" s="24" t="s">
        <v>22318</v>
      </c>
      <c r="AD2413" s="15" t="s">
        <v>22319</v>
      </c>
      <c r="AE2413" s="24"/>
      <c r="AF2413" s="24"/>
      <c r="AG2413" s="24"/>
      <c r="AH2413" s="24"/>
    </row>
    <row r="2414" spans="1:34" ht="60" x14ac:dyDescent="0.25">
      <c r="A2414" s="24" t="str">
        <f>HYPERLINK("https://www.cpso.on.ca/DoctorDetails/Vivien-Anne-Smith/0018123-22909","Smith, Vivien Anne")</f>
        <v>Smith, Vivien Anne</v>
      </c>
      <c r="B2414" s="25" t="s">
        <v>22320</v>
      </c>
      <c r="C2414" s="24" t="s">
        <v>22321</v>
      </c>
      <c r="D2414" s="24" t="s">
        <v>22322</v>
      </c>
      <c r="E2414" s="24" t="s">
        <v>29</v>
      </c>
      <c r="F2414" s="24" t="s">
        <v>47</v>
      </c>
      <c r="G2414" s="24" t="s">
        <v>31</v>
      </c>
      <c r="H2414" s="24" t="s">
        <v>6561</v>
      </c>
      <c r="I2414" s="24" t="s">
        <v>22323</v>
      </c>
      <c r="J2414" s="24" t="s">
        <v>22324</v>
      </c>
      <c r="K2414" s="24" t="s">
        <v>22325</v>
      </c>
      <c r="L2414" s="24" t="s">
        <v>52</v>
      </c>
      <c r="M2414" s="15"/>
      <c r="N2414" s="15"/>
      <c r="O2414" s="15"/>
      <c r="P2414" s="15" t="s">
        <v>18790</v>
      </c>
      <c r="Q2414" s="15"/>
      <c r="R2414" s="15" t="s">
        <v>22326</v>
      </c>
      <c r="S2414" s="24" t="s">
        <v>39</v>
      </c>
      <c r="T2414" s="24" t="s">
        <v>39</v>
      </c>
      <c r="U2414" s="24" t="s">
        <v>39</v>
      </c>
      <c r="V2414" s="24" t="s">
        <v>39</v>
      </c>
      <c r="W2414" s="24" t="s">
        <v>22327</v>
      </c>
      <c r="X2414" s="24" t="s">
        <v>18682</v>
      </c>
      <c r="Y2414" s="15"/>
      <c r="Z2414" s="15"/>
      <c r="AA2414" s="24" t="s">
        <v>22327</v>
      </c>
      <c r="AB2414" s="24" t="s">
        <v>22328</v>
      </c>
      <c r="AC2414" s="24"/>
      <c r="AD2414" s="24"/>
      <c r="AE2414" s="24" t="s">
        <v>22327</v>
      </c>
      <c r="AF2414" s="24" t="s">
        <v>16393</v>
      </c>
      <c r="AG2414" s="24" t="s">
        <v>22329</v>
      </c>
      <c r="AH2414" s="24" t="s">
        <v>22330</v>
      </c>
    </row>
    <row r="2415" spans="1:34" ht="75" x14ac:dyDescent="0.25">
      <c r="A2415" s="24" t="str">
        <f>HYPERLINK("https://www.cpso.on.ca/DoctorDetails/Vivien-Mary-Parker/0057295-68883","Parker, Vivien Mary")</f>
        <v>Parker, Vivien Mary</v>
      </c>
      <c r="B2415" s="25" t="s">
        <v>22331</v>
      </c>
      <c r="C2415" s="24" t="s">
        <v>3831</v>
      </c>
      <c r="D2415" s="24" t="s">
        <v>214</v>
      </c>
      <c r="E2415" s="24" t="s">
        <v>29</v>
      </c>
      <c r="F2415" s="24" t="s">
        <v>47</v>
      </c>
      <c r="G2415" s="24" t="s">
        <v>31</v>
      </c>
      <c r="H2415" s="24" t="s">
        <v>1338</v>
      </c>
      <c r="I2415" s="24" t="s">
        <v>22332</v>
      </c>
      <c r="J2415" s="24" t="s">
        <v>22333</v>
      </c>
      <c r="K2415" s="24" t="s">
        <v>22334</v>
      </c>
      <c r="L2415" s="24" t="s">
        <v>52</v>
      </c>
      <c r="M2415" s="15" t="s">
        <v>22335</v>
      </c>
      <c r="N2415" s="15"/>
      <c r="O2415" s="15" t="s">
        <v>22336</v>
      </c>
      <c r="P2415" s="15" t="s">
        <v>1343</v>
      </c>
      <c r="Q2415" s="15" t="s">
        <v>4714</v>
      </c>
      <c r="R2415" s="15" t="s">
        <v>3839</v>
      </c>
      <c r="S2415" s="24" t="s">
        <v>39</v>
      </c>
      <c r="T2415" s="24" t="s">
        <v>39</v>
      </c>
      <c r="U2415" s="24" t="s">
        <v>39</v>
      </c>
      <c r="V2415" s="24" t="s">
        <v>39</v>
      </c>
      <c r="W2415" s="24" t="s">
        <v>22337</v>
      </c>
      <c r="X2415" s="24" t="s">
        <v>22338</v>
      </c>
      <c r="Y2415" s="15" t="s">
        <v>22339</v>
      </c>
      <c r="Z2415" s="15" t="s">
        <v>22340</v>
      </c>
      <c r="AA2415" s="24"/>
      <c r="AB2415" s="24"/>
      <c r="AC2415" s="24"/>
      <c r="AD2415" s="24"/>
      <c r="AE2415" s="24"/>
      <c r="AF2415" s="24"/>
      <c r="AG2415" s="24"/>
      <c r="AH2415" s="24"/>
    </row>
    <row r="2416" spans="1:34" ht="30" x14ac:dyDescent="0.25">
      <c r="A2416" s="24" t="str">
        <f>HYPERLINK("https://www.cpso.on.ca/DoctorDetails/Voldemars-Gulens/0014415-19198","Gulens, Voldemars")</f>
        <v>Gulens, Voldemars</v>
      </c>
      <c r="B2416" s="25" t="s">
        <v>22341</v>
      </c>
      <c r="C2416" s="24" t="s">
        <v>5485</v>
      </c>
      <c r="D2416" s="24" t="s">
        <v>5486</v>
      </c>
      <c r="E2416" s="24" t="s">
        <v>29</v>
      </c>
      <c r="F2416" s="24" t="s">
        <v>30</v>
      </c>
      <c r="G2416" s="24" t="s">
        <v>22342</v>
      </c>
      <c r="H2416" s="24" t="s">
        <v>1207</v>
      </c>
      <c r="I2416" s="24" t="s">
        <v>22343</v>
      </c>
      <c r="J2416" s="24" t="s">
        <v>22344</v>
      </c>
      <c r="K2416" s="24"/>
      <c r="L2416" s="24" t="s">
        <v>52</v>
      </c>
      <c r="M2416" s="15"/>
      <c r="N2416" s="15"/>
      <c r="O2416" s="15"/>
      <c r="P2416" s="15" t="s">
        <v>8069</v>
      </c>
      <c r="Q2416" s="15"/>
      <c r="R2416" s="15" t="s">
        <v>22345</v>
      </c>
      <c r="S2416" s="24" t="s">
        <v>39</v>
      </c>
      <c r="T2416" s="24" t="s">
        <v>39</v>
      </c>
      <c r="U2416" s="24" t="s">
        <v>39</v>
      </c>
      <c r="V2416" s="24" t="s">
        <v>39</v>
      </c>
      <c r="W2416" s="24" t="s">
        <v>22346</v>
      </c>
      <c r="X2416" s="24" t="s">
        <v>8180</v>
      </c>
      <c r="Y2416" s="15" t="s">
        <v>22347</v>
      </c>
      <c r="Z2416" s="15" t="s">
        <v>22348</v>
      </c>
      <c r="AA2416" s="24"/>
      <c r="AB2416" s="24"/>
      <c r="AC2416" s="24"/>
      <c r="AD2416" s="24"/>
      <c r="AE2416" s="24"/>
      <c r="AF2416" s="24"/>
      <c r="AG2416" s="24"/>
      <c r="AH2416" s="24"/>
    </row>
    <row r="2417" spans="1:34" ht="120" x14ac:dyDescent="0.25">
      <c r="A2417" s="24" t="str">
        <f>HYPERLINK("https://www.cpso.on.ca/DoctorDetails/Volker-Stephan-Hocke/0253663-90356","Hocke, Volker Stephan")</f>
        <v>Hocke, Volker Stephan</v>
      </c>
      <c r="B2417" s="25" t="s">
        <v>22349</v>
      </c>
      <c r="C2417" s="24" t="s">
        <v>22350</v>
      </c>
      <c r="D2417" s="24" t="s">
        <v>22351</v>
      </c>
      <c r="E2417" s="24" t="s">
        <v>29</v>
      </c>
      <c r="F2417" s="24" t="s">
        <v>30</v>
      </c>
      <c r="G2417" s="24" t="s">
        <v>6608</v>
      </c>
      <c r="H2417" s="24" t="s">
        <v>22352</v>
      </c>
      <c r="I2417" s="24" t="s">
        <v>22353</v>
      </c>
      <c r="J2417" s="24" t="s">
        <v>22354</v>
      </c>
      <c r="K2417" s="24"/>
      <c r="L2417" s="24" t="s">
        <v>135</v>
      </c>
      <c r="M2417" s="15"/>
      <c r="N2417" s="15" t="s">
        <v>6611</v>
      </c>
      <c r="O2417" s="15" t="s">
        <v>913</v>
      </c>
      <c r="P2417" s="15" t="s">
        <v>425</v>
      </c>
      <c r="Q2417" s="15"/>
      <c r="R2417" s="15" t="s">
        <v>22355</v>
      </c>
      <c r="S2417" s="24" t="s">
        <v>39</v>
      </c>
      <c r="T2417" s="24" t="s">
        <v>39</v>
      </c>
      <c r="U2417" s="24" t="s">
        <v>39</v>
      </c>
      <c r="V2417" s="24" t="s">
        <v>39</v>
      </c>
      <c r="W2417" s="24" t="s">
        <v>22356</v>
      </c>
      <c r="X2417" s="24" t="s">
        <v>22357</v>
      </c>
      <c r="Y2417" s="15" t="s">
        <v>22358</v>
      </c>
      <c r="Z2417" s="15" t="s">
        <v>22359</v>
      </c>
      <c r="AA2417" s="24"/>
      <c r="AB2417" s="24"/>
      <c r="AC2417" s="24"/>
      <c r="AD2417" s="24"/>
      <c r="AE2417" s="24"/>
      <c r="AF2417" s="24"/>
      <c r="AG2417" s="24"/>
      <c r="AH2417" s="24"/>
    </row>
    <row r="2418" spans="1:34" ht="135" x14ac:dyDescent="0.25">
      <c r="A2418" s="24" t="str">
        <f>HYPERLINK("https://www.cpso.on.ca/DoctorDetails/Wahid-Aly-Abouelnasr/0047887-61865","Abouelnasr, Wahid Aly")</f>
        <v>Abouelnasr, Wahid Aly</v>
      </c>
      <c r="B2418" s="25" t="s">
        <v>22360</v>
      </c>
      <c r="C2418" s="24" t="s">
        <v>22361</v>
      </c>
      <c r="D2418" s="24" t="s">
        <v>22362</v>
      </c>
      <c r="E2418" s="24" t="s">
        <v>29</v>
      </c>
      <c r="F2418" s="24" t="s">
        <v>30</v>
      </c>
      <c r="G2418" s="24" t="s">
        <v>105</v>
      </c>
      <c r="H2418" s="24" t="s">
        <v>13300</v>
      </c>
      <c r="I2418" s="24" t="s">
        <v>12747</v>
      </c>
      <c r="J2418" s="24" t="s">
        <v>2760</v>
      </c>
      <c r="K2418" s="24"/>
      <c r="L2418" s="24" t="s">
        <v>52</v>
      </c>
      <c r="M2418" s="15" t="s">
        <v>22363</v>
      </c>
      <c r="N2418" s="15" t="s">
        <v>22364</v>
      </c>
      <c r="O2418" s="15" t="s">
        <v>2315</v>
      </c>
      <c r="P2418" s="15" t="s">
        <v>3353</v>
      </c>
      <c r="Q2418" s="15" t="s">
        <v>22365</v>
      </c>
      <c r="R2418" s="15" t="s">
        <v>22366</v>
      </c>
      <c r="S2418" s="24" t="s">
        <v>39</v>
      </c>
      <c r="T2418" s="24" t="s">
        <v>71</v>
      </c>
      <c r="U2418" s="24" t="s">
        <v>39</v>
      </c>
      <c r="V2418" s="24" t="s">
        <v>39</v>
      </c>
      <c r="W2418" s="24" t="s">
        <v>22367</v>
      </c>
      <c r="X2418" s="24" t="s">
        <v>22368</v>
      </c>
      <c r="Y2418" s="15" t="s">
        <v>22369</v>
      </c>
      <c r="Z2418" s="15" t="s">
        <v>22370</v>
      </c>
      <c r="AA2418" s="24"/>
      <c r="AB2418" s="24"/>
      <c r="AC2418" s="24"/>
      <c r="AD2418" s="24"/>
      <c r="AE2418" s="24"/>
      <c r="AF2418" s="24"/>
      <c r="AG2418" s="24"/>
      <c r="AH2418" s="24"/>
    </row>
    <row r="2419" spans="1:34" ht="75" x14ac:dyDescent="0.25">
      <c r="A2419" s="24" t="str">
        <f>HYPERLINK("https://www.cpso.on.ca/DoctorDetails/Wai-Lun-Alan-Fung/0210608-81101","Fung, Wai Lun Alan")</f>
        <v>Fung, Wai Lun Alan</v>
      </c>
      <c r="B2419" s="25" t="s">
        <v>22371</v>
      </c>
      <c r="C2419" s="24" t="s">
        <v>45</v>
      </c>
      <c r="D2419" s="24" t="s">
        <v>46</v>
      </c>
      <c r="E2419" s="24" t="s">
        <v>29</v>
      </c>
      <c r="F2419" s="24" t="s">
        <v>30</v>
      </c>
      <c r="G2419" s="24" t="s">
        <v>7158</v>
      </c>
      <c r="H2419" s="24" t="s">
        <v>1170</v>
      </c>
      <c r="I2419" s="24" t="s">
        <v>22372</v>
      </c>
      <c r="J2419" s="24" t="s">
        <v>22373</v>
      </c>
      <c r="K2419" s="24" t="s">
        <v>15113</v>
      </c>
      <c r="L2419" s="24" t="s">
        <v>52</v>
      </c>
      <c r="M2419" s="15" t="s">
        <v>22374</v>
      </c>
      <c r="N2419" s="15"/>
      <c r="O2419" s="15" t="s">
        <v>232</v>
      </c>
      <c r="P2419" s="15" t="s">
        <v>55</v>
      </c>
      <c r="Q2419" s="15" t="s">
        <v>56</v>
      </c>
      <c r="R2419" s="15" t="s">
        <v>57</v>
      </c>
      <c r="S2419" s="24" t="s">
        <v>39</v>
      </c>
      <c r="T2419" s="24" t="s">
        <v>39</v>
      </c>
      <c r="U2419" s="24" t="s">
        <v>39</v>
      </c>
      <c r="V2419" s="24" t="s">
        <v>39</v>
      </c>
      <c r="W2419" s="24" t="s">
        <v>22375</v>
      </c>
      <c r="X2419" s="24" t="s">
        <v>2740</v>
      </c>
      <c r="Y2419" s="15" t="s">
        <v>22376</v>
      </c>
      <c r="Z2419" s="15" t="s">
        <v>22377</v>
      </c>
      <c r="AA2419" s="24"/>
      <c r="AB2419" s="24"/>
      <c r="AC2419" s="24"/>
      <c r="AD2419" s="24"/>
      <c r="AE2419" s="24"/>
      <c r="AF2419" s="24"/>
      <c r="AG2419" s="24"/>
      <c r="AH2419" s="24"/>
    </row>
    <row r="2420" spans="1:34" ht="60" x14ac:dyDescent="0.25">
      <c r="A2420" s="24" t="str">
        <f>HYPERLINK("https://www.cpso.on.ca/DoctorDetails/Walter-Hoe/0047791-61769","Hoe, Walter")</f>
        <v>Hoe, Walter</v>
      </c>
      <c r="B2420" s="25" t="s">
        <v>22378</v>
      </c>
      <c r="C2420" s="24" t="s">
        <v>22379</v>
      </c>
      <c r="D2420" s="24" t="s">
        <v>22380</v>
      </c>
      <c r="E2420" s="24" t="s">
        <v>22381</v>
      </c>
      <c r="F2420" s="24" t="s">
        <v>30</v>
      </c>
      <c r="G2420" s="24" t="s">
        <v>31</v>
      </c>
      <c r="H2420" s="24" t="s">
        <v>3429</v>
      </c>
      <c r="I2420" s="24" t="s">
        <v>22382</v>
      </c>
      <c r="J2420" s="24" t="s">
        <v>3072</v>
      </c>
      <c r="K2420" s="24"/>
      <c r="L2420" s="24" t="s">
        <v>84</v>
      </c>
      <c r="M2420" s="15"/>
      <c r="N2420" s="15"/>
      <c r="O2420" s="15" t="s">
        <v>22383</v>
      </c>
      <c r="P2420" s="15" t="s">
        <v>15661</v>
      </c>
      <c r="Q2420" s="15" t="s">
        <v>22384</v>
      </c>
      <c r="R2420" s="15" t="s">
        <v>22385</v>
      </c>
      <c r="S2420" s="24" t="s">
        <v>39</v>
      </c>
      <c r="T2420" s="24" t="s">
        <v>39</v>
      </c>
      <c r="U2420" s="24" t="s">
        <v>39</v>
      </c>
      <c r="V2420" s="24" t="s">
        <v>39</v>
      </c>
      <c r="W2420" s="24" t="s">
        <v>22386</v>
      </c>
      <c r="X2420" s="24" t="s">
        <v>22387</v>
      </c>
      <c r="Y2420" s="15" t="s">
        <v>22388</v>
      </c>
      <c r="Z2420" s="15" t="s">
        <v>22389</v>
      </c>
      <c r="AA2420" s="24"/>
      <c r="AB2420" s="24"/>
      <c r="AC2420" s="24"/>
      <c r="AD2420" s="24"/>
      <c r="AE2420" s="24"/>
      <c r="AF2420" s="24"/>
      <c r="AG2420" s="24"/>
      <c r="AH2420" s="24"/>
    </row>
    <row r="2421" spans="1:34" ht="30" x14ac:dyDescent="0.25">
      <c r="A2421" s="24" t="str">
        <f>HYPERLINK("https://www.cpso.on.ca/DoctorDetails/Walter-Michael-Potoczny/0026413-31236","Potoczny, Walter Michael")</f>
        <v>Potoczny, Walter Michael</v>
      </c>
      <c r="B2421" s="25" t="s">
        <v>22390</v>
      </c>
      <c r="C2421" s="24" t="s">
        <v>5820</v>
      </c>
      <c r="D2421" s="24" t="s">
        <v>22391</v>
      </c>
      <c r="E2421" s="24" t="s">
        <v>29</v>
      </c>
      <c r="F2421" s="24" t="s">
        <v>30</v>
      </c>
      <c r="G2421" s="24" t="s">
        <v>31</v>
      </c>
      <c r="H2421" s="24" t="s">
        <v>14857</v>
      </c>
      <c r="I2421" s="24" t="s">
        <v>22392</v>
      </c>
      <c r="J2421" s="24" t="s">
        <v>22393</v>
      </c>
      <c r="K2421" s="24" t="s">
        <v>22394</v>
      </c>
      <c r="L2421" s="24" t="s">
        <v>84</v>
      </c>
      <c r="M2421" s="15"/>
      <c r="N2421" s="15"/>
      <c r="O2421" s="15"/>
      <c r="P2421" s="15" t="s">
        <v>316</v>
      </c>
      <c r="Q2421" s="15"/>
      <c r="R2421" s="15" t="s">
        <v>22395</v>
      </c>
      <c r="S2421" s="24" t="s">
        <v>39</v>
      </c>
      <c r="T2421" s="24" t="s">
        <v>39</v>
      </c>
      <c r="U2421" s="24" t="s">
        <v>39</v>
      </c>
      <c r="V2421" s="24" t="s">
        <v>39</v>
      </c>
      <c r="W2421" s="24" t="s">
        <v>22396</v>
      </c>
      <c r="X2421" s="24" t="s">
        <v>7357</v>
      </c>
      <c r="Y2421" s="15" t="s">
        <v>22397</v>
      </c>
      <c r="Z2421" s="15" t="s">
        <v>22398</v>
      </c>
      <c r="AA2421" s="24"/>
      <c r="AB2421" s="24"/>
      <c r="AC2421" s="24"/>
      <c r="AD2421" s="24"/>
      <c r="AE2421" s="24"/>
      <c r="AF2421" s="24"/>
      <c r="AG2421" s="24"/>
      <c r="AH2421" s="24"/>
    </row>
    <row r="2422" spans="1:34" x14ac:dyDescent="0.25">
      <c r="A2422" s="24" t="str">
        <f>HYPERLINK("https://www.cpso.on.ca/DoctorDetails/Walter-Zielonko/0011978-16754","Zielonko, Walter")</f>
        <v>Zielonko, Walter</v>
      </c>
      <c r="B2422" s="25" t="s">
        <v>22399</v>
      </c>
      <c r="C2422" s="24" t="s">
        <v>22400</v>
      </c>
      <c r="D2422" s="24" t="s">
        <v>22401</v>
      </c>
      <c r="E2422" s="24" t="s">
        <v>29</v>
      </c>
      <c r="F2422" s="24" t="s">
        <v>30</v>
      </c>
      <c r="G2422" s="24" t="s">
        <v>31</v>
      </c>
      <c r="H2422" s="24" t="s">
        <v>16987</v>
      </c>
      <c r="I2422" s="24" t="s">
        <v>107</v>
      </c>
      <c r="J2422" s="24"/>
      <c r="K2422" s="24"/>
      <c r="L2422" s="24"/>
      <c r="M2422" s="15"/>
      <c r="N2422" s="15"/>
      <c r="O2422" s="15"/>
      <c r="P2422" s="15" t="s">
        <v>3138</v>
      </c>
      <c r="Q2422" s="15"/>
      <c r="R2422" s="15" t="s">
        <v>22402</v>
      </c>
      <c r="S2422" s="24" t="s">
        <v>39</v>
      </c>
      <c r="T2422" s="24" t="s">
        <v>39</v>
      </c>
      <c r="U2422" s="24" t="s">
        <v>39</v>
      </c>
      <c r="V2422" s="24" t="s">
        <v>39</v>
      </c>
      <c r="W2422" s="24"/>
      <c r="X2422" s="24"/>
      <c r="Y2422" s="15"/>
      <c r="Z2422" s="15"/>
      <c r="AA2422" s="24"/>
      <c r="AB2422" s="24"/>
      <c r="AC2422" s="24"/>
      <c r="AD2422" s="24"/>
      <c r="AE2422" s="24"/>
      <c r="AF2422" s="24"/>
      <c r="AG2422" s="24"/>
      <c r="AH2422" s="24"/>
    </row>
    <row r="2423" spans="1:34" x14ac:dyDescent="0.25">
      <c r="A2423" s="24" t="str">
        <f>HYPERLINK("https://www.cpso.on.ca/DoctorDetails/Warren-Steiner/0047529-61507","Steiner, Warren")</f>
        <v>Steiner, Warren</v>
      </c>
      <c r="B2423" s="25" t="s">
        <v>22403</v>
      </c>
      <c r="C2423" s="24" t="s">
        <v>22404</v>
      </c>
      <c r="D2423" s="24" t="s">
        <v>22405</v>
      </c>
      <c r="E2423" s="24" t="s">
        <v>29</v>
      </c>
      <c r="F2423" s="24" t="s">
        <v>30</v>
      </c>
      <c r="G2423" s="24" t="s">
        <v>813</v>
      </c>
      <c r="H2423" s="24" t="s">
        <v>5070</v>
      </c>
      <c r="I2423" s="24" t="s">
        <v>22406</v>
      </c>
      <c r="J2423" s="24" t="s">
        <v>22407</v>
      </c>
      <c r="K2423" s="24" t="s">
        <v>22408</v>
      </c>
      <c r="L2423" s="24"/>
      <c r="M2423" s="15"/>
      <c r="N2423" s="15" t="s">
        <v>710</v>
      </c>
      <c r="O2423" s="15"/>
      <c r="P2423" s="15" t="s">
        <v>868</v>
      </c>
      <c r="Q2423" s="15"/>
      <c r="R2423" s="15" t="s">
        <v>22409</v>
      </c>
      <c r="S2423" s="24" t="s">
        <v>39</v>
      </c>
      <c r="T2423" s="24" t="s">
        <v>39</v>
      </c>
      <c r="U2423" s="24" t="s">
        <v>39</v>
      </c>
      <c r="V2423" s="24" t="s">
        <v>39</v>
      </c>
      <c r="W2423" s="24"/>
      <c r="X2423" s="24"/>
      <c r="Y2423" s="15"/>
      <c r="Z2423" s="15"/>
      <c r="AA2423" s="24"/>
      <c r="AB2423" s="24"/>
      <c r="AC2423" s="24"/>
      <c r="AD2423" s="24"/>
      <c r="AE2423" s="24"/>
      <c r="AF2423" s="24"/>
      <c r="AG2423" s="24"/>
      <c r="AH2423" s="24"/>
    </row>
    <row r="2424" spans="1:34" ht="120" x14ac:dyDescent="0.25">
      <c r="A2424" s="24" t="str">
        <f>HYPERLINK("https://www.cpso.on.ca/DoctorDetails/Wassim-George-Farid-Soliman/0162431-81965","Soliman, Wassim George Farid")</f>
        <v>Soliman, Wassim George Farid</v>
      </c>
      <c r="B2424" s="25" t="s">
        <v>22410</v>
      </c>
      <c r="C2424" s="24" t="s">
        <v>442</v>
      </c>
      <c r="D2424" s="24" t="s">
        <v>20186</v>
      </c>
      <c r="E2424" s="24" t="s">
        <v>29</v>
      </c>
      <c r="F2424" s="24" t="s">
        <v>30</v>
      </c>
      <c r="G2424" s="24" t="s">
        <v>105</v>
      </c>
      <c r="H2424" s="24" t="s">
        <v>22411</v>
      </c>
      <c r="I2424" s="24" t="s">
        <v>22412</v>
      </c>
      <c r="J2424" s="24" t="s">
        <v>22413</v>
      </c>
      <c r="K2424" s="24"/>
      <c r="L2424" s="24" t="s">
        <v>184</v>
      </c>
      <c r="M2424" s="15" t="s">
        <v>22414</v>
      </c>
      <c r="N2424" s="15"/>
      <c r="O2424" s="15" t="s">
        <v>2169</v>
      </c>
      <c r="P2424" s="15" t="s">
        <v>18019</v>
      </c>
      <c r="Q2424" s="15"/>
      <c r="R2424" s="15" t="s">
        <v>22415</v>
      </c>
      <c r="S2424" s="24" t="s">
        <v>71</v>
      </c>
      <c r="T2424" s="24" t="s">
        <v>39</v>
      </c>
      <c r="U2424" s="24" t="s">
        <v>39</v>
      </c>
      <c r="V2424" s="24" t="s">
        <v>39</v>
      </c>
      <c r="W2424" s="24" t="s">
        <v>22416</v>
      </c>
      <c r="X2424" s="24" t="s">
        <v>10446</v>
      </c>
      <c r="Y2424" s="15" t="s">
        <v>22417</v>
      </c>
      <c r="Z2424" s="15" t="s">
        <v>22418</v>
      </c>
      <c r="AA2424" s="24"/>
      <c r="AB2424" s="24"/>
      <c r="AC2424" s="24"/>
      <c r="AD2424" s="24"/>
      <c r="AE2424" s="24"/>
      <c r="AF2424" s="24"/>
      <c r="AG2424" s="24"/>
      <c r="AH2424" s="24"/>
    </row>
    <row r="2425" spans="1:34" ht="75" x14ac:dyDescent="0.25">
      <c r="A2425" s="24" t="str">
        <f>HYPERLINK("https://www.cpso.on.ca/DoctorDetails/Wayne-Cliffton-Verlint-Baici/0232724-84262","Baici, Wayne Cliffton Verlint")</f>
        <v>Baici, Wayne Cliffton Verlint</v>
      </c>
      <c r="B2425" s="25" t="s">
        <v>22419</v>
      </c>
      <c r="C2425" s="24" t="s">
        <v>647</v>
      </c>
      <c r="D2425" s="24" t="s">
        <v>648</v>
      </c>
      <c r="E2425" s="24" t="s">
        <v>29</v>
      </c>
      <c r="F2425" s="24" t="s">
        <v>30</v>
      </c>
      <c r="G2425" s="24" t="s">
        <v>31</v>
      </c>
      <c r="H2425" s="24" t="s">
        <v>2613</v>
      </c>
      <c r="I2425" s="24" t="s">
        <v>22420</v>
      </c>
      <c r="J2425" s="24" t="s">
        <v>22421</v>
      </c>
      <c r="K2425" s="24" t="s">
        <v>4960</v>
      </c>
      <c r="L2425" s="24" t="s">
        <v>52</v>
      </c>
      <c r="M2425" s="15"/>
      <c r="N2425" s="15"/>
      <c r="O2425" s="15" t="s">
        <v>793</v>
      </c>
      <c r="P2425" s="15" t="s">
        <v>654</v>
      </c>
      <c r="Q2425" s="15" t="s">
        <v>655</v>
      </c>
      <c r="R2425" s="15" t="s">
        <v>656</v>
      </c>
      <c r="S2425" s="24" t="s">
        <v>39</v>
      </c>
      <c r="T2425" s="24" t="s">
        <v>39</v>
      </c>
      <c r="U2425" s="24" t="s">
        <v>39</v>
      </c>
      <c r="V2425" s="24" t="s">
        <v>39</v>
      </c>
      <c r="W2425" s="24"/>
      <c r="X2425" s="24"/>
      <c r="Y2425" s="15"/>
      <c r="Z2425" s="15"/>
      <c r="AA2425" s="24"/>
      <c r="AB2425" s="24"/>
      <c r="AC2425" s="24"/>
      <c r="AD2425" s="24"/>
      <c r="AE2425" s="24"/>
      <c r="AF2425" s="24"/>
      <c r="AG2425" s="24"/>
      <c r="AH2425" s="24"/>
    </row>
    <row r="2426" spans="1:34" ht="75" x14ac:dyDescent="0.25">
      <c r="A2426" s="24" t="str">
        <f>HYPERLINK("https://www.cpso.on.ca/DoctorDetails/Wendy-Ann-Louise-Moore/0056470-68058","Moore, Wendy Ann Louise")</f>
        <v>Moore, Wendy Ann Louise</v>
      </c>
      <c r="B2426" s="25" t="s">
        <v>22422</v>
      </c>
      <c r="C2426" s="24" t="s">
        <v>6240</v>
      </c>
      <c r="D2426" s="24" t="s">
        <v>6241</v>
      </c>
      <c r="E2426" s="24" t="s">
        <v>29</v>
      </c>
      <c r="F2426" s="24" t="s">
        <v>47</v>
      </c>
      <c r="G2426" s="24" t="s">
        <v>31</v>
      </c>
      <c r="H2426" s="24" t="s">
        <v>4768</v>
      </c>
      <c r="I2426" s="24" t="s">
        <v>22423</v>
      </c>
      <c r="J2426" s="24" t="s">
        <v>22424</v>
      </c>
      <c r="K2426" s="24" t="s">
        <v>4720</v>
      </c>
      <c r="L2426" s="24" t="s">
        <v>52</v>
      </c>
      <c r="M2426" s="15"/>
      <c r="N2426" s="15"/>
      <c r="O2426" s="15" t="s">
        <v>271</v>
      </c>
      <c r="P2426" s="15" t="s">
        <v>562</v>
      </c>
      <c r="Q2426" s="15" t="s">
        <v>1678</v>
      </c>
      <c r="R2426" s="15" t="s">
        <v>22425</v>
      </c>
      <c r="S2426" s="24" t="s">
        <v>39</v>
      </c>
      <c r="T2426" s="24" t="s">
        <v>39</v>
      </c>
      <c r="U2426" s="24" t="s">
        <v>39</v>
      </c>
      <c r="V2426" s="24" t="s">
        <v>39</v>
      </c>
      <c r="W2426" s="24" t="s">
        <v>22426</v>
      </c>
      <c r="X2426" s="24" t="s">
        <v>22427</v>
      </c>
      <c r="Y2426" s="15" t="s">
        <v>22428</v>
      </c>
      <c r="Z2426" s="15" t="s">
        <v>22429</v>
      </c>
      <c r="AA2426" s="24"/>
      <c r="AB2426" s="24"/>
      <c r="AC2426" s="24"/>
      <c r="AD2426" s="24"/>
      <c r="AE2426" s="24"/>
      <c r="AF2426" s="24"/>
      <c r="AG2426" s="24"/>
      <c r="AH2426" s="24"/>
    </row>
    <row r="2427" spans="1:34" ht="120" x14ac:dyDescent="0.25">
      <c r="A2427" s="24" t="str">
        <f>HYPERLINK("https://www.cpso.on.ca/DoctorDetails/Wendy-Anne-Cole/0036300-50276","Cole, Wendy Anne")</f>
        <v>Cole, Wendy Anne</v>
      </c>
      <c r="B2427" s="25" t="s">
        <v>22430</v>
      </c>
      <c r="C2427" s="24" t="s">
        <v>3417</v>
      </c>
      <c r="D2427" s="24" t="s">
        <v>22431</v>
      </c>
      <c r="E2427" s="24" t="s">
        <v>29</v>
      </c>
      <c r="F2427" s="24" t="s">
        <v>47</v>
      </c>
      <c r="G2427" s="24" t="s">
        <v>31</v>
      </c>
      <c r="H2427" s="24" t="s">
        <v>13157</v>
      </c>
      <c r="I2427" s="24" t="s">
        <v>11875</v>
      </c>
      <c r="J2427" s="24" t="s">
        <v>22432</v>
      </c>
      <c r="K2427" s="24" t="s">
        <v>22433</v>
      </c>
      <c r="L2427" s="24" t="s">
        <v>84</v>
      </c>
      <c r="M2427" s="15"/>
      <c r="N2427" s="15"/>
      <c r="O2427" s="15" t="s">
        <v>549</v>
      </c>
      <c r="P2427" s="15" t="s">
        <v>1877</v>
      </c>
      <c r="Q2427" s="15" t="s">
        <v>22434</v>
      </c>
      <c r="R2427" s="15" t="s">
        <v>22435</v>
      </c>
      <c r="S2427" s="24" t="s">
        <v>39</v>
      </c>
      <c r="T2427" s="24" t="s">
        <v>39</v>
      </c>
      <c r="U2427" s="24" t="s">
        <v>39</v>
      </c>
      <c r="V2427" s="24" t="s">
        <v>39</v>
      </c>
      <c r="W2427" s="24" t="s">
        <v>22436</v>
      </c>
      <c r="X2427" s="24" t="s">
        <v>22437</v>
      </c>
      <c r="Y2427" s="15" t="s">
        <v>22438</v>
      </c>
      <c r="Z2427" s="15" t="s">
        <v>22439</v>
      </c>
      <c r="AA2427" s="24"/>
      <c r="AB2427" s="24"/>
      <c r="AC2427" s="24"/>
      <c r="AD2427" s="24"/>
      <c r="AE2427" s="24"/>
      <c r="AF2427" s="24"/>
      <c r="AG2427" s="24"/>
      <c r="AH2427" s="24"/>
    </row>
    <row r="2428" spans="1:34" ht="90" x14ac:dyDescent="0.25">
      <c r="A2428" s="24" t="str">
        <f>HYPERLINK("https://www.cpso.on.ca/DoctorDetails/Wendy-Jill-Spettigue/0049725-63703","Spettigue, Wendy Jill")</f>
        <v>Spettigue, Wendy Jill</v>
      </c>
      <c r="B2428" s="25" t="s">
        <v>22440</v>
      </c>
      <c r="C2428" s="24" t="s">
        <v>5078</v>
      </c>
      <c r="D2428" s="24" t="s">
        <v>22441</v>
      </c>
      <c r="E2428" s="24" t="s">
        <v>29</v>
      </c>
      <c r="F2428" s="24" t="s">
        <v>47</v>
      </c>
      <c r="G2428" s="24" t="s">
        <v>31</v>
      </c>
      <c r="H2428" s="24" t="s">
        <v>10224</v>
      </c>
      <c r="I2428" s="24" t="s">
        <v>22442</v>
      </c>
      <c r="J2428" s="24" t="s">
        <v>22443</v>
      </c>
      <c r="K2428" s="24"/>
      <c r="L2428" s="24" t="s">
        <v>84</v>
      </c>
      <c r="M2428" s="15"/>
      <c r="N2428" s="15"/>
      <c r="O2428" s="15" t="s">
        <v>2156</v>
      </c>
      <c r="P2428" s="15" t="s">
        <v>6637</v>
      </c>
      <c r="Q2428" s="15" t="s">
        <v>22444</v>
      </c>
      <c r="R2428" s="15" t="s">
        <v>22445</v>
      </c>
      <c r="S2428" s="24" t="s">
        <v>39</v>
      </c>
      <c r="T2428" s="24" t="s">
        <v>39</v>
      </c>
      <c r="U2428" s="24" t="s">
        <v>39</v>
      </c>
      <c r="V2428" s="24" t="s">
        <v>39</v>
      </c>
      <c r="W2428" s="24" t="s">
        <v>22446</v>
      </c>
      <c r="X2428" s="24" t="s">
        <v>22447</v>
      </c>
      <c r="Y2428" s="15" t="s">
        <v>22448</v>
      </c>
      <c r="Z2428" s="15" t="s">
        <v>22449</v>
      </c>
      <c r="AA2428" s="24"/>
      <c r="AB2428" s="24"/>
      <c r="AC2428" s="24"/>
      <c r="AD2428" s="24"/>
      <c r="AE2428" s="24"/>
      <c r="AF2428" s="24"/>
      <c r="AG2428" s="24"/>
      <c r="AH2428" s="24"/>
    </row>
    <row r="2429" spans="1:34" ht="30" x14ac:dyDescent="0.25">
      <c r="A2429" s="24" t="str">
        <f>HYPERLINK("https://www.cpso.on.ca/DoctorDetails/Wendy-Wing-Sze-Yiu/0051582-65561","Yiu, Wendy Wing Sze")</f>
        <v>Yiu, Wendy Wing Sze</v>
      </c>
      <c r="B2429" s="25" t="s">
        <v>22450</v>
      </c>
      <c r="C2429" s="24" t="s">
        <v>296</v>
      </c>
      <c r="D2429" s="24" t="s">
        <v>297</v>
      </c>
      <c r="E2429" s="24" t="s">
        <v>29</v>
      </c>
      <c r="F2429" s="24" t="s">
        <v>47</v>
      </c>
      <c r="G2429" s="24" t="s">
        <v>1392</v>
      </c>
      <c r="H2429" s="24" t="s">
        <v>14176</v>
      </c>
      <c r="I2429" s="24" t="s">
        <v>22451</v>
      </c>
      <c r="J2429" s="24" t="s">
        <v>22452</v>
      </c>
      <c r="K2429" s="24" t="s">
        <v>22453</v>
      </c>
      <c r="L2429" s="24" t="s">
        <v>52</v>
      </c>
      <c r="M2429" s="15"/>
      <c r="N2429" s="15"/>
      <c r="O2429" s="15"/>
      <c r="P2429" s="15" t="s">
        <v>10990</v>
      </c>
      <c r="Q2429" s="15" t="s">
        <v>8938</v>
      </c>
      <c r="R2429" s="15" t="s">
        <v>305</v>
      </c>
      <c r="S2429" s="24" t="s">
        <v>39</v>
      </c>
      <c r="T2429" s="24" t="s">
        <v>39</v>
      </c>
      <c r="U2429" s="24" t="s">
        <v>39</v>
      </c>
      <c r="V2429" s="24" t="s">
        <v>39</v>
      </c>
      <c r="W2429" s="24" t="s">
        <v>22454</v>
      </c>
      <c r="X2429" s="24" t="s">
        <v>22455</v>
      </c>
      <c r="Y2429" s="15" t="s">
        <v>22456</v>
      </c>
      <c r="Z2429" s="15" t="s">
        <v>22457</v>
      </c>
      <c r="AA2429" s="24"/>
      <c r="AB2429" s="24"/>
      <c r="AC2429" s="24"/>
      <c r="AD2429" s="24"/>
      <c r="AE2429" s="24"/>
      <c r="AF2429" s="24"/>
      <c r="AG2429" s="24"/>
      <c r="AH2429" s="24"/>
    </row>
    <row r="2430" spans="1:34" ht="135" x14ac:dyDescent="0.25">
      <c r="A2430" s="24" t="str">
        <f>HYPERLINK("https://www.cpso.on.ca/DoctorDetails/Wesley-Fredrick-Sutton/0266253-93688","Sutton, Wesley Fredrick")</f>
        <v>Sutton, Wesley Fredrick</v>
      </c>
      <c r="B2430" s="25" t="s">
        <v>22458</v>
      </c>
      <c r="C2430" s="24" t="s">
        <v>15261</v>
      </c>
      <c r="D2430" s="24" t="s">
        <v>571</v>
      </c>
      <c r="E2430" s="24" t="s">
        <v>29</v>
      </c>
      <c r="F2430" s="24" t="s">
        <v>30</v>
      </c>
      <c r="G2430" s="24" t="s">
        <v>31</v>
      </c>
      <c r="H2430" s="24" t="s">
        <v>21960</v>
      </c>
      <c r="I2430" s="24" t="s">
        <v>22459</v>
      </c>
      <c r="J2430" s="24" t="s">
        <v>22460</v>
      </c>
      <c r="K2430" s="24"/>
      <c r="L2430" s="24" t="s">
        <v>184</v>
      </c>
      <c r="M2430" s="15"/>
      <c r="N2430" s="15"/>
      <c r="O2430" s="15" t="s">
        <v>19743</v>
      </c>
      <c r="P2430" s="15" t="s">
        <v>7789</v>
      </c>
      <c r="Q2430" s="15" t="s">
        <v>22461</v>
      </c>
      <c r="R2430" s="15" t="s">
        <v>22462</v>
      </c>
      <c r="S2430" s="24" t="s">
        <v>39</v>
      </c>
      <c r="T2430" s="24" t="s">
        <v>39</v>
      </c>
      <c r="U2430" s="24" t="s">
        <v>39</v>
      </c>
      <c r="V2430" s="24" t="s">
        <v>39</v>
      </c>
      <c r="W2430" s="24" t="s">
        <v>22463</v>
      </c>
      <c r="X2430" s="24" t="s">
        <v>22464</v>
      </c>
      <c r="Y2430" s="15" t="s">
        <v>22465</v>
      </c>
      <c r="Z2430" s="15" t="s">
        <v>22466</v>
      </c>
      <c r="AA2430" s="24"/>
      <c r="AB2430" s="24"/>
      <c r="AC2430" s="24"/>
      <c r="AD2430" s="24"/>
      <c r="AE2430" s="24"/>
      <c r="AF2430" s="24"/>
      <c r="AG2430" s="24"/>
      <c r="AH2430" s="24"/>
    </row>
    <row r="2431" spans="1:34" x14ac:dyDescent="0.25">
      <c r="A2431" s="24" t="str">
        <f>HYPERLINK("https://www.cpso.on.ca/DoctorDetails/William-Andrew-Look-Hong/0026964-31787","Look Hong, William Andrew")</f>
        <v>Look Hong, William Andrew</v>
      </c>
      <c r="B2431" s="25" t="s">
        <v>22467</v>
      </c>
      <c r="C2431" s="24" t="s">
        <v>22468</v>
      </c>
      <c r="D2431" s="24" t="s">
        <v>22469</v>
      </c>
      <c r="E2431" s="24" t="s">
        <v>29</v>
      </c>
      <c r="F2431" s="24" t="s">
        <v>30</v>
      </c>
      <c r="G2431" s="24" t="s">
        <v>22470</v>
      </c>
      <c r="H2431" s="24" t="s">
        <v>22471</v>
      </c>
      <c r="I2431" s="24" t="s">
        <v>243</v>
      </c>
      <c r="J2431" s="24" t="s">
        <v>22472</v>
      </c>
      <c r="K2431" s="24" t="s">
        <v>5935</v>
      </c>
      <c r="L2431" s="24" t="s">
        <v>36</v>
      </c>
      <c r="M2431" s="15"/>
      <c r="N2431" s="15"/>
      <c r="O2431" s="15"/>
      <c r="P2431" s="15" t="s">
        <v>3299</v>
      </c>
      <c r="Q2431" s="15"/>
      <c r="R2431" s="15" t="s">
        <v>22473</v>
      </c>
      <c r="S2431" s="24" t="s">
        <v>39</v>
      </c>
      <c r="T2431" s="24" t="s">
        <v>39</v>
      </c>
      <c r="U2431" s="24" t="s">
        <v>39</v>
      </c>
      <c r="V2431" s="24" t="s">
        <v>39</v>
      </c>
      <c r="W2431" s="24" t="s">
        <v>22474</v>
      </c>
      <c r="X2431" s="24" t="s">
        <v>22475</v>
      </c>
      <c r="Y2431" s="15" t="s">
        <v>22476</v>
      </c>
      <c r="Z2431" s="15" t="s">
        <v>22477</v>
      </c>
      <c r="AA2431" s="24"/>
      <c r="AB2431" s="24"/>
      <c r="AC2431" s="24"/>
      <c r="AD2431" s="24"/>
      <c r="AE2431" s="24"/>
      <c r="AF2431" s="24"/>
      <c r="AG2431" s="24"/>
      <c r="AH2431" s="24"/>
    </row>
    <row r="2432" spans="1:34" ht="30" x14ac:dyDescent="0.25">
      <c r="A2432" s="24" t="str">
        <f>HYPERLINK("https://www.cpso.on.ca/DoctorDetails/William-Henry-Gnam/0046038-60016","Gnam, William Henry")</f>
        <v>Gnam, William Henry</v>
      </c>
      <c r="B2432" s="25" t="s">
        <v>22478</v>
      </c>
      <c r="C2432" s="24" t="s">
        <v>2286</v>
      </c>
      <c r="D2432" s="24" t="s">
        <v>22479</v>
      </c>
      <c r="E2432" s="24" t="s">
        <v>29</v>
      </c>
      <c r="F2432" s="24" t="s">
        <v>30</v>
      </c>
      <c r="G2432" s="24" t="s">
        <v>813</v>
      </c>
      <c r="H2432" s="24" t="s">
        <v>22480</v>
      </c>
      <c r="I2432" s="24" t="s">
        <v>15789</v>
      </c>
      <c r="J2432" s="24" t="s">
        <v>22481</v>
      </c>
      <c r="K2432" s="24" t="s">
        <v>13275</v>
      </c>
      <c r="L2432" s="24" t="s">
        <v>52</v>
      </c>
      <c r="M2432" s="15"/>
      <c r="N2432" s="15"/>
      <c r="O2432" s="15"/>
      <c r="P2432" s="15" t="s">
        <v>1007</v>
      </c>
      <c r="Q2432" s="15" t="s">
        <v>11923</v>
      </c>
      <c r="R2432" s="15" t="s">
        <v>22482</v>
      </c>
      <c r="S2432" s="24" t="s">
        <v>39</v>
      </c>
      <c r="T2432" s="24" t="s">
        <v>39</v>
      </c>
      <c r="U2432" s="24" t="s">
        <v>39</v>
      </c>
      <c r="V2432" s="24" t="s">
        <v>39</v>
      </c>
      <c r="W2432" s="24" t="s">
        <v>22483</v>
      </c>
      <c r="X2432" s="24" t="s">
        <v>22484</v>
      </c>
      <c r="Y2432" s="15" t="s">
        <v>22485</v>
      </c>
      <c r="Z2432" s="15" t="s">
        <v>22486</v>
      </c>
      <c r="AA2432" s="24"/>
      <c r="AB2432" s="24"/>
      <c r="AC2432" s="24"/>
      <c r="AD2432" s="24"/>
      <c r="AE2432" s="24"/>
      <c r="AF2432" s="24"/>
      <c r="AG2432" s="24"/>
      <c r="AH2432" s="24"/>
    </row>
    <row r="2433" spans="1:34" ht="30" x14ac:dyDescent="0.25">
      <c r="A2433" s="24" t="str">
        <f>HYPERLINK("https://www.cpso.on.ca/DoctorDetails/William-Herbert-Sulis/0028216-33039","Sulis, William Herbert")</f>
        <v>Sulis, William Herbert</v>
      </c>
      <c r="B2433" s="25" t="s">
        <v>22487</v>
      </c>
      <c r="C2433" s="24" t="s">
        <v>22488</v>
      </c>
      <c r="D2433" s="24" t="s">
        <v>22489</v>
      </c>
      <c r="E2433" s="24" t="s">
        <v>29</v>
      </c>
      <c r="F2433" s="24" t="s">
        <v>30</v>
      </c>
      <c r="G2433" s="24" t="s">
        <v>31</v>
      </c>
      <c r="H2433" s="24" t="s">
        <v>6296</v>
      </c>
      <c r="I2433" s="24" t="s">
        <v>22490</v>
      </c>
      <c r="J2433" s="24" t="s">
        <v>22491</v>
      </c>
      <c r="K2433" s="24"/>
      <c r="L2433" s="24" t="s">
        <v>184</v>
      </c>
      <c r="M2433" s="15" t="s">
        <v>22492</v>
      </c>
      <c r="N2433" s="15"/>
      <c r="O2433" s="15" t="s">
        <v>22493</v>
      </c>
      <c r="P2433" s="15" t="s">
        <v>22494</v>
      </c>
      <c r="Q2433" s="15"/>
      <c r="R2433" s="15" t="s">
        <v>22495</v>
      </c>
      <c r="S2433" s="24" t="s">
        <v>39</v>
      </c>
      <c r="T2433" s="24" t="s">
        <v>39</v>
      </c>
      <c r="U2433" s="24" t="s">
        <v>39</v>
      </c>
      <c r="V2433" s="24" t="s">
        <v>39</v>
      </c>
      <c r="W2433" s="24"/>
      <c r="X2433" s="24"/>
      <c r="Y2433" s="15"/>
      <c r="Z2433" s="15"/>
      <c r="AA2433" s="24"/>
      <c r="AB2433" s="24"/>
      <c r="AC2433" s="24"/>
      <c r="AD2433" s="24"/>
      <c r="AE2433" s="24"/>
      <c r="AF2433" s="24"/>
      <c r="AG2433" s="24"/>
      <c r="AH2433" s="24"/>
    </row>
    <row r="2434" spans="1:34" ht="45" x14ac:dyDescent="0.25">
      <c r="A2434" s="24" t="str">
        <f>HYPERLINK("https://www.cpso.on.ca/DoctorDetails/William-Holt-Wehrspann/0023124-27915","Wehrspann, William Holt")</f>
        <v>Wehrspann, William Holt</v>
      </c>
      <c r="B2434" s="25" t="s">
        <v>22496</v>
      </c>
      <c r="C2434" s="24" t="s">
        <v>3973</v>
      </c>
      <c r="D2434" s="24" t="s">
        <v>3974</v>
      </c>
      <c r="E2434" s="24" t="s">
        <v>29</v>
      </c>
      <c r="F2434" s="24" t="s">
        <v>30</v>
      </c>
      <c r="G2434" s="24" t="s">
        <v>31</v>
      </c>
      <c r="H2434" s="24" t="s">
        <v>22497</v>
      </c>
      <c r="I2434" s="24" t="s">
        <v>22498</v>
      </c>
      <c r="J2434" s="24" t="s">
        <v>22499</v>
      </c>
      <c r="K2434" s="24" t="s">
        <v>22500</v>
      </c>
      <c r="L2434" s="24" t="s">
        <v>52</v>
      </c>
      <c r="M2434" s="15"/>
      <c r="N2434" s="15"/>
      <c r="O2434" s="15"/>
      <c r="P2434" s="15" t="s">
        <v>6465</v>
      </c>
      <c r="Q2434" s="15"/>
      <c r="R2434" s="15" t="s">
        <v>22501</v>
      </c>
      <c r="S2434" s="24" t="s">
        <v>39</v>
      </c>
      <c r="T2434" s="24" t="s">
        <v>39</v>
      </c>
      <c r="U2434" s="24" t="s">
        <v>39</v>
      </c>
      <c r="V2434" s="24" t="s">
        <v>39</v>
      </c>
      <c r="W2434" s="24" t="s">
        <v>22502</v>
      </c>
      <c r="X2434" s="24" t="s">
        <v>22503</v>
      </c>
      <c r="Y2434" s="15" t="s">
        <v>22504</v>
      </c>
      <c r="Z2434" s="15" t="s">
        <v>22505</v>
      </c>
      <c r="AA2434" s="24"/>
      <c r="AB2434" s="24"/>
      <c r="AC2434" s="24"/>
      <c r="AD2434" s="24"/>
      <c r="AE2434" s="24"/>
      <c r="AF2434" s="24"/>
      <c r="AG2434" s="24"/>
      <c r="AH2434" s="24"/>
    </row>
    <row r="2435" spans="1:34" ht="60" x14ac:dyDescent="0.25">
      <c r="A2435" s="24" t="str">
        <f>HYPERLINK("https://www.cpso.on.ca/DoctorDetails/William-Hunter-Johnston/0026792-31615","Johnston, William Hunter")</f>
        <v>Johnston, William Hunter</v>
      </c>
      <c r="B2435" s="25" t="s">
        <v>22506</v>
      </c>
      <c r="C2435" s="24" t="s">
        <v>16731</v>
      </c>
      <c r="D2435" s="24" t="s">
        <v>22507</v>
      </c>
      <c r="E2435" s="24" t="s">
        <v>29</v>
      </c>
      <c r="F2435" s="24" t="s">
        <v>30</v>
      </c>
      <c r="G2435" s="24" t="s">
        <v>31</v>
      </c>
      <c r="H2435" s="24" t="s">
        <v>2916</v>
      </c>
      <c r="I2435" s="24" t="s">
        <v>22508</v>
      </c>
      <c r="J2435" s="24" t="s">
        <v>22509</v>
      </c>
      <c r="K2435" s="24"/>
      <c r="L2435" s="24" t="s">
        <v>36</v>
      </c>
      <c r="M2435" s="15"/>
      <c r="N2435" s="15"/>
      <c r="O2435" s="15" t="s">
        <v>22510</v>
      </c>
      <c r="P2435" s="15" t="s">
        <v>4499</v>
      </c>
      <c r="Q2435" s="15" t="s">
        <v>22511</v>
      </c>
      <c r="R2435" s="15" t="s">
        <v>22512</v>
      </c>
      <c r="S2435" s="24" t="s">
        <v>39</v>
      </c>
      <c r="T2435" s="24" t="s">
        <v>39</v>
      </c>
      <c r="U2435" s="24" t="s">
        <v>39</v>
      </c>
      <c r="V2435" s="24" t="s">
        <v>39</v>
      </c>
      <c r="W2435" s="24" t="s">
        <v>22513</v>
      </c>
      <c r="X2435" s="24" t="s">
        <v>22514</v>
      </c>
      <c r="Y2435" s="15" t="s">
        <v>22515</v>
      </c>
      <c r="Z2435" s="15" t="s">
        <v>22516</v>
      </c>
      <c r="AA2435" s="24"/>
      <c r="AB2435" s="24"/>
      <c r="AC2435" s="24"/>
      <c r="AD2435" s="24"/>
      <c r="AE2435" s="24"/>
      <c r="AF2435" s="24"/>
      <c r="AG2435" s="24"/>
      <c r="AH2435" s="24"/>
    </row>
    <row r="2436" spans="1:34" ht="60" x14ac:dyDescent="0.25">
      <c r="A2436" s="24" t="str">
        <f>HYPERLINK("https://www.cpso.on.ca/DoctorDetails/William-John-Snelgrove/0245474-87818","Snelgrove, William John")</f>
        <v>Snelgrove, William John</v>
      </c>
      <c r="B2436" s="25" t="s">
        <v>22517</v>
      </c>
      <c r="C2436" s="24" t="s">
        <v>22518</v>
      </c>
      <c r="D2436" s="24" t="s">
        <v>1508</v>
      </c>
      <c r="E2436" s="24" t="s">
        <v>29</v>
      </c>
      <c r="F2436" s="24" t="s">
        <v>30</v>
      </c>
      <c r="G2436" s="24" t="s">
        <v>31</v>
      </c>
      <c r="H2436" s="24" t="s">
        <v>2027</v>
      </c>
      <c r="I2436" s="24" t="s">
        <v>22519</v>
      </c>
      <c r="J2436" s="24" t="s">
        <v>22520</v>
      </c>
      <c r="K2436" s="24" t="s">
        <v>22521</v>
      </c>
      <c r="L2436" s="24" t="s">
        <v>152</v>
      </c>
      <c r="M2436" s="15" t="s">
        <v>22522</v>
      </c>
      <c r="N2436" s="15"/>
      <c r="O2436" s="15"/>
      <c r="P2436" s="15" t="s">
        <v>3194</v>
      </c>
      <c r="Q2436" s="15"/>
      <c r="R2436" s="15" t="s">
        <v>22523</v>
      </c>
      <c r="S2436" s="24" t="s">
        <v>39</v>
      </c>
      <c r="T2436" s="24" t="s">
        <v>39</v>
      </c>
      <c r="U2436" s="24" t="s">
        <v>39</v>
      </c>
      <c r="V2436" s="24" t="s">
        <v>39</v>
      </c>
      <c r="W2436" s="24" t="s">
        <v>22524</v>
      </c>
      <c r="X2436" s="24" t="s">
        <v>8351</v>
      </c>
      <c r="Y2436" s="15" t="s">
        <v>22525</v>
      </c>
      <c r="Z2436" s="15" t="s">
        <v>22526</v>
      </c>
      <c r="AA2436" s="24"/>
      <c r="AB2436" s="24"/>
      <c r="AC2436" s="24"/>
      <c r="AD2436" s="24"/>
      <c r="AE2436" s="24"/>
      <c r="AF2436" s="24"/>
      <c r="AG2436" s="24"/>
      <c r="AH2436" s="24"/>
    </row>
    <row r="2437" spans="1:34" ht="75" x14ac:dyDescent="0.25">
      <c r="A2437" s="24" t="str">
        <f>HYPERLINK("https://www.cpso.on.ca/DoctorDetails/William-Joseph-Komer/0041579-55555","Komer, William Joseph")</f>
        <v>Komer, William Joseph</v>
      </c>
      <c r="B2437" s="25" t="s">
        <v>22527</v>
      </c>
      <c r="C2437" s="24" t="s">
        <v>4370</v>
      </c>
      <c r="D2437" s="24" t="s">
        <v>13320</v>
      </c>
      <c r="E2437" s="24" t="s">
        <v>29</v>
      </c>
      <c r="F2437" s="24" t="s">
        <v>30</v>
      </c>
      <c r="G2437" s="24" t="s">
        <v>31</v>
      </c>
      <c r="H2437" s="24" t="s">
        <v>17127</v>
      </c>
      <c r="I2437" s="24" t="s">
        <v>22528</v>
      </c>
      <c r="J2437" s="24" t="s">
        <v>1841</v>
      </c>
      <c r="K2437" s="24"/>
      <c r="L2437" s="24" t="s">
        <v>36</v>
      </c>
      <c r="M2437" s="15" t="s">
        <v>22529</v>
      </c>
      <c r="N2437" s="15"/>
      <c r="O2437" s="15" t="s">
        <v>22530</v>
      </c>
      <c r="P2437" s="15" t="s">
        <v>2908</v>
      </c>
      <c r="Q2437" s="15" t="s">
        <v>22531</v>
      </c>
      <c r="R2437" s="15" t="s">
        <v>22532</v>
      </c>
      <c r="S2437" s="24" t="s">
        <v>39</v>
      </c>
      <c r="T2437" s="24" t="s">
        <v>39</v>
      </c>
      <c r="U2437" s="24" t="s">
        <v>39</v>
      </c>
      <c r="V2437" s="24" t="s">
        <v>39</v>
      </c>
      <c r="W2437" s="24" t="s">
        <v>22533</v>
      </c>
      <c r="X2437" s="24" t="s">
        <v>22534</v>
      </c>
      <c r="Y2437" s="15" t="s">
        <v>22535</v>
      </c>
      <c r="Z2437" s="15" t="s">
        <v>22536</v>
      </c>
      <c r="AA2437" s="24"/>
      <c r="AB2437" s="24"/>
      <c r="AC2437" s="24"/>
      <c r="AD2437" s="24"/>
      <c r="AE2437" s="24"/>
      <c r="AF2437" s="24"/>
      <c r="AG2437" s="24"/>
      <c r="AH2437" s="24"/>
    </row>
    <row r="2438" spans="1:34" ht="105" x14ac:dyDescent="0.25">
      <c r="A2438" s="24" t="str">
        <f>HYPERLINK("https://www.cpso.on.ca/DoctorDetails/William-Yu-Sy/0050604-64583","Sy, William Yu")</f>
        <v>Sy, William Yu</v>
      </c>
      <c r="B2438" s="25" t="s">
        <v>22537</v>
      </c>
      <c r="C2438" s="24" t="s">
        <v>17791</v>
      </c>
      <c r="D2438" s="24" t="s">
        <v>17792</v>
      </c>
      <c r="E2438" s="24" t="s">
        <v>29</v>
      </c>
      <c r="F2438" s="24" t="s">
        <v>30</v>
      </c>
      <c r="G2438" s="24" t="s">
        <v>22538</v>
      </c>
      <c r="H2438" s="24" t="s">
        <v>22539</v>
      </c>
      <c r="I2438" s="24" t="s">
        <v>22540</v>
      </c>
      <c r="J2438" s="24" t="s">
        <v>22541</v>
      </c>
      <c r="K2438" s="24" t="s">
        <v>22542</v>
      </c>
      <c r="L2438" s="24" t="s">
        <v>52</v>
      </c>
      <c r="M2438" s="15"/>
      <c r="N2438" s="15"/>
      <c r="O2438" s="15"/>
      <c r="P2438" s="15" t="s">
        <v>3353</v>
      </c>
      <c r="Q2438" s="15" t="s">
        <v>22543</v>
      </c>
      <c r="R2438" s="15" t="s">
        <v>22544</v>
      </c>
      <c r="S2438" s="24" t="s">
        <v>39</v>
      </c>
      <c r="T2438" s="24" t="s">
        <v>39</v>
      </c>
      <c r="U2438" s="24" t="s">
        <v>39</v>
      </c>
      <c r="V2438" s="24" t="s">
        <v>39</v>
      </c>
      <c r="W2438" s="24"/>
      <c r="X2438" s="24"/>
      <c r="Y2438" s="15"/>
      <c r="Z2438" s="15"/>
      <c r="AA2438" s="24"/>
      <c r="AB2438" s="24"/>
      <c r="AC2438" s="24"/>
      <c r="AD2438" s="24"/>
      <c r="AE2438" s="24"/>
      <c r="AF2438" s="24"/>
      <c r="AG2438" s="24"/>
      <c r="AH2438" s="24"/>
    </row>
    <row r="2439" spans="1:34" ht="75" x14ac:dyDescent="0.25">
      <c r="A2439" s="24" t="str">
        <f>HYPERLINK("https://www.cpso.on.ca/DoctorDetails/Wilson-Moses-Lit/0047413-61391","Lit, Wilson Moses")</f>
        <v>Lit, Wilson Moses</v>
      </c>
      <c r="B2439" s="25" t="s">
        <v>22545</v>
      </c>
      <c r="C2439" s="24" t="s">
        <v>3392</v>
      </c>
      <c r="D2439" s="24" t="s">
        <v>22546</v>
      </c>
      <c r="E2439" s="24" t="s">
        <v>29</v>
      </c>
      <c r="F2439" s="24" t="s">
        <v>30</v>
      </c>
      <c r="G2439" s="24" t="s">
        <v>31</v>
      </c>
      <c r="H2439" s="24" t="s">
        <v>2288</v>
      </c>
      <c r="I2439" s="24" t="s">
        <v>22547</v>
      </c>
      <c r="J2439" s="24" t="s">
        <v>3661</v>
      </c>
      <c r="K2439" s="24"/>
      <c r="L2439" s="24" t="s">
        <v>152</v>
      </c>
      <c r="M2439" s="15"/>
      <c r="N2439" s="15"/>
      <c r="O2439" s="15" t="s">
        <v>1539</v>
      </c>
      <c r="P2439" s="15" t="s">
        <v>1007</v>
      </c>
      <c r="Q2439" s="15" t="s">
        <v>14303</v>
      </c>
      <c r="R2439" s="15" t="s">
        <v>22548</v>
      </c>
      <c r="S2439" s="24" t="s">
        <v>39</v>
      </c>
      <c r="T2439" s="24" t="s">
        <v>39</v>
      </c>
      <c r="U2439" s="24" t="s">
        <v>39</v>
      </c>
      <c r="V2439" s="24" t="s">
        <v>39</v>
      </c>
      <c r="W2439" s="24"/>
      <c r="X2439" s="24"/>
      <c r="Y2439" s="15"/>
      <c r="Z2439" s="15"/>
      <c r="AA2439" s="24"/>
      <c r="AB2439" s="24"/>
      <c r="AC2439" s="24"/>
      <c r="AD2439" s="24"/>
      <c r="AE2439" s="24"/>
      <c r="AF2439" s="24"/>
      <c r="AG2439" s="24"/>
      <c r="AH2439" s="24"/>
    </row>
    <row r="2440" spans="1:34" ht="30" x14ac:dyDescent="0.25">
      <c r="A2440" s="24" t="str">
        <f>HYPERLINK("https://www.cpso.on.ca/DoctorDetails/Winnifred-Mary-Elizabeth-Bishop/0036184-50160","Bishop, Winnifred Mary Elizabeth")</f>
        <v>Bishop, Winnifred Mary Elizabeth</v>
      </c>
      <c r="B2440" s="25" t="s">
        <v>22549</v>
      </c>
      <c r="C2440" s="24" t="s">
        <v>520</v>
      </c>
      <c r="D2440" s="24" t="s">
        <v>3418</v>
      </c>
      <c r="E2440" s="24" t="s">
        <v>29</v>
      </c>
      <c r="F2440" s="24" t="s">
        <v>47</v>
      </c>
      <c r="G2440" s="24" t="s">
        <v>31</v>
      </c>
      <c r="H2440" s="24" t="s">
        <v>1176</v>
      </c>
      <c r="I2440" s="24" t="s">
        <v>22550</v>
      </c>
      <c r="J2440" s="24" t="s">
        <v>22551</v>
      </c>
      <c r="K2440" s="24"/>
      <c r="L2440" s="24" t="s">
        <v>36</v>
      </c>
      <c r="M2440" s="15" t="s">
        <v>22552</v>
      </c>
      <c r="N2440" s="15"/>
      <c r="O2440" s="15"/>
      <c r="P2440" s="15" t="s">
        <v>2541</v>
      </c>
      <c r="Q2440" s="15"/>
      <c r="R2440" s="15" t="s">
        <v>22553</v>
      </c>
      <c r="S2440" s="24" t="s">
        <v>39</v>
      </c>
      <c r="T2440" s="24" t="s">
        <v>39</v>
      </c>
      <c r="U2440" s="24" t="s">
        <v>39</v>
      </c>
      <c r="V2440" s="24" t="s">
        <v>39</v>
      </c>
      <c r="W2440" s="24" t="s">
        <v>22554</v>
      </c>
      <c r="X2440" s="24" t="s">
        <v>22555</v>
      </c>
      <c r="Y2440" s="15" t="s">
        <v>22556</v>
      </c>
      <c r="Z2440" s="15" t="s">
        <v>22557</v>
      </c>
      <c r="AA2440" s="24"/>
      <c r="AB2440" s="24"/>
      <c r="AC2440" s="24"/>
      <c r="AD2440" s="24"/>
      <c r="AE2440" s="24"/>
      <c r="AF2440" s="24"/>
      <c r="AG2440" s="24"/>
      <c r="AH2440" s="24"/>
    </row>
    <row r="2441" spans="1:34" x14ac:dyDescent="0.25">
      <c r="A2441" s="24" t="str">
        <f>HYPERLINK("https://www.cpso.on.ca/DoctorDetails/Winston-Derek-Andre-Gormandy/0026140-30963","Gormandy, Winston Derek Andre")</f>
        <v>Gormandy, Winston Derek Andre</v>
      </c>
      <c r="B2441" s="25" t="s">
        <v>22558</v>
      </c>
      <c r="C2441" s="24" t="s">
        <v>22559</v>
      </c>
      <c r="D2441" s="24" t="s">
        <v>22560</v>
      </c>
      <c r="E2441" s="24" t="s">
        <v>29</v>
      </c>
      <c r="F2441" s="24" t="s">
        <v>30</v>
      </c>
      <c r="G2441" s="24" t="s">
        <v>31</v>
      </c>
      <c r="H2441" s="24" t="s">
        <v>22561</v>
      </c>
      <c r="I2441" s="24" t="s">
        <v>22562</v>
      </c>
      <c r="J2441" s="24" t="s">
        <v>22563</v>
      </c>
      <c r="K2441" s="24"/>
      <c r="L2441" s="24" t="s">
        <v>52</v>
      </c>
      <c r="M2441" s="15"/>
      <c r="N2441" s="15" t="s">
        <v>22564</v>
      </c>
      <c r="O2441" s="15" t="s">
        <v>5273</v>
      </c>
      <c r="P2441" s="15" t="s">
        <v>6946</v>
      </c>
      <c r="Q2441" s="15"/>
      <c r="R2441" s="15" t="s">
        <v>22565</v>
      </c>
      <c r="S2441" s="24" t="s">
        <v>39</v>
      </c>
      <c r="T2441" s="24" t="s">
        <v>39</v>
      </c>
      <c r="U2441" s="24" t="s">
        <v>39</v>
      </c>
      <c r="V2441" s="24" t="s">
        <v>39</v>
      </c>
      <c r="W2441" s="24" t="s">
        <v>22566</v>
      </c>
      <c r="X2441" s="24" t="s">
        <v>22567</v>
      </c>
      <c r="Y2441" s="15" t="s">
        <v>22568</v>
      </c>
      <c r="Z2441" s="15" t="s">
        <v>22569</v>
      </c>
      <c r="AA2441" s="24"/>
      <c r="AB2441" s="24"/>
      <c r="AC2441" s="24"/>
      <c r="AD2441" s="24"/>
      <c r="AE2441" s="24"/>
      <c r="AF2441" s="24"/>
      <c r="AG2441" s="24"/>
      <c r="AH2441" s="24"/>
    </row>
    <row r="2442" spans="1:34" ht="90" x14ac:dyDescent="0.25">
      <c r="A2442" s="24" t="str">
        <f>HYPERLINK("https://www.cpso.on.ca/DoctorDetails/Wiplove-Ravindra-Lamba/0232941-84391","Lamba, Wiplove Ravindra")</f>
        <v>Lamba, Wiplove Ravindra</v>
      </c>
      <c r="B2442" s="25" t="s">
        <v>22570</v>
      </c>
      <c r="C2442" s="24" t="s">
        <v>647</v>
      </c>
      <c r="D2442" s="24" t="s">
        <v>648</v>
      </c>
      <c r="E2442" s="24" t="s">
        <v>29</v>
      </c>
      <c r="F2442" s="24" t="s">
        <v>30</v>
      </c>
      <c r="G2442" s="24" t="s">
        <v>813</v>
      </c>
      <c r="H2442" s="24" t="s">
        <v>12700</v>
      </c>
      <c r="I2442" s="24" t="s">
        <v>22571</v>
      </c>
      <c r="J2442" s="24" t="s">
        <v>217</v>
      </c>
      <c r="K2442" s="24" t="s">
        <v>218</v>
      </c>
      <c r="L2442" s="24" t="s">
        <v>52</v>
      </c>
      <c r="M2442" s="15"/>
      <c r="N2442" s="15"/>
      <c r="O2442" s="15" t="s">
        <v>219</v>
      </c>
      <c r="P2442" s="15" t="s">
        <v>654</v>
      </c>
      <c r="Q2442" s="15" t="s">
        <v>22572</v>
      </c>
      <c r="R2442" s="15" t="s">
        <v>656</v>
      </c>
      <c r="S2442" s="24" t="s">
        <v>39</v>
      </c>
      <c r="T2442" s="24" t="s">
        <v>39</v>
      </c>
      <c r="U2442" s="24" t="s">
        <v>39</v>
      </c>
      <c r="V2442" s="24" t="s">
        <v>39</v>
      </c>
      <c r="W2442" s="24" t="s">
        <v>22573</v>
      </c>
      <c r="X2442" s="24" t="s">
        <v>22574</v>
      </c>
      <c r="Y2442" s="15" t="s">
        <v>22575</v>
      </c>
      <c r="Z2442" s="15" t="s">
        <v>22576</v>
      </c>
      <c r="AA2442" s="24"/>
      <c r="AB2442" s="24"/>
      <c r="AC2442" s="24"/>
      <c r="AD2442" s="24"/>
      <c r="AE2442" s="24"/>
      <c r="AF2442" s="24"/>
      <c r="AG2442" s="24"/>
      <c r="AH2442" s="24"/>
    </row>
    <row r="2443" spans="1:34" ht="30" x14ac:dyDescent="0.25">
      <c r="A2443" s="24" t="str">
        <f>HYPERLINK("https://www.cpso.on.ca/DoctorDetails/Wojciech-Czernikiewicz/0268815-94401","Czernikiewicz, Wojciech")</f>
        <v>Czernikiewicz, Wojciech</v>
      </c>
      <c r="B2443" s="25" t="s">
        <v>22577</v>
      </c>
      <c r="C2443" s="24" t="s">
        <v>22578</v>
      </c>
      <c r="D2443" s="24" t="s">
        <v>22579</v>
      </c>
      <c r="E2443" s="24" t="s">
        <v>29</v>
      </c>
      <c r="F2443" s="24" t="s">
        <v>30</v>
      </c>
      <c r="G2443" s="24" t="s">
        <v>1657</v>
      </c>
      <c r="H2443" s="24" t="s">
        <v>22580</v>
      </c>
      <c r="I2443" s="24" t="s">
        <v>107</v>
      </c>
      <c r="J2443" s="24"/>
      <c r="K2443" s="24"/>
      <c r="L2443" s="24"/>
      <c r="M2443" s="15"/>
      <c r="N2443" s="15" t="s">
        <v>258</v>
      </c>
      <c r="O2443" s="15"/>
      <c r="P2443" s="15" t="s">
        <v>10411</v>
      </c>
      <c r="Q2443" s="15" t="s">
        <v>22581</v>
      </c>
      <c r="R2443" s="15" t="s">
        <v>22582</v>
      </c>
      <c r="S2443" s="24" t="s">
        <v>39</v>
      </c>
      <c r="T2443" s="24" t="s">
        <v>39</v>
      </c>
      <c r="U2443" s="24" t="s">
        <v>39</v>
      </c>
      <c r="V2443" s="24" t="s">
        <v>39</v>
      </c>
      <c r="W2443" s="24" t="s">
        <v>22583</v>
      </c>
      <c r="X2443" s="24" t="s">
        <v>22584</v>
      </c>
      <c r="Y2443" s="15" t="s">
        <v>22585</v>
      </c>
      <c r="Z2443" s="15" t="s">
        <v>3997</v>
      </c>
      <c r="AA2443" s="24"/>
      <c r="AB2443" s="24"/>
      <c r="AC2443" s="24"/>
      <c r="AD2443" s="24"/>
      <c r="AE2443" s="24"/>
      <c r="AF2443" s="24"/>
      <c r="AG2443" s="24"/>
      <c r="AH2443" s="24"/>
    </row>
    <row r="2444" spans="1:34" x14ac:dyDescent="0.25">
      <c r="A2444" s="24" t="str">
        <f>HYPERLINK("https://www.cpso.on.ca/DoctorDetails/Xenia-Richardson-Kirkpatrick/0026429-31252","Kirkpatrick, Xenia Richardson")</f>
        <v>Kirkpatrick, Xenia Richardson</v>
      </c>
      <c r="B2444" s="25" t="s">
        <v>22586</v>
      </c>
      <c r="C2444" s="24" t="s">
        <v>22587</v>
      </c>
      <c r="D2444" s="24" t="s">
        <v>22588</v>
      </c>
      <c r="E2444" s="24" t="s">
        <v>29</v>
      </c>
      <c r="F2444" s="24" t="s">
        <v>47</v>
      </c>
      <c r="G2444" s="24" t="s">
        <v>31</v>
      </c>
      <c r="H2444" s="24" t="s">
        <v>2916</v>
      </c>
      <c r="I2444" s="24" t="s">
        <v>1049</v>
      </c>
      <c r="J2444" s="24" t="s">
        <v>22589</v>
      </c>
      <c r="K2444" s="24" t="s">
        <v>1051</v>
      </c>
      <c r="L2444" s="24" t="s">
        <v>52</v>
      </c>
      <c r="M2444" s="15"/>
      <c r="N2444" s="15"/>
      <c r="O2444" s="15"/>
      <c r="P2444" s="15" t="s">
        <v>2985</v>
      </c>
      <c r="Q2444" s="15"/>
      <c r="R2444" s="15" t="s">
        <v>22590</v>
      </c>
      <c r="S2444" s="24" t="s">
        <v>39</v>
      </c>
      <c r="T2444" s="24" t="s">
        <v>39</v>
      </c>
      <c r="U2444" s="24" t="s">
        <v>39</v>
      </c>
      <c r="V2444" s="24" t="s">
        <v>39</v>
      </c>
      <c r="W2444" s="24"/>
      <c r="X2444" s="24"/>
      <c r="Y2444" s="15"/>
      <c r="Z2444" s="15"/>
      <c r="AA2444" s="24"/>
      <c r="AB2444" s="24"/>
      <c r="AC2444" s="24"/>
      <c r="AD2444" s="24"/>
      <c r="AE2444" s="24"/>
      <c r="AF2444" s="24"/>
      <c r="AG2444" s="24"/>
      <c r="AH2444" s="24"/>
    </row>
    <row r="2445" spans="1:34" ht="90" x14ac:dyDescent="0.25">
      <c r="A2445" s="24" t="str">
        <f>HYPERLINK("https://www.cpso.on.ca/DoctorDetails/Yanying-Zhou/0258468-90759","Zhou, Yanying")</f>
        <v>Zhou, Yanying</v>
      </c>
      <c r="B2445" s="25" t="s">
        <v>22591</v>
      </c>
      <c r="C2445" s="24" t="s">
        <v>22592</v>
      </c>
      <c r="D2445" s="24" t="s">
        <v>22593</v>
      </c>
      <c r="E2445" s="24" t="s">
        <v>29</v>
      </c>
      <c r="F2445" s="24" t="s">
        <v>47</v>
      </c>
      <c r="G2445" s="24" t="s">
        <v>31</v>
      </c>
      <c r="H2445" s="24" t="s">
        <v>11252</v>
      </c>
      <c r="I2445" s="24" t="s">
        <v>22594</v>
      </c>
      <c r="J2445" s="24" t="s">
        <v>22595</v>
      </c>
      <c r="K2445" s="24"/>
      <c r="L2445" s="24" t="s">
        <v>52</v>
      </c>
      <c r="M2445" s="15"/>
      <c r="N2445" s="15"/>
      <c r="O2445" s="15"/>
      <c r="P2445" s="15" t="s">
        <v>629</v>
      </c>
      <c r="Q2445" s="15" t="s">
        <v>22596</v>
      </c>
      <c r="R2445" s="15" t="s">
        <v>22597</v>
      </c>
      <c r="S2445" s="24" t="s">
        <v>39</v>
      </c>
      <c r="T2445" s="24" t="s">
        <v>39</v>
      </c>
      <c r="U2445" s="24" t="s">
        <v>39</v>
      </c>
      <c r="V2445" s="24" t="s">
        <v>39</v>
      </c>
      <c r="W2445" s="24" t="s">
        <v>275</v>
      </c>
      <c r="X2445" s="24" t="s">
        <v>276</v>
      </c>
      <c r="Y2445" s="15" t="s">
        <v>277</v>
      </c>
      <c r="Z2445" s="15" t="s">
        <v>278</v>
      </c>
      <c r="AA2445" s="24"/>
      <c r="AB2445" s="24"/>
      <c r="AC2445" s="24"/>
      <c r="AD2445" s="24"/>
      <c r="AE2445" s="24"/>
      <c r="AF2445" s="24"/>
      <c r="AG2445" s="24"/>
      <c r="AH2445" s="24"/>
    </row>
    <row r="2446" spans="1:34" ht="45" x14ac:dyDescent="0.25">
      <c r="A2446" s="24" t="str">
        <f>HYPERLINK("https://www.cpso.on.ca/DoctorDetails/Yasir-Khan/0200795-89746","Khan, Yasir")</f>
        <v>Khan, Yasir</v>
      </c>
      <c r="B2446" s="25" t="s">
        <v>22598</v>
      </c>
      <c r="C2446" s="24" t="s">
        <v>22599</v>
      </c>
      <c r="D2446" s="24" t="s">
        <v>22600</v>
      </c>
      <c r="E2446" s="24" t="s">
        <v>29</v>
      </c>
      <c r="F2446" s="24" t="s">
        <v>30</v>
      </c>
      <c r="G2446" s="24" t="s">
        <v>31</v>
      </c>
      <c r="H2446" s="24" t="s">
        <v>1604</v>
      </c>
      <c r="I2446" s="24" t="s">
        <v>22601</v>
      </c>
      <c r="J2446" s="24" t="s">
        <v>22602</v>
      </c>
      <c r="K2446" s="24"/>
      <c r="L2446" s="24" t="s">
        <v>52</v>
      </c>
      <c r="M2446" s="15"/>
      <c r="N2446" s="15"/>
      <c r="O2446" s="15" t="s">
        <v>22603</v>
      </c>
      <c r="P2446" s="15" t="s">
        <v>880</v>
      </c>
      <c r="Q2446" s="15"/>
      <c r="R2446" s="15" t="s">
        <v>22604</v>
      </c>
      <c r="S2446" s="24" t="s">
        <v>39</v>
      </c>
      <c r="T2446" s="24" t="s">
        <v>39</v>
      </c>
      <c r="U2446" s="24" t="s">
        <v>39</v>
      </c>
      <c r="V2446" s="24" t="s">
        <v>39</v>
      </c>
      <c r="W2446" s="24" t="s">
        <v>22605</v>
      </c>
      <c r="X2446" s="24" t="s">
        <v>8258</v>
      </c>
      <c r="Y2446" s="15" t="s">
        <v>22606</v>
      </c>
      <c r="Z2446" s="15" t="s">
        <v>22607</v>
      </c>
      <c r="AA2446" s="24"/>
      <c r="AB2446" s="24"/>
      <c r="AC2446" s="24"/>
      <c r="AD2446" s="24"/>
      <c r="AE2446" s="24"/>
      <c r="AF2446" s="24"/>
      <c r="AG2446" s="24"/>
      <c r="AH2446" s="24"/>
    </row>
    <row r="2447" spans="1:34" ht="30" x14ac:dyDescent="0.25">
      <c r="A2447" s="24" t="str">
        <f>HYPERLINK("https://www.cpso.on.ca/DoctorDetails/Yasser-Ammar-T-AdDabbagh/0222686-83574","Ad-Dab'bagh, Yasser Ammar T")</f>
        <v>Ad-Dab'bagh, Yasser Ammar T</v>
      </c>
      <c r="B2447" s="25" t="s">
        <v>22608</v>
      </c>
      <c r="C2447" s="24" t="s">
        <v>22609</v>
      </c>
      <c r="D2447" s="24" t="s">
        <v>22610</v>
      </c>
      <c r="E2447" s="24" t="s">
        <v>29</v>
      </c>
      <c r="F2447" s="24" t="s">
        <v>30</v>
      </c>
      <c r="G2447" s="24" t="s">
        <v>105</v>
      </c>
      <c r="H2447" s="24" t="s">
        <v>22611</v>
      </c>
      <c r="I2447" s="24" t="s">
        <v>22612</v>
      </c>
      <c r="J2447" s="24" t="s">
        <v>22613</v>
      </c>
      <c r="K2447" s="24" t="s">
        <v>22614</v>
      </c>
      <c r="L2447" s="24"/>
      <c r="M2447" s="15"/>
      <c r="N2447" s="15" t="s">
        <v>22615</v>
      </c>
      <c r="O2447" s="15"/>
      <c r="P2447" s="15" t="s">
        <v>2678</v>
      </c>
      <c r="Q2447" s="15"/>
      <c r="R2447" s="15" t="s">
        <v>22616</v>
      </c>
      <c r="S2447" s="24" t="s">
        <v>39</v>
      </c>
      <c r="T2447" s="24" t="s">
        <v>39</v>
      </c>
      <c r="U2447" s="24" t="s">
        <v>39</v>
      </c>
      <c r="V2447" s="24" t="s">
        <v>39</v>
      </c>
      <c r="W2447" s="24" t="s">
        <v>22617</v>
      </c>
      <c r="X2447" s="24" t="s">
        <v>22618</v>
      </c>
      <c r="Y2447" s="15"/>
      <c r="Z2447" s="15"/>
      <c r="AA2447" s="24"/>
      <c r="AB2447" s="24"/>
      <c r="AC2447" s="24"/>
      <c r="AD2447" s="24"/>
      <c r="AE2447" s="24"/>
      <c r="AF2447" s="24"/>
      <c r="AG2447" s="24"/>
      <c r="AH2447" s="24"/>
    </row>
    <row r="2448" spans="1:34" x14ac:dyDescent="0.25">
      <c r="A2448" s="24" t="str">
        <f>HYPERLINK("https://www.cpso.on.ca/DoctorDetails/Yassir-Joudaane/0298883-105164","Joudaane, Yassir")</f>
        <v>Joudaane, Yassir</v>
      </c>
      <c r="B2448" s="25" t="s">
        <v>22619</v>
      </c>
      <c r="C2448" s="24" t="s">
        <v>22620</v>
      </c>
      <c r="D2448" s="24" t="s">
        <v>22621</v>
      </c>
      <c r="E2448" s="24" t="s">
        <v>29</v>
      </c>
      <c r="F2448" s="24" t="s">
        <v>30</v>
      </c>
      <c r="G2448" s="24" t="s">
        <v>6442</v>
      </c>
      <c r="H2448" s="24" t="s">
        <v>22622</v>
      </c>
      <c r="I2448" s="24" t="s">
        <v>22623</v>
      </c>
      <c r="J2448" s="24" t="s">
        <v>22624</v>
      </c>
      <c r="K2448" s="24"/>
      <c r="L2448" s="24"/>
      <c r="M2448" s="15"/>
      <c r="N2448" s="15" t="s">
        <v>22625</v>
      </c>
      <c r="O2448" s="15"/>
      <c r="P2448" s="15" t="s">
        <v>425</v>
      </c>
      <c r="Q2448" s="15"/>
      <c r="R2448" s="15" t="s">
        <v>22626</v>
      </c>
      <c r="S2448" s="24" t="s">
        <v>39</v>
      </c>
      <c r="T2448" s="24" t="s">
        <v>39</v>
      </c>
      <c r="U2448" s="24" t="s">
        <v>39</v>
      </c>
      <c r="V2448" s="24" t="s">
        <v>39</v>
      </c>
      <c r="W2448" s="24"/>
      <c r="X2448" s="24"/>
      <c r="Y2448" s="15"/>
      <c r="Z2448" s="15"/>
      <c r="AA2448" s="24"/>
      <c r="AB2448" s="24"/>
      <c r="AC2448" s="24"/>
      <c r="AD2448" s="24"/>
      <c r="AE2448" s="24"/>
      <c r="AF2448" s="24"/>
      <c r="AG2448" s="24"/>
      <c r="AH2448" s="24"/>
    </row>
    <row r="2449" spans="1:34" ht="75" x14ac:dyDescent="0.25">
      <c r="A2449" s="24" t="str">
        <f>HYPERLINK("https://www.cpso.on.ca/DoctorDetails/Yedishtra-Naidoo/0308617-110423","Naidoo, Yedishtra")</f>
        <v>Naidoo, Yedishtra</v>
      </c>
      <c r="B2449" s="25" t="s">
        <v>22627</v>
      </c>
      <c r="C2449" s="24" t="s">
        <v>22628</v>
      </c>
      <c r="D2449" s="24" t="s">
        <v>22629</v>
      </c>
      <c r="E2449" s="24" t="s">
        <v>29</v>
      </c>
      <c r="F2449" s="24" t="s">
        <v>30</v>
      </c>
      <c r="G2449" s="24" t="s">
        <v>31</v>
      </c>
      <c r="H2449" s="24" t="s">
        <v>22630</v>
      </c>
      <c r="I2449" s="24" t="s">
        <v>22631</v>
      </c>
      <c r="J2449" s="24" t="s">
        <v>574</v>
      </c>
      <c r="K2449" s="24"/>
      <c r="L2449" s="24" t="s">
        <v>184</v>
      </c>
      <c r="M2449" s="15" t="s">
        <v>22632</v>
      </c>
      <c r="N2449" s="15"/>
      <c r="O2449" s="15" t="s">
        <v>22633</v>
      </c>
      <c r="P2449" s="15" t="s">
        <v>22634</v>
      </c>
      <c r="Q2449" s="15"/>
      <c r="R2449" s="15" t="s">
        <v>22635</v>
      </c>
      <c r="S2449" s="24" t="s">
        <v>39</v>
      </c>
      <c r="T2449" s="24" t="s">
        <v>39</v>
      </c>
      <c r="U2449" s="24" t="s">
        <v>39</v>
      </c>
      <c r="V2449" s="24" t="s">
        <v>39</v>
      </c>
      <c r="W2449" s="24" t="s">
        <v>22636</v>
      </c>
      <c r="X2449" s="24" t="s">
        <v>19747</v>
      </c>
      <c r="Y2449" s="15" t="s">
        <v>22637</v>
      </c>
      <c r="Z2449" s="15" t="s">
        <v>22638</v>
      </c>
      <c r="AA2449" s="24"/>
      <c r="AB2449" s="24"/>
      <c r="AC2449" s="24"/>
      <c r="AD2449" s="24"/>
      <c r="AE2449" s="24"/>
      <c r="AF2449" s="24"/>
      <c r="AG2449" s="24"/>
      <c r="AH2449" s="24"/>
    </row>
    <row r="2450" spans="1:34" ht="90" x14ac:dyDescent="0.25">
      <c r="A2450" s="24" t="str">
        <f>HYPERLINK("https://www.cpso.on.ca/DoctorDetails/Yevgeniya-Haggith/0273483-95517","Haggith, Yevgeniya")</f>
        <v>Haggith, Yevgeniya</v>
      </c>
      <c r="B2450" s="25" t="s">
        <v>22639</v>
      </c>
      <c r="C2450" s="24" t="s">
        <v>5728</v>
      </c>
      <c r="D2450" s="24" t="s">
        <v>5729</v>
      </c>
      <c r="E2450" s="24" t="s">
        <v>29</v>
      </c>
      <c r="F2450" s="24" t="s">
        <v>47</v>
      </c>
      <c r="G2450" s="24" t="s">
        <v>22640</v>
      </c>
      <c r="H2450" s="24" t="s">
        <v>22641</v>
      </c>
      <c r="I2450" s="24" t="s">
        <v>22642</v>
      </c>
      <c r="J2450" s="24" t="s">
        <v>22643</v>
      </c>
      <c r="K2450" s="24" t="s">
        <v>22644</v>
      </c>
      <c r="L2450" s="24" t="s">
        <v>36</v>
      </c>
      <c r="M2450" s="15"/>
      <c r="N2450" s="15"/>
      <c r="O2450" s="15"/>
      <c r="P2450" s="15" t="s">
        <v>973</v>
      </c>
      <c r="Q2450" s="15" t="s">
        <v>22645</v>
      </c>
      <c r="R2450" s="15" t="s">
        <v>22646</v>
      </c>
      <c r="S2450" s="24" t="s">
        <v>39</v>
      </c>
      <c r="T2450" s="24" t="s">
        <v>39</v>
      </c>
      <c r="U2450" s="24" t="s">
        <v>39</v>
      </c>
      <c r="V2450" s="24" t="s">
        <v>39</v>
      </c>
      <c r="W2450" s="24" t="s">
        <v>22647</v>
      </c>
      <c r="X2450" s="24" t="s">
        <v>22648</v>
      </c>
      <c r="Y2450" s="15" t="s">
        <v>22649</v>
      </c>
      <c r="Z2450" s="15" t="s">
        <v>22650</v>
      </c>
      <c r="AA2450" s="24"/>
      <c r="AB2450" s="24"/>
      <c r="AC2450" s="24"/>
      <c r="AD2450" s="24"/>
      <c r="AE2450" s="24"/>
      <c r="AF2450" s="24"/>
      <c r="AG2450" s="24"/>
      <c r="AH2450" s="24"/>
    </row>
    <row r="2451" spans="1:34" ht="105" x14ac:dyDescent="0.25">
      <c r="A2451" s="24" t="str">
        <f>HYPERLINK("https://www.cpso.on.ca/DoctorDetails/YiTsern-Nancy-Lin/0258655-91316","Lin, Yi-Tsern Nancy")</f>
        <v>Lin, Yi-Tsern Nancy</v>
      </c>
      <c r="B2451" s="25" t="s">
        <v>22651</v>
      </c>
      <c r="C2451" s="24" t="s">
        <v>15261</v>
      </c>
      <c r="D2451" s="24" t="s">
        <v>571</v>
      </c>
      <c r="E2451" s="24" t="s">
        <v>29</v>
      </c>
      <c r="F2451" s="24" t="s">
        <v>47</v>
      </c>
      <c r="G2451" s="24" t="s">
        <v>20187</v>
      </c>
      <c r="H2451" s="24" t="s">
        <v>22652</v>
      </c>
      <c r="I2451" s="24" t="s">
        <v>22653</v>
      </c>
      <c r="J2451" s="24" t="s">
        <v>11970</v>
      </c>
      <c r="K2451" s="24" t="s">
        <v>22654</v>
      </c>
      <c r="L2451" s="24" t="s">
        <v>52</v>
      </c>
      <c r="M2451" s="15" t="s">
        <v>22655</v>
      </c>
      <c r="N2451" s="15"/>
      <c r="O2451" s="15" t="s">
        <v>3482</v>
      </c>
      <c r="P2451" s="15" t="s">
        <v>195</v>
      </c>
      <c r="Q2451" s="15" t="s">
        <v>22656</v>
      </c>
      <c r="R2451" s="15" t="s">
        <v>22657</v>
      </c>
      <c r="S2451" s="24" t="s">
        <v>39</v>
      </c>
      <c r="T2451" s="24" t="s">
        <v>39</v>
      </c>
      <c r="U2451" s="24" t="s">
        <v>39</v>
      </c>
      <c r="V2451" s="24" t="s">
        <v>39</v>
      </c>
      <c r="W2451" s="24" t="s">
        <v>22658</v>
      </c>
      <c r="X2451" s="24" t="s">
        <v>16046</v>
      </c>
      <c r="Y2451" s="15" t="s">
        <v>22659</v>
      </c>
      <c r="Z2451" s="15" t="s">
        <v>22660</v>
      </c>
      <c r="AA2451" s="24"/>
      <c r="AB2451" s="24"/>
      <c r="AC2451" s="24"/>
      <c r="AD2451" s="24"/>
      <c r="AE2451" s="24"/>
      <c r="AF2451" s="24"/>
      <c r="AG2451" s="24"/>
      <c r="AH2451" s="24"/>
    </row>
    <row r="2452" spans="1:34" ht="75" x14ac:dyDescent="0.25">
      <c r="A2452" s="24" t="str">
        <f>HYPERLINK("https://www.cpso.on.ca/DoctorDetails/Yoland-Raynald-Charbonneau/0044383-58361","Charbonneau, Yoland Raynald")</f>
        <v>Charbonneau, Yoland Raynald</v>
      </c>
      <c r="B2452" s="25" t="s">
        <v>22661</v>
      </c>
      <c r="C2452" s="24" t="s">
        <v>1609</v>
      </c>
      <c r="D2452" s="24" t="s">
        <v>22662</v>
      </c>
      <c r="E2452" s="24" t="s">
        <v>29</v>
      </c>
      <c r="F2452" s="24" t="s">
        <v>30</v>
      </c>
      <c r="G2452" s="24" t="s">
        <v>813</v>
      </c>
      <c r="H2452" s="24" t="s">
        <v>1611</v>
      </c>
      <c r="I2452" s="24" t="s">
        <v>22663</v>
      </c>
      <c r="J2452" s="24" t="s">
        <v>6322</v>
      </c>
      <c r="K2452" s="24" t="s">
        <v>6323</v>
      </c>
      <c r="L2452" s="24" t="s">
        <v>84</v>
      </c>
      <c r="M2452" s="15"/>
      <c r="N2452" s="15"/>
      <c r="O2452" s="15" t="s">
        <v>4377</v>
      </c>
      <c r="P2452" s="15" t="s">
        <v>1842</v>
      </c>
      <c r="Q2452" s="15" t="s">
        <v>22664</v>
      </c>
      <c r="R2452" s="15" t="s">
        <v>22665</v>
      </c>
      <c r="S2452" s="24" t="s">
        <v>39</v>
      </c>
      <c r="T2452" s="24" t="s">
        <v>39</v>
      </c>
      <c r="U2452" s="24" t="s">
        <v>39</v>
      </c>
      <c r="V2452" s="24" t="s">
        <v>71</v>
      </c>
      <c r="W2452" s="24" t="s">
        <v>22666</v>
      </c>
      <c r="X2452" s="24" t="s">
        <v>3639</v>
      </c>
      <c r="Y2452" s="15" t="s">
        <v>22667</v>
      </c>
      <c r="Z2452" s="15" t="s">
        <v>22668</v>
      </c>
      <c r="AA2452" s="24"/>
      <c r="AB2452" s="24"/>
      <c r="AC2452" s="24"/>
      <c r="AD2452" s="24"/>
      <c r="AE2452" s="24"/>
      <c r="AF2452" s="24"/>
      <c r="AG2452" s="24"/>
      <c r="AH2452" s="24"/>
    </row>
    <row r="2453" spans="1:34" ht="90" x14ac:dyDescent="0.25">
      <c r="A2453" s="24" t="str">
        <f>HYPERLINK("https://www.cpso.on.ca/DoctorDetails/Yosef-Kwaku-Kwamie/0037033-51009","Kwamie, Yosef Kwaku")</f>
        <v>Kwamie, Yosef Kwaku</v>
      </c>
      <c r="B2453" s="25" t="s">
        <v>22669</v>
      </c>
      <c r="C2453" s="24" t="s">
        <v>22670</v>
      </c>
      <c r="D2453" s="24" t="s">
        <v>22671</v>
      </c>
      <c r="E2453" s="24" t="s">
        <v>29</v>
      </c>
      <c r="F2453" s="24" t="s">
        <v>30</v>
      </c>
      <c r="G2453" s="24" t="s">
        <v>31</v>
      </c>
      <c r="H2453" s="24" t="s">
        <v>2870</v>
      </c>
      <c r="I2453" s="24" t="s">
        <v>22672</v>
      </c>
      <c r="J2453" s="24" t="s">
        <v>22673</v>
      </c>
      <c r="K2453" s="24" t="s">
        <v>4082</v>
      </c>
      <c r="L2453" s="24" t="s">
        <v>36</v>
      </c>
      <c r="M2453" s="15"/>
      <c r="N2453" s="15"/>
      <c r="O2453" s="15" t="s">
        <v>1691</v>
      </c>
      <c r="P2453" s="15" t="s">
        <v>745</v>
      </c>
      <c r="Q2453" s="15" t="s">
        <v>22674</v>
      </c>
      <c r="R2453" s="15" t="s">
        <v>22675</v>
      </c>
      <c r="S2453" s="24" t="s">
        <v>39</v>
      </c>
      <c r="T2453" s="24" t="s">
        <v>71</v>
      </c>
      <c r="U2453" s="24" t="s">
        <v>39</v>
      </c>
      <c r="V2453" s="24" t="s">
        <v>39</v>
      </c>
      <c r="W2453" s="24" t="s">
        <v>22676</v>
      </c>
      <c r="X2453" s="24" t="s">
        <v>10775</v>
      </c>
      <c r="Y2453" s="15" t="s">
        <v>22677</v>
      </c>
      <c r="Z2453" s="15" t="s">
        <v>22678</v>
      </c>
      <c r="AA2453" s="24"/>
      <c r="AB2453" s="24"/>
      <c r="AC2453" s="24"/>
      <c r="AD2453" s="24"/>
      <c r="AE2453" s="24"/>
      <c r="AF2453" s="24"/>
      <c r="AG2453" s="24"/>
      <c r="AH2453" s="24"/>
    </row>
    <row r="2454" spans="1:34" ht="120" x14ac:dyDescent="0.25">
      <c r="A2454" s="24" t="str">
        <f>HYPERLINK("https://www.cpso.on.ca/DoctorDetails/Yousef-Gregory-Papadopoulos/0233915-85709","Papadopoulos, Yousef Gregory")</f>
        <v>Papadopoulos, Yousef Gregory</v>
      </c>
      <c r="B2454" s="25" t="s">
        <v>22679</v>
      </c>
      <c r="C2454" s="24" t="s">
        <v>22680</v>
      </c>
      <c r="D2454" s="24" t="s">
        <v>22681</v>
      </c>
      <c r="E2454" s="24" t="s">
        <v>29</v>
      </c>
      <c r="F2454" s="24" t="s">
        <v>30</v>
      </c>
      <c r="G2454" s="24" t="s">
        <v>31</v>
      </c>
      <c r="H2454" s="24" t="s">
        <v>22682</v>
      </c>
      <c r="I2454" s="24" t="s">
        <v>22683</v>
      </c>
      <c r="J2454" s="24" t="s">
        <v>22684</v>
      </c>
      <c r="K2454" s="24"/>
      <c r="L2454" s="24" t="s">
        <v>52</v>
      </c>
      <c r="M2454" s="15"/>
      <c r="N2454" s="15"/>
      <c r="O2454" s="15" t="s">
        <v>1784</v>
      </c>
      <c r="P2454" s="15" t="s">
        <v>1074</v>
      </c>
      <c r="Q2454" s="15" t="s">
        <v>22685</v>
      </c>
      <c r="R2454" s="15" t="s">
        <v>22686</v>
      </c>
      <c r="S2454" s="24" t="s">
        <v>39</v>
      </c>
      <c r="T2454" s="24" t="s">
        <v>39</v>
      </c>
      <c r="U2454" s="24" t="s">
        <v>39</v>
      </c>
      <c r="V2454" s="24" t="s">
        <v>39</v>
      </c>
      <c r="W2454" s="24" t="s">
        <v>22687</v>
      </c>
      <c r="X2454" s="24" t="s">
        <v>22688</v>
      </c>
      <c r="Y2454" s="15" t="s">
        <v>22689</v>
      </c>
      <c r="Z2454" s="15" t="s">
        <v>22690</v>
      </c>
      <c r="AA2454" s="24"/>
      <c r="AB2454" s="24"/>
      <c r="AC2454" s="24"/>
      <c r="AD2454" s="24"/>
      <c r="AE2454" s="24"/>
      <c r="AF2454" s="24"/>
      <c r="AG2454" s="24"/>
      <c r="AH2454" s="24"/>
    </row>
    <row r="2455" spans="1:34" ht="30" x14ac:dyDescent="0.25">
      <c r="A2455" s="24" t="str">
        <f>HYPERLINK("https://www.cpso.on.ca/DoctorDetails/Yousery-Hogo-Nashed/0037684-51660","Nashed, Yousery Hogo")</f>
        <v>Nashed, Yousery Hogo</v>
      </c>
      <c r="B2455" s="25" t="s">
        <v>22691</v>
      </c>
      <c r="C2455" s="24" t="s">
        <v>3676</v>
      </c>
      <c r="D2455" s="24" t="s">
        <v>3428</v>
      </c>
      <c r="E2455" s="24" t="s">
        <v>29</v>
      </c>
      <c r="F2455" s="24" t="s">
        <v>30</v>
      </c>
      <c r="G2455" s="24" t="s">
        <v>105</v>
      </c>
      <c r="H2455" s="24" t="s">
        <v>22692</v>
      </c>
      <c r="I2455" s="24" t="s">
        <v>18291</v>
      </c>
      <c r="J2455" s="24" t="s">
        <v>22693</v>
      </c>
      <c r="K2455" s="24" t="s">
        <v>22694</v>
      </c>
      <c r="L2455" s="24" t="s">
        <v>340</v>
      </c>
      <c r="M2455" s="15" t="s">
        <v>22695</v>
      </c>
      <c r="N2455" s="15"/>
      <c r="O2455" s="15" t="s">
        <v>1122</v>
      </c>
      <c r="P2455" s="15" t="s">
        <v>5839</v>
      </c>
      <c r="Q2455" s="15"/>
      <c r="R2455" s="15" t="s">
        <v>22696</v>
      </c>
      <c r="S2455" s="24" t="s">
        <v>39</v>
      </c>
      <c r="T2455" s="24" t="s">
        <v>39</v>
      </c>
      <c r="U2455" s="24" t="s">
        <v>39</v>
      </c>
      <c r="V2455" s="24" t="s">
        <v>39</v>
      </c>
      <c r="W2455" s="24" t="s">
        <v>22697</v>
      </c>
      <c r="X2455" s="24" t="s">
        <v>22698</v>
      </c>
      <c r="Y2455" s="15" t="s">
        <v>22699</v>
      </c>
      <c r="Z2455" s="15" t="s">
        <v>22700</v>
      </c>
      <c r="AA2455" s="24"/>
      <c r="AB2455" s="24"/>
      <c r="AC2455" s="24"/>
      <c r="AD2455" s="24"/>
      <c r="AE2455" s="24"/>
      <c r="AF2455" s="24"/>
      <c r="AG2455" s="24"/>
      <c r="AH2455" s="24"/>
    </row>
    <row r="2456" spans="1:34" ht="45" x14ac:dyDescent="0.25">
      <c r="A2456" s="24" t="str">
        <f>HYPERLINK("https://www.cpso.on.ca/DoctorDetails/Yousha-Kamal-Mirza/0247178-88043","Mirza, Yousha Kamal")</f>
        <v>Mirza, Yousha Kamal</v>
      </c>
      <c r="B2456" s="25" t="s">
        <v>22701</v>
      </c>
      <c r="C2456" s="24" t="s">
        <v>22702</v>
      </c>
      <c r="D2456" s="24" t="s">
        <v>22703</v>
      </c>
      <c r="E2456" s="24" t="s">
        <v>29</v>
      </c>
      <c r="F2456" s="24" t="s">
        <v>30</v>
      </c>
      <c r="G2456" s="24" t="s">
        <v>1445</v>
      </c>
      <c r="H2456" s="24" t="s">
        <v>22704</v>
      </c>
      <c r="I2456" s="24" t="s">
        <v>22705</v>
      </c>
      <c r="J2456" s="24" t="s">
        <v>378</v>
      </c>
      <c r="K2456" s="24" t="s">
        <v>8862</v>
      </c>
      <c r="L2456" s="24" t="s">
        <v>65</v>
      </c>
      <c r="M2456" s="15"/>
      <c r="N2456" s="15"/>
      <c r="O2456" s="15" t="s">
        <v>380</v>
      </c>
      <c r="P2456" s="15" t="s">
        <v>22706</v>
      </c>
      <c r="Q2456" s="15"/>
      <c r="R2456" s="15" t="s">
        <v>22707</v>
      </c>
      <c r="S2456" s="24" t="s">
        <v>39</v>
      </c>
      <c r="T2456" s="24" t="s">
        <v>39</v>
      </c>
      <c r="U2456" s="24" t="s">
        <v>39</v>
      </c>
      <c r="V2456" s="24" t="s">
        <v>39</v>
      </c>
      <c r="W2456" s="24" t="s">
        <v>22708</v>
      </c>
      <c r="X2456" s="24" t="s">
        <v>22709</v>
      </c>
      <c r="Y2456" s="15" t="s">
        <v>22710</v>
      </c>
      <c r="Z2456" s="15" t="s">
        <v>22711</v>
      </c>
      <c r="AA2456" s="24"/>
      <c r="AB2456" s="24"/>
      <c r="AC2456" s="24"/>
      <c r="AD2456" s="24"/>
      <c r="AE2456" s="24"/>
      <c r="AF2456" s="24"/>
      <c r="AG2456" s="24"/>
      <c r="AH2456" s="24"/>
    </row>
    <row r="2457" spans="1:34" ht="105" x14ac:dyDescent="0.25">
      <c r="A2457" s="24" t="str">
        <f>HYPERLINK("https://www.cpso.on.ca/DoctorDetails/Youssef-Adel-Slataroff/0242057-87329","Slataroff, Youssef Adel")</f>
        <v>Slataroff, Youssef Adel</v>
      </c>
      <c r="B2457" s="25" t="s">
        <v>22712</v>
      </c>
      <c r="C2457" s="24" t="s">
        <v>22713</v>
      </c>
      <c r="D2457" s="24" t="s">
        <v>22714</v>
      </c>
      <c r="E2457" s="24" t="s">
        <v>29</v>
      </c>
      <c r="F2457" s="24" t="s">
        <v>30</v>
      </c>
      <c r="G2457" s="24" t="s">
        <v>6442</v>
      </c>
      <c r="H2457" s="24" t="s">
        <v>22715</v>
      </c>
      <c r="I2457" s="24" t="s">
        <v>22716</v>
      </c>
      <c r="J2457" s="24" t="s">
        <v>22717</v>
      </c>
      <c r="K2457" s="24" t="s">
        <v>22718</v>
      </c>
      <c r="L2457" s="24" t="s">
        <v>184</v>
      </c>
      <c r="M2457" s="15"/>
      <c r="N2457" s="15"/>
      <c r="O2457" s="15"/>
      <c r="P2457" s="15" t="s">
        <v>654</v>
      </c>
      <c r="Q2457" s="15" t="s">
        <v>22719</v>
      </c>
      <c r="R2457" s="15" t="s">
        <v>22720</v>
      </c>
      <c r="S2457" s="24" t="s">
        <v>71</v>
      </c>
      <c r="T2457" s="24" t="s">
        <v>39</v>
      </c>
      <c r="U2457" s="24" t="s">
        <v>39</v>
      </c>
      <c r="V2457" s="24" t="s">
        <v>71</v>
      </c>
      <c r="W2457" s="24"/>
      <c r="X2457" s="24"/>
      <c r="Y2457" s="15"/>
      <c r="Z2457" s="15"/>
      <c r="AA2457" s="24"/>
      <c r="AB2457" s="24"/>
      <c r="AC2457" s="24"/>
      <c r="AD2457" s="24"/>
      <c r="AE2457" s="24"/>
      <c r="AF2457" s="24"/>
      <c r="AG2457" s="24"/>
      <c r="AH2457" s="24"/>
    </row>
    <row r="2458" spans="1:34" ht="135" x14ac:dyDescent="0.25">
      <c r="A2458" s="24" t="str">
        <f>HYPERLINK("https://www.cpso.on.ca/DoctorDetails/Yuliya-Oleksandrivna-Knyahnytska/0283395-99533","Knyahnytska, Yuliya Oleksandrivna")</f>
        <v>Knyahnytska, Yuliya Oleksandrivna</v>
      </c>
      <c r="B2458" s="25" t="s">
        <v>22721</v>
      </c>
      <c r="C2458" s="24" t="s">
        <v>18875</v>
      </c>
      <c r="D2458" s="24" t="s">
        <v>18876</v>
      </c>
      <c r="E2458" s="24" t="s">
        <v>29</v>
      </c>
      <c r="F2458" s="24" t="s">
        <v>47</v>
      </c>
      <c r="G2458" s="24" t="s">
        <v>1647</v>
      </c>
      <c r="H2458" s="24" t="s">
        <v>22722</v>
      </c>
      <c r="I2458" s="24" t="s">
        <v>22723</v>
      </c>
      <c r="J2458" s="24" t="s">
        <v>22724</v>
      </c>
      <c r="K2458" s="24"/>
      <c r="L2458" s="24" t="s">
        <v>52</v>
      </c>
      <c r="M2458" s="15"/>
      <c r="N2458" s="15"/>
      <c r="O2458" s="15"/>
      <c r="P2458" s="15" t="s">
        <v>18879</v>
      </c>
      <c r="Q2458" s="15" t="s">
        <v>22725</v>
      </c>
      <c r="R2458" s="15" t="s">
        <v>22726</v>
      </c>
      <c r="S2458" s="24" t="s">
        <v>71</v>
      </c>
      <c r="T2458" s="24" t="s">
        <v>39</v>
      </c>
      <c r="U2458" s="24" t="s">
        <v>39</v>
      </c>
      <c r="V2458" s="24" t="s">
        <v>39</v>
      </c>
      <c r="W2458" s="24" t="s">
        <v>22727</v>
      </c>
      <c r="X2458" s="24" t="s">
        <v>22728</v>
      </c>
      <c r="Y2458" s="15" t="s">
        <v>22729</v>
      </c>
      <c r="Z2458" s="15" t="s">
        <v>22730</v>
      </c>
      <c r="AA2458" s="24"/>
      <c r="AB2458" s="24"/>
      <c r="AC2458" s="24"/>
      <c r="AD2458" s="24"/>
      <c r="AE2458" s="24"/>
      <c r="AF2458" s="24"/>
      <c r="AG2458" s="24"/>
      <c r="AH2458" s="24"/>
    </row>
    <row r="2459" spans="1:34" ht="30" x14ac:dyDescent="0.25">
      <c r="A2459" s="24" t="str">
        <f>HYPERLINK("https://www.cpso.on.ca/DoctorDetails/Yuri-Adetokunboh-Alatishe/0275513-96590","Alatishe, Yuri Adetokunboh")</f>
        <v>Alatishe, Yuri Adetokunboh</v>
      </c>
      <c r="B2459" s="25" t="s">
        <v>22731</v>
      </c>
      <c r="C2459" s="24" t="s">
        <v>22732</v>
      </c>
      <c r="D2459" s="24" t="s">
        <v>22733</v>
      </c>
      <c r="E2459" s="24" t="s">
        <v>29</v>
      </c>
      <c r="F2459" s="24" t="s">
        <v>30</v>
      </c>
      <c r="G2459" s="24" t="s">
        <v>31</v>
      </c>
      <c r="H2459" s="24" t="s">
        <v>16061</v>
      </c>
      <c r="I2459" s="24" t="s">
        <v>22734</v>
      </c>
      <c r="J2459" s="24" t="s">
        <v>22735</v>
      </c>
      <c r="K2459" s="24" t="s">
        <v>22736</v>
      </c>
      <c r="L2459" s="24" t="s">
        <v>184</v>
      </c>
      <c r="M2459" s="15" t="s">
        <v>22737</v>
      </c>
      <c r="N2459" s="15"/>
      <c r="O2459" s="15" t="s">
        <v>1135</v>
      </c>
      <c r="P2459" s="15" t="s">
        <v>654</v>
      </c>
      <c r="Q2459" s="15" t="s">
        <v>22738</v>
      </c>
      <c r="R2459" s="15" t="s">
        <v>22739</v>
      </c>
      <c r="S2459" s="24" t="s">
        <v>39</v>
      </c>
      <c r="T2459" s="24" t="s">
        <v>39</v>
      </c>
      <c r="U2459" s="24" t="s">
        <v>39</v>
      </c>
      <c r="V2459" s="24" t="s">
        <v>39</v>
      </c>
      <c r="W2459" s="24" t="s">
        <v>22740</v>
      </c>
      <c r="X2459" s="24" t="s">
        <v>22741</v>
      </c>
      <c r="Y2459" s="15" t="s">
        <v>22742</v>
      </c>
      <c r="Z2459" s="15" t="s">
        <v>22743</v>
      </c>
      <c r="AA2459" s="24"/>
      <c r="AB2459" s="24"/>
      <c r="AC2459" s="24"/>
      <c r="AD2459" s="24"/>
      <c r="AE2459" s="24"/>
      <c r="AF2459" s="24"/>
      <c r="AG2459" s="24"/>
      <c r="AH2459" s="24"/>
    </row>
    <row r="2460" spans="1:34" ht="75" x14ac:dyDescent="0.25">
      <c r="A2460" s="24" t="str">
        <f>HYPERLINK("https://www.cpso.on.ca/DoctorDetails/Yusra-Naifa-Ahmad/0269353-94494","Ahmad, Yusra Naifa")</f>
        <v>Ahmad, Yusra Naifa</v>
      </c>
      <c r="B2460" s="25" t="s">
        <v>22744</v>
      </c>
      <c r="C2460" s="24" t="s">
        <v>22745</v>
      </c>
      <c r="D2460" s="24" t="s">
        <v>22746</v>
      </c>
      <c r="E2460" s="24" t="s">
        <v>29</v>
      </c>
      <c r="F2460" s="24" t="s">
        <v>47</v>
      </c>
      <c r="G2460" s="24" t="s">
        <v>31</v>
      </c>
      <c r="H2460" s="24" t="s">
        <v>4973</v>
      </c>
      <c r="I2460" s="24" t="s">
        <v>22747</v>
      </c>
      <c r="J2460" s="24" t="s">
        <v>22748</v>
      </c>
      <c r="K2460" s="24" t="s">
        <v>22749</v>
      </c>
      <c r="L2460" s="24" t="s">
        <v>52</v>
      </c>
      <c r="M2460" s="15"/>
      <c r="N2460" s="15"/>
      <c r="O2460" s="15" t="s">
        <v>54</v>
      </c>
      <c r="P2460" s="15" t="s">
        <v>22750</v>
      </c>
      <c r="Q2460" s="15" t="s">
        <v>22751</v>
      </c>
      <c r="R2460" s="15" t="s">
        <v>22752</v>
      </c>
      <c r="S2460" s="24" t="s">
        <v>39</v>
      </c>
      <c r="T2460" s="24" t="s">
        <v>39</v>
      </c>
      <c r="U2460" s="24" t="s">
        <v>39</v>
      </c>
      <c r="V2460" s="24" t="s">
        <v>39</v>
      </c>
      <c r="W2460" s="24" t="s">
        <v>22753</v>
      </c>
      <c r="X2460" s="24" t="s">
        <v>22455</v>
      </c>
      <c r="Y2460" s="15" t="s">
        <v>22754</v>
      </c>
      <c r="Z2460" s="15" t="s">
        <v>22755</v>
      </c>
      <c r="AA2460" s="24"/>
      <c r="AB2460" s="24"/>
      <c r="AC2460" s="24"/>
      <c r="AD2460" s="24"/>
      <c r="AE2460" s="24"/>
      <c r="AF2460" s="24"/>
      <c r="AG2460" s="24"/>
      <c r="AH2460" s="24"/>
    </row>
    <row r="2461" spans="1:34" ht="120" x14ac:dyDescent="0.25">
      <c r="A2461" s="24" t="str">
        <f>HYPERLINK("https://www.cpso.on.ca/DoctorDetails/Zafiris-Jeffrey-Daskalakis/0056401-67989","Daskalakis, Zafiris Jeffrey")</f>
        <v>Daskalakis, Zafiris Jeffrey</v>
      </c>
      <c r="B2461" s="25" t="s">
        <v>22756</v>
      </c>
      <c r="C2461" s="24" t="s">
        <v>1669</v>
      </c>
      <c r="D2461" s="24" t="s">
        <v>1670</v>
      </c>
      <c r="E2461" s="24" t="s">
        <v>29</v>
      </c>
      <c r="F2461" s="24" t="s">
        <v>30</v>
      </c>
      <c r="G2461" s="24" t="s">
        <v>536</v>
      </c>
      <c r="H2461" s="24" t="s">
        <v>10481</v>
      </c>
      <c r="I2461" s="24" t="s">
        <v>22757</v>
      </c>
      <c r="J2461" s="24" t="s">
        <v>22758</v>
      </c>
      <c r="K2461" s="24" t="s">
        <v>22759</v>
      </c>
      <c r="L2461" s="24" t="s">
        <v>52</v>
      </c>
      <c r="M2461" s="15"/>
      <c r="N2461" s="15"/>
      <c r="O2461" s="15" t="s">
        <v>981</v>
      </c>
      <c r="P2461" s="15" t="s">
        <v>1677</v>
      </c>
      <c r="Q2461" s="15" t="s">
        <v>22760</v>
      </c>
      <c r="R2461" s="15" t="s">
        <v>1679</v>
      </c>
      <c r="S2461" s="24" t="s">
        <v>39</v>
      </c>
      <c r="T2461" s="24" t="s">
        <v>39</v>
      </c>
      <c r="U2461" s="24" t="s">
        <v>39</v>
      </c>
      <c r="V2461" s="24" t="s">
        <v>39</v>
      </c>
      <c r="W2461" s="24" t="s">
        <v>22761</v>
      </c>
      <c r="X2461" s="24" t="s">
        <v>22762</v>
      </c>
      <c r="Y2461" s="15" t="s">
        <v>22763</v>
      </c>
      <c r="Z2461" s="15" t="s">
        <v>22764</v>
      </c>
      <c r="AA2461" s="24"/>
      <c r="AB2461" s="24"/>
      <c r="AC2461" s="24"/>
      <c r="AD2461" s="24"/>
      <c r="AE2461" s="24"/>
      <c r="AF2461" s="24"/>
      <c r="AG2461" s="24"/>
      <c r="AH2461" s="24"/>
    </row>
    <row r="2462" spans="1:34" ht="105" x14ac:dyDescent="0.25">
      <c r="A2462" s="24" t="str">
        <f>HYPERLINK("https://www.cpso.on.ca/DoctorDetails/Zainab-Amer-Samaan/0242866-87157","Samaan, Zainab Amer")</f>
        <v>Samaan, Zainab Amer</v>
      </c>
      <c r="B2462" s="25" t="s">
        <v>22765</v>
      </c>
      <c r="C2462" s="24" t="s">
        <v>3515</v>
      </c>
      <c r="D2462" s="24" t="s">
        <v>3516</v>
      </c>
      <c r="E2462" s="24" t="s">
        <v>29</v>
      </c>
      <c r="F2462" s="24" t="s">
        <v>47</v>
      </c>
      <c r="G2462" s="24" t="s">
        <v>31</v>
      </c>
      <c r="H2462" s="24" t="s">
        <v>22766</v>
      </c>
      <c r="I2462" s="24" t="s">
        <v>10914</v>
      </c>
      <c r="J2462" s="24" t="s">
        <v>574</v>
      </c>
      <c r="K2462" s="24"/>
      <c r="L2462" s="24" t="s">
        <v>184</v>
      </c>
      <c r="M2462" s="15"/>
      <c r="N2462" s="15" t="s">
        <v>398</v>
      </c>
      <c r="O2462" s="15" t="s">
        <v>4882</v>
      </c>
      <c r="P2462" s="15" t="s">
        <v>3522</v>
      </c>
      <c r="Q2462" s="15" t="s">
        <v>22767</v>
      </c>
      <c r="R2462" s="15" t="s">
        <v>22768</v>
      </c>
      <c r="S2462" s="24" t="s">
        <v>71</v>
      </c>
      <c r="T2462" s="24" t="s">
        <v>39</v>
      </c>
      <c r="U2462" s="24" t="s">
        <v>39</v>
      </c>
      <c r="V2462" s="24" t="s">
        <v>39</v>
      </c>
      <c r="W2462" s="24" t="s">
        <v>22769</v>
      </c>
      <c r="X2462" s="24" t="s">
        <v>22770</v>
      </c>
      <c r="Y2462" s="15" t="s">
        <v>22771</v>
      </c>
      <c r="Z2462" s="15" t="s">
        <v>22772</v>
      </c>
      <c r="AA2462" s="24"/>
      <c r="AB2462" s="24"/>
      <c r="AC2462" s="24"/>
      <c r="AD2462" s="24"/>
      <c r="AE2462" s="24"/>
      <c r="AF2462" s="24"/>
      <c r="AG2462" s="24"/>
      <c r="AH2462" s="24"/>
    </row>
    <row r="2463" spans="1:34" ht="45" x14ac:dyDescent="0.25">
      <c r="A2463" s="24" t="str">
        <f>HYPERLINK("https://www.cpso.on.ca/DoctorDetails/Zeinab-Sobhy-Abdel-Hamid-Elbaz/0050298-64277","Elbaz, Zeinab Sobhy Abdel Hamid")</f>
        <v>Elbaz, Zeinab Sobhy Abdel Hamid</v>
      </c>
      <c r="B2463" s="25" t="s">
        <v>22773</v>
      </c>
      <c r="C2463" s="24" t="s">
        <v>3831</v>
      </c>
      <c r="D2463" s="24" t="s">
        <v>20765</v>
      </c>
      <c r="E2463" s="24" t="s">
        <v>29</v>
      </c>
      <c r="F2463" s="24" t="s">
        <v>47</v>
      </c>
      <c r="G2463" s="24" t="s">
        <v>105</v>
      </c>
      <c r="H2463" s="24" t="s">
        <v>22774</v>
      </c>
      <c r="I2463" s="24" t="s">
        <v>22775</v>
      </c>
      <c r="J2463" s="24" t="s">
        <v>22776</v>
      </c>
      <c r="K2463" s="24" t="s">
        <v>22777</v>
      </c>
      <c r="L2463" s="24" t="s">
        <v>52</v>
      </c>
      <c r="M2463" s="15"/>
      <c r="N2463" s="15" t="s">
        <v>1449</v>
      </c>
      <c r="O2463" s="15"/>
      <c r="P2463" s="15" t="s">
        <v>169</v>
      </c>
      <c r="Q2463" s="15"/>
      <c r="R2463" s="15" t="s">
        <v>22778</v>
      </c>
      <c r="S2463" s="24" t="s">
        <v>39</v>
      </c>
      <c r="T2463" s="24" t="s">
        <v>39</v>
      </c>
      <c r="U2463" s="24" t="s">
        <v>39</v>
      </c>
      <c r="V2463" s="24" t="s">
        <v>71</v>
      </c>
      <c r="W2463" s="24"/>
      <c r="X2463" s="24"/>
      <c r="Y2463" s="15"/>
      <c r="Z2463" s="15"/>
      <c r="AA2463" s="24"/>
      <c r="AB2463" s="24"/>
      <c r="AC2463" s="24"/>
      <c r="AD2463" s="24"/>
      <c r="AE2463" s="24"/>
      <c r="AF2463" s="24"/>
      <c r="AG2463" s="24"/>
      <c r="AH2463" s="24"/>
    </row>
    <row r="2464" spans="1:34" ht="30" x14ac:dyDescent="0.25">
      <c r="A2464" s="24" t="str">
        <f>HYPERLINK("https://www.cpso.on.ca/DoctorDetails/Zoe-Thomas/0316433-112940","Thomas, Zoe")</f>
        <v>Thomas, Zoe</v>
      </c>
      <c r="B2464" s="25" t="s">
        <v>22779</v>
      </c>
      <c r="C2464" s="24" t="s">
        <v>3052</v>
      </c>
      <c r="D2464" s="24" t="s">
        <v>545</v>
      </c>
      <c r="E2464" s="24" t="s">
        <v>29</v>
      </c>
      <c r="F2464" s="24" t="s">
        <v>47</v>
      </c>
      <c r="G2464" s="24" t="s">
        <v>2047</v>
      </c>
      <c r="H2464" s="24" t="s">
        <v>11930</v>
      </c>
      <c r="I2464" s="24" t="s">
        <v>5979</v>
      </c>
      <c r="J2464" s="24" t="s">
        <v>22780</v>
      </c>
      <c r="K2464" s="24"/>
      <c r="L2464" s="24" t="s">
        <v>52</v>
      </c>
      <c r="M2464" s="15"/>
      <c r="N2464" s="15"/>
      <c r="O2464" s="15"/>
      <c r="P2464" s="15" t="s">
        <v>550</v>
      </c>
      <c r="Q2464" s="15" t="s">
        <v>22781</v>
      </c>
      <c r="R2464" s="15" t="s">
        <v>5615</v>
      </c>
      <c r="S2464" s="24" t="s">
        <v>39</v>
      </c>
      <c r="T2464" s="24" t="s">
        <v>39</v>
      </c>
      <c r="U2464" s="24" t="s">
        <v>39</v>
      </c>
      <c r="V2464" s="24" t="s">
        <v>39</v>
      </c>
      <c r="W2464" s="24"/>
      <c r="X2464" s="24"/>
      <c r="Y2464" s="15"/>
      <c r="Z2464" s="15"/>
      <c r="AA2464" s="24"/>
      <c r="AB2464" s="24"/>
      <c r="AC2464" s="24"/>
      <c r="AD2464" s="24"/>
      <c r="AE2464" s="24"/>
      <c r="AF2464" s="24"/>
      <c r="AG2464" s="24"/>
      <c r="AH2464" s="24"/>
    </row>
    <row r="2465" spans="1:34" ht="45" x14ac:dyDescent="0.25">
      <c r="A2465" s="24" t="str">
        <f>HYPERLINK("https://www.cpso.on.ca/DoctorDetails/Zofia-Krystyna-Aleksiejuk/0042118-56096","Aleksiejuk, Zofia Krystyna")</f>
        <v>Aleksiejuk, Zofia Krystyna</v>
      </c>
      <c r="B2465" s="25" t="s">
        <v>22782</v>
      </c>
      <c r="C2465" s="24" t="s">
        <v>22783</v>
      </c>
      <c r="D2465" s="24" t="s">
        <v>22784</v>
      </c>
      <c r="E2465" s="24" t="s">
        <v>29</v>
      </c>
      <c r="F2465" s="24" t="s">
        <v>47</v>
      </c>
      <c r="G2465" s="24" t="s">
        <v>1657</v>
      </c>
      <c r="H2465" s="24" t="s">
        <v>22785</v>
      </c>
      <c r="I2465" s="24" t="s">
        <v>22786</v>
      </c>
      <c r="J2465" s="24" t="s">
        <v>22787</v>
      </c>
      <c r="K2465" s="24"/>
      <c r="L2465" s="24" t="s">
        <v>36</v>
      </c>
      <c r="M2465" s="15"/>
      <c r="N2465" s="15"/>
      <c r="O2465" s="15"/>
      <c r="P2465" s="15" t="s">
        <v>2416</v>
      </c>
      <c r="Q2465" s="15"/>
      <c r="R2465" s="15" t="s">
        <v>22788</v>
      </c>
      <c r="S2465" s="24" t="s">
        <v>39</v>
      </c>
      <c r="T2465" s="24" t="s">
        <v>39</v>
      </c>
      <c r="U2465" s="24" t="s">
        <v>39</v>
      </c>
      <c r="V2465" s="24" t="s">
        <v>39</v>
      </c>
      <c r="W2465" s="24"/>
      <c r="X2465" s="24"/>
      <c r="Y2465" s="15"/>
      <c r="Z2465" s="15"/>
      <c r="AA2465" s="24"/>
      <c r="AB2465" s="24"/>
      <c r="AC2465" s="24"/>
      <c r="AD2465" s="24"/>
      <c r="AE2465" s="24"/>
      <c r="AF2465" s="24"/>
      <c r="AG2465" s="24"/>
      <c r="AH2465" s="24"/>
    </row>
    <row r="2466" spans="1:34" ht="90" x14ac:dyDescent="0.25">
      <c r="A2466" s="24" t="str">
        <f>HYPERLINK("https://www.cpso.on.ca/DoctorDetails/Zohar-Waisman/0057346-68934","Waisman, Zohar")</f>
        <v>Waisman, Zohar</v>
      </c>
      <c r="B2466" s="25" t="s">
        <v>22789</v>
      </c>
      <c r="C2466" s="24" t="s">
        <v>3831</v>
      </c>
      <c r="D2466" s="24" t="s">
        <v>214</v>
      </c>
      <c r="E2466" s="24" t="s">
        <v>29</v>
      </c>
      <c r="F2466" s="24" t="s">
        <v>30</v>
      </c>
      <c r="G2466" s="24" t="s">
        <v>31</v>
      </c>
      <c r="H2466" s="24" t="s">
        <v>3932</v>
      </c>
      <c r="I2466" s="24" t="s">
        <v>22790</v>
      </c>
      <c r="J2466" s="24" t="s">
        <v>22791</v>
      </c>
      <c r="K2466" s="24"/>
      <c r="L2466" s="24" t="s">
        <v>36</v>
      </c>
      <c r="M2466" s="15"/>
      <c r="N2466" s="15" t="s">
        <v>1370</v>
      </c>
      <c r="O2466" s="15" t="s">
        <v>3557</v>
      </c>
      <c r="P2466" s="15" t="s">
        <v>22792</v>
      </c>
      <c r="Q2466" s="15" t="s">
        <v>22793</v>
      </c>
      <c r="R2466" s="15" t="s">
        <v>3839</v>
      </c>
      <c r="S2466" s="24" t="s">
        <v>39</v>
      </c>
      <c r="T2466" s="24" t="s">
        <v>39</v>
      </c>
      <c r="U2466" s="24" t="s">
        <v>39</v>
      </c>
      <c r="V2466" s="24" t="s">
        <v>39</v>
      </c>
      <c r="W2466" s="24" t="s">
        <v>22794</v>
      </c>
      <c r="X2466" s="24" t="s">
        <v>8180</v>
      </c>
      <c r="Y2466" s="15" t="s">
        <v>22795</v>
      </c>
      <c r="Z2466" s="15" t="s">
        <v>22796</v>
      </c>
      <c r="AA2466" s="24"/>
      <c r="AB2466" s="24"/>
      <c r="AC2466" s="24"/>
      <c r="AD2466" s="24"/>
      <c r="AE2466" s="24"/>
      <c r="AF2466" s="24"/>
      <c r="AG2466" s="24"/>
      <c r="AH2466" s="24"/>
    </row>
    <row r="2467" spans="1:34" ht="30" x14ac:dyDescent="0.25">
      <c r="A2467" s="24" t="str">
        <f>HYPERLINK("https://www.cpso.on.ca/DoctorDetails/Zoran-Fulgosi/0019082-23869","Fulgosi, Zoran")</f>
        <v>Fulgosi, Zoran</v>
      </c>
      <c r="B2467" s="25" t="s">
        <v>22797</v>
      </c>
      <c r="C2467" s="24" t="s">
        <v>22798</v>
      </c>
      <c r="D2467" s="24" t="s">
        <v>22799</v>
      </c>
      <c r="E2467" s="24" t="s">
        <v>29</v>
      </c>
      <c r="F2467" s="24" t="s">
        <v>30</v>
      </c>
      <c r="G2467" s="24" t="s">
        <v>5942</v>
      </c>
      <c r="H2467" s="24" t="s">
        <v>22800</v>
      </c>
      <c r="I2467" s="24" t="s">
        <v>22801</v>
      </c>
      <c r="J2467" s="24" t="s">
        <v>22802</v>
      </c>
      <c r="K2467" s="24" t="s">
        <v>22803</v>
      </c>
      <c r="L2467" s="24" t="s">
        <v>52</v>
      </c>
      <c r="M2467" s="15"/>
      <c r="N2467" s="15"/>
      <c r="O2467" s="15"/>
      <c r="P2467" s="15" t="s">
        <v>2400</v>
      </c>
      <c r="Q2467" s="15"/>
      <c r="R2467" s="15" t="s">
        <v>22804</v>
      </c>
      <c r="S2467" s="24" t="s">
        <v>39</v>
      </c>
      <c r="T2467" s="24" t="s">
        <v>39</v>
      </c>
      <c r="U2467" s="24" t="s">
        <v>39</v>
      </c>
      <c r="V2467" s="24" t="s">
        <v>39</v>
      </c>
      <c r="W2467" s="24"/>
      <c r="X2467" s="24"/>
      <c r="Y2467" s="15"/>
      <c r="Z2467" s="15"/>
      <c r="AA2467" s="24"/>
      <c r="AB2467" s="24"/>
      <c r="AC2467" s="24"/>
      <c r="AD2467" s="24"/>
      <c r="AE2467" s="24"/>
      <c r="AF2467" s="24"/>
      <c r="AG2467" s="24"/>
      <c r="AH2467" s="24"/>
    </row>
    <row r="2468" spans="1:34" ht="45" x14ac:dyDescent="0.25">
      <c r="A2468" s="24" t="str">
        <f>HYPERLINK("https://www.cpso.on.ca/DoctorDetails/Zulfikarali-Abdulrahim-Wallani/0041072-55048","Wallani, Zulfikarali Abdulrahim")</f>
        <v>Wallani, Zulfikarali Abdulrahim</v>
      </c>
      <c r="B2468" s="25" t="s">
        <v>22805</v>
      </c>
      <c r="C2468" s="24" t="s">
        <v>22806</v>
      </c>
      <c r="D2468" s="24" t="s">
        <v>22807</v>
      </c>
      <c r="E2468" s="24" t="s">
        <v>29</v>
      </c>
      <c r="F2468" s="24" t="s">
        <v>30</v>
      </c>
      <c r="G2468" s="24" t="s">
        <v>31</v>
      </c>
      <c r="H2468" s="24" t="s">
        <v>22808</v>
      </c>
      <c r="I2468" s="24" t="s">
        <v>14045</v>
      </c>
      <c r="J2468" s="24" t="s">
        <v>22809</v>
      </c>
      <c r="K2468" s="24" t="s">
        <v>3496</v>
      </c>
      <c r="L2468" s="24" t="s">
        <v>36</v>
      </c>
      <c r="M2468" s="15"/>
      <c r="N2468" s="15"/>
      <c r="O2468" s="15" t="s">
        <v>3497</v>
      </c>
      <c r="P2468" s="15" t="s">
        <v>785</v>
      </c>
      <c r="Q2468" s="15"/>
      <c r="R2468" s="15" t="s">
        <v>22810</v>
      </c>
      <c r="S2468" s="24" t="s">
        <v>39</v>
      </c>
      <c r="T2468" s="24" t="s">
        <v>39</v>
      </c>
      <c r="U2468" s="24" t="s">
        <v>39</v>
      </c>
      <c r="V2468" s="24" t="s">
        <v>39</v>
      </c>
      <c r="W2468" s="24" t="s">
        <v>22811</v>
      </c>
      <c r="X2468" s="24" t="s">
        <v>22812</v>
      </c>
      <c r="Y2468" s="15" t="s">
        <v>22813</v>
      </c>
      <c r="Z2468" s="15" t="s">
        <v>22814</v>
      </c>
      <c r="AA2468" s="24"/>
      <c r="AB2468" s="24"/>
      <c r="AC2468" s="24"/>
      <c r="AD2468" s="24"/>
      <c r="AE2468" s="24"/>
      <c r="AF2468" s="24"/>
      <c r="AG2468" s="24"/>
      <c r="AH2468" s="24"/>
    </row>
    <row r="2469" spans="1:34" ht="30" x14ac:dyDescent="0.25">
      <c r="A2469" s="24" t="str">
        <f>HYPERLINK("https://www.cpso.on.ca/DoctorDetails/Zuzana-Nancy-Sramek/0026112-30935","Sramek, Zuzana Nancy")</f>
        <v>Sramek, Zuzana Nancy</v>
      </c>
      <c r="B2469" s="25" t="s">
        <v>22815</v>
      </c>
      <c r="C2469" s="24" t="s">
        <v>22816</v>
      </c>
      <c r="D2469" s="24" t="s">
        <v>22817</v>
      </c>
      <c r="E2469" s="24" t="s">
        <v>29</v>
      </c>
      <c r="F2469" s="24" t="s">
        <v>47</v>
      </c>
      <c r="G2469" s="24" t="s">
        <v>31</v>
      </c>
      <c r="H2469" s="24" t="s">
        <v>7012</v>
      </c>
      <c r="I2469" s="24" t="s">
        <v>22818</v>
      </c>
      <c r="J2469" s="24" t="s">
        <v>22819</v>
      </c>
      <c r="K2469" s="24"/>
      <c r="L2469" s="24" t="s">
        <v>340</v>
      </c>
      <c r="M2469" s="15" t="s">
        <v>22820</v>
      </c>
      <c r="N2469" s="15"/>
      <c r="O2469" s="15"/>
      <c r="P2469" s="15" t="s">
        <v>541</v>
      </c>
      <c r="Q2469" s="15"/>
      <c r="R2469" s="15" t="s">
        <v>22821</v>
      </c>
      <c r="S2469" s="24" t="s">
        <v>39</v>
      </c>
      <c r="T2469" s="24" t="s">
        <v>39</v>
      </c>
      <c r="U2469" s="24" t="s">
        <v>39</v>
      </c>
      <c r="V2469" s="24" t="s">
        <v>39</v>
      </c>
      <c r="W2469" s="24" t="s">
        <v>22822</v>
      </c>
      <c r="X2469" s="24" t="s">
        <v>13889</v>
      </c>
      <c r="Y2469" s="15" t="s">
        <v>22823</v>
      </c>
      <c r="Z2469" s="15" t="s">
        <v>22824</v>
      </c>
      <c r="AA2469" s="24"/>
      <c r="AB2469" s="24"/>
      <c r="AC2469" s="24"/>
      <c r="AD2469" s="24"/>
      <c r="AE2469" s="24"/>
      <c r="AF2469" s="24"/>
      <c r="AG2469" s="24"/>
      <c r="AH2469" s="24"/>
    </row>
  </sheetData>
  <mergeCells count="15">
    <mergeCell ref="Q1:Q2"/>
    <mergeCell ref="S1:S2"/>
    <mergeCell ref="T1:T2"/>
    <mergeCell ref="U1:U2"/>
    <mergeCell ref="V1:V2"/>
    <mergeCell ref="W1:AH1"/>
    <mergeCell ref="E1:H1"/>
    <mergeCell ref="I1:L1"/>
    <mergeCell ref="A1:A2"/>
    <mergeCell ref="B1:B2"/>
    <mergeCell ref="C1:C2"/>
    <mergeCell ref="D1:D2"/>
    <mergeCell ref="M1:M2"/>
    <mergeCell ref="N1:N2"/>
    <mergeCell ref="O1:O2"/>
  </mergeCells>
  <pageMargins left="0.75" right="0.75" top="1" bottom="1" header="0.5" footer="0.5"/>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Stats</vt:lpstr>
      <vt:lpstr>Headings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Kasani Bhanu Teja</cp:lastModifiedBy>
  <dcterms:created xsi:type="dcterms:W3CDTF">2018-10-28T16:57:02Z</dcterms:created>
  <dcterms:modified xsi:type="dcterms:W3CDTF">2018-10-28T22:03:46Z</dcterms:modified>
</cp:coreProperties>
</file>