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2D/models/"/>
    </mc:Choice>
  </mc:AlternateContent>
  <xr:revisionPtr revIDLastSave="1612" documentId="11_F25DC773A252ABDACC1048CC295F61E45BDE58E6" xr6:coauthVersionLast="47" xr6:coauthVersionMax="47" xr10:uidLastSave="{E901664A-07DC-43CD-9A2C-B78FC70E3F61}"/>
  <bookViews>
    <workbookView xWindow="1308" yWindow="-108" windowWidth="21840" windowHeight="13176" activeTab="2" xr2:uid="{00000000-000D-0000-FFFF-FFFF00000000}"/>
  </bookViews>
  <sheets>
    <sheet name="all model results" sheetId="1" r:id="rId1"/>
    <sheet name="calc templ" sheetId="8" r:id="rId2"/>
    <sheet name="04 calc" sheetId="15" r:id="rId3"/>
    <sheet name="01 calc" sheetId="16" r:id="rId4"/>
    <sheet name="05 calc" sheetId="17" r:id="rId5"/>
    <sheet name="06 calc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5" l="1"/>
  <c r="W15" i="15"/>
  <c r="V15" i="15"/>
  <c r="W14" i="15"/>
  <c r="V14" i="15"/>
  <c r="W13" i="15"/>
  <c r="V13" i="15"/>
  <c r="W12" i="15"/>
  <c r="V12" i="15"/>
  <c r="W11" i="15"/>
  <c r="V11" i="15"/>
  <c r="W10" i="15"/>
  <c r="V10" i="15"/>
  <c r="W7" i="15"/>
  <c r="V7" i="15"/>
  <c r="W6" i="15"/>
  <c r="V6" i="15"/>
  <c r="W5" i="15"/>
  <c r="V5" i="15"/>
  <c r="M15" i="15"/>
  <c r="M14" i="15"/>
  <c r="M13" i="15"/>
  <c r="M12" i="17"/>
  <c r="M13" i="17"/>
  <c r="H8" i="19"/>
  <c r="H9" i="19" s="1"/>
  <c r="M5" i="19" s="1"/>
  <c r="M13" i="16"/>
  <c r="M13" i="8"/>
  <c r="H8" i="17"/>
  <c r="H9" i="17" s="1"/>
  <c r="M5" i="17" s="1"/>
  <c r="H8" i="16"/>
  <c r="H9" i="16" s="1"/>
  <c r="M5" i="16" s="1"/>
  <c r="H8" i="15"/>
  <c r="H9" i="15" s="1"/>
  <c r="M5" i="15" s="1"/>
  <c r="M12" i="8"/>
  <c r="M16" i="19" l="1"/>
  <c r="M7" i="19"/>
  <c r="M15" i="19"/>
  <c r="M8" i="19"/>
  <c r="M6" i="19"/>
  <c r="M9" i="19"/>
  <c r="M14" i="19"/>
  <c r="M11" i="19"/>
  <c r="M13" i="19" s="1"/>
  <c r="M10" i="19"/>
  <c r="M12" i="19" s="1"/>
  <c r="M16" i="17"/>
  <c r="M7" i="17"/>
  <c r="M15" i="17"/>
  <c r="M8" i="17"/>
  <c r="M14" i="17"/>
  <c r="M9" i="17"/>
  <c r="M6" i="17"/>
  <c r="M11" i="17"/>
  <c r="M10" i="17"/>
  <c r="M16" i="16"/>
  <c r="M11" i="16"/>
  <c r="M15" i="16"/>
  <c r="M8" i="16"/>
  <c r="M14" i="16"/>
  <c r="M7" i="16"/>
  <c r="M6" i="16"/>
  <c r="M9" i="16"/>
  <c r="M10" i="16"/>
  <c r="M16" i="15"/>
  <c r="M6" i="15"/>
  <c r="M11" i="15"/>
  <c r="M10" i="15"/>
  <c r="M8" i="15"/>
  <c r="M9" i="15"/>
  <c r="M7" i="15"/>
  <c r="M11" i="8"/>
  <c r="M10" i="8"/>
  <c r="H8" i="8"/>
  <c r="H9" i="8" s="1"/>
  <c r="M5" i="8" s="1"/>
  <c r="M15" i="8" s="1"/>
  <c r="M12" i="16" l="1"/>
  <c r="M6" i="8"/>
  <c r="M7" i="8"/>
  <c r="M8" i="8"/>
  <c r="M9" i="8"/>
  <c r="M16" i="8"/>
  <c r="M14" i="8"/>
</calcChain>
</file>

<file path=xl/sharedStrings.xml><?xml version="1.0" encoding="utf-8"?>
<sst xmlns="http://schemas.openxmlformats.org/spreadsheetml/2006/main" count="398" uniqueCount="79">
  <si>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</si>
  <si>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</si>
  <si>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</si>
  <si>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</si>
  <si>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</si>
  <si>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</si>
  <si>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</si>
  <si>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</si>
  <si>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</si>
  <si>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</si>
  <si>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</si>
  <si>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</si>
  <si>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</si>
  <si>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</si>
  <si>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</si>
  <si>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</si>
  <si>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</si>
  <si>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</si>
  <si>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</si>
  <si>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</si>
  <si>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</si>
  <si>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</si>
  <si>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</si>
  <si>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</si>
  <si>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</si>
  <si>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</si>
  <si>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</si>
  <si>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</si>
  <si>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</si>
  <si>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</si>
  <si>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</si>
  <si>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</si>
  <si>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</si>
  <si>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</si>
  <si>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</si>
  <si>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</si>
  <si>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</si>
  <si>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</si>
  <si>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</si>
  <si>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</si>
  <si>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</si>
  <si>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</si>
  <si>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</si>
  <si>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</si>
  <si>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</si>
  <si>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</si>
  <si>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</si>
  <si>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</si>
  <si>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01.schange</t>
  </si>
  <si>
    <t>02.bottle_schange</t>
  </si>
  <si>
    <t>nu1i</t>
  </si>
  <si>
    <t>nu2i</t>
  </si>
  <si>
    <t>nu1m</t>
  </si>
  <si>
    <t>nu2m</t>
  </si>
  <si>
    <t>nu1f</t>
  </si>
  <si>
    <t>nu2f</t>
  </si>
  <si>
    <t>T3</t>
  </si>
  <si>
    <t>04.sec_contact_schange</t>
  </si>
  <si>
    <t>03.bottle_schange_thr_epoch</t>
  </si>
  <si>
    <t>05.sec_contact_bottle_schange</t>
  </si>
  <si>
    <t>06.sec_contact_bottle_schange_thr_epoch</t>
  </si>
  <si>
    <t>Run 1 Rep 12</t>
  </si>
  <si>
    <t>Run 2 Rep 59</t>
  </si>
  <si>
    <t>Run 3 Rep 73</t>
  </si>
  <si>
    <t>Run 4 Rep 67</t>
  </si>
  <si>
    <t>Run 3 Rep 7</t>
  </si>
  <si>
    <t xml:space="preserve">Run 4 </t>
  </si>
  <si>
    <r>
      <t>nu</t>
    </r>
    <r>
      <rPr>
        <vertAlign val="subscript"/>
        <sz val="11"/>
        <color theme="1"/>
        <rFont val="Calibri"/>
        <family val="2"/>
        <scheme val="minor"/>
      </rPr>
      <t>1i</t>
    </r>
  </si>
  <si>
    <r>
      <t>nu</t>
    </r>
    <r>
      <rPr>
        <vertAlign val="subscript"/>
        <sz val="11"/>
        <color theme="1"/>
        <rFont val="Calibri"/>
        <family val="2"/>
        <scheme val="minor"/>
      </rPr>
      <t>2i</t>
    </r>
  </si>
  <si>
    <r>
      <t>nu</t>
    </r>
    <r>
      <rPr>
        <vertAlign val="subscript"/>
        <sz val="11"/>
        <color theme="1"/>
        <rFont val="Calibri"/>
        <family val="2"/>
        <scheme val="minor"/>
      </rPr>
      <t>1m</t>
    </r>
  </si>
  <si>
    <r>
      <t>nu</t>
    </r>
    <r>
      <rPr>
        <vertAlign val="subscript"/>
        <sz val="11"/>
        <color theme="1"/>
        <rFont val="Calibri"/>
        <family val="2"/>
        <scheme val="minor"/>
      </rPr>
      <t>2m</t>
    </r>
  </si>
  <si>
    <r>
      <t>nu</t>
    </r>
    <r>
      <rPr>
        <vertAlign val="subscript"/>
        <sz val="11"/>
        <color theme="1"/>
        <rFont val="Calibri"/>
        <family val="2"/>
        <scheme val="minor"/>
      </rPr>
      <t>1f</t>
    </r>
  </si>
  <si>
    <r>
      <t>nu</t>
    </r>
    <r>
      <rPr>
        <vertAlign val="subscript"/>
        <sz val="11"/>
        <color theme="1"/>
        <rFont val="Calibri"/>
        <family val="2"/>
        <scheme val="minor"/>
      </rPr>
      <t>2f</t>
    </r>
  </si>
  <si>
    <t>MIGR PERIOD</t>
  </si>
  <si>
    <t>M</t>
  </si>
  <si>
    <t>UNCERTAINTY ESTIMATES</t>
  </si>
  <si>
    <t>Lower Bound</t>
  </si>
  <si>
    <t>Upper Bound</t>
  </si>
  <si>
    <t>95% CONFIDENCE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</si>
</sst>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0" fillId="2" borderId="0" xfId="0" applyFill="1"/>
    <xf numFmtId="0" fontId="0" fillId="2" borderId="6" xfId="0" applyFill="1" applyBorder="1"/>
    <xf numFmtId="0" fontId="0" fillId="5" borderId="0" xfId="0" applyFill="1"/>
    <xf numFmtId="0" fontId="0" fillId="6" borderId="0" xfId="0" applyFill="1"/>
    <xf numFmtId="0" fontId="0" fillId="7" borderId="6" xfId="0" applyFill="1" applyBorder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5" xfId="0" applyBorder="1"/>
    <xf numFmtId="0" fontId="0" fillId="0" borderId="28" xfId="0" applyBorder="1"/>
    <xf numFmtId="0" fontId="0" fillId="4" borderId="0" xfId="0" applyFill="1"/>
    <xf numFmtId="0" fontId="0" fillId="4" borderId="34" xfId="0" applyFill="1" applyBorder="1"/>
    <xf numFmtId="0" fontId="0" fillId="4" borderId="35" xfId="0" applyFill="1" applyBorder="1"/>
    <xf numFmtId="0" fontId="0" fillId="4" borderId="5" xfId="0" applyFill="1" applyBorder="1"/>
    <xf numFmtId="4" fontId="0" fillId="4" borderId="36" xfId="0" applyNumberFormat="1" applyFill="1" applyBorder="1"/>
    <xf numFmtId="4" fontId="0" fillId="4" borderId="37" xfId="0" applyNumberFormat="1" applyFill="1" applyBorder="1"/>
    <xf numFmtId="4" fontId="0" fillId="4" borderId="0" xfId="0" applyNumberFormat="1" applyFill="1"/>
    <xf numFmtId="0" fontId="1" fillId="0" borderId="29" xfId="0" applyFont="1" applyBorder="1" applyAlignment="1">
      <alignment horizontal="center" vertical="center" textRotation="90"/>
    </xf>
    <xf numFmtId="4" fontId="0" fillId="4" borderId="26" xfId="0" applyNumberFormat="1" applyFill="1" applyBorder="1"/>
    <xf numFmtId="4" fontId="0" fillId="2" borderId="6" xfId="0" applyNumberFormat="1" applyFill="1" applyBorder="1"/>
    <xf numFmtId="4" fontId="0" fillId="4" borderId="6" xfId="0" applyNumberFormat="1" applyFill="1" applyBorder="1"/>
    <xf numFmtId="4" fontId="0" fillId="2" borderId="25" xfId="0" applyNumberForma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  <xf numFmtId="0" fontId="1" fillId="0" borderId="33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workbookViewId="0">
      <selection activeCell="M6" sqref="M6"/>
    </sheetView>
  </sheetViews>
  <sheetFormatPr defaultRowHeight="14.4" x14ac:dyDescent="0.3"/>
  <cols>
    <col min="1" max="1" width="40.21875" bestFit="1" customWidth="1"/>
    <col min="2" max="5" width="9.6640625" bestFit="1" customWidth="1"/>
    <col min="6" max="6" width="10.5546875" customWidth="1"/>
    <col min="12" max="12" width="16.109375" bestFit="1" customWidth="1"/>
    <col min="13" max="13" width="9" bestFit="1" customWidth="1"/>
    <col min="14" max="14" width="7" customWidth="1"/>
    <col min="15" max="17" width="7" bestFit="1" customWidth="1"/>
    <col min="18" max="18" width="8" bestFit="1" customWidth="1"/>
    <col min="19" max="19" width="8.33203125" customWidth="1"/>
    <col min="20" max="20" width="8" bestFit="1" customWidth="1"/>
    <col min="21" max="21" width="7" bestFit="1" customWidth="1"/>
    <col min="22" max="23" width="6.88671875" customWidth="1"/>
  </cols>
  <sheetData>
    <row r="1" spans="1:24" x14ac:dyDescent="0.3">
      <c r="A1" s="1" t="s">
        <v>0</v>
      </c>
      <c r="B1" s="68" t="s">
        <v>6</v>
      </c>
      <c r="C1" s="68"/>
      <c r="D1" s="68"/>
      <c r="E1" s="68"/>
      <c r="F1" s="69"/>
      <c r="G1" s="68" t="s">
        <v>7</v>
      </c>
      <c r="H1" s="68"/>
      <c r="I1" s="68"/>
      <c r="J1" s="68"/>
      <c r="K1" s="69"/>
      <c r="L1" s="41" t="s">
        <v>13</v>
      </c>
      <c r="M1" s="70" t="s">
        <v>8</v>
      </c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24" x14ac:dyDescent="0.3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42" t="s">
        <v>14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9</v>
      </c>
      <c r="U2" s="7" t="s">
        <v>10</v>
      </c>
      <c r="V2" s="42" t="s">
        <v>11</v>
      </c>
      <c r="W2" s="42" t="s">
        <v>12</v>
      </c>
      <c r="X2" s="10" t="s">
        <v>56</v>
      </c>
    </row>
    <row r="3" spans="1:24" x14ac:dyDescent="0.3">
      <c r="A3" s="2" t="s">
        <v>48</v>
      </c>
      <c r="B3" s="48">
        <v>-100346.1</v>
      </c>
      <c r="C3">
        <v>-119954.2</v>
      </c>
      <c r="D3">
        <v>-119405.3</v>
      </c>
      <c r="E3">
        <v>-102060.1</v>
      </c>
      <c r="F3" s="4">
        <v>-108924.9</v>
      </c>
      <c r="G3" s="43">
        <v>200702.2</v>
      </c>
      <c r="H3">
        <v>239918.4</v>
      </c>
      <c r="I3">
        <v>238820.6</v>
      </c>
      <c r="J3">
        <v>204130.2</v>
      </c>
      <c r="K3" s="4">
        <v>217859.7</v>
      </c>
      <c r="L3" s="4" t="s">
        <v>61</v>
      </c>
      <c r="M3">
        <v>336964</v>
      </c>
      <c r="N3">
        <v>0.1497</v>
      </c>
      <c r="O3">
        <v>3.7086999999999999</v>
      </c>
      <c r="R3">
        <v>4.9799999999999997E-2</v>
      </c>
      <c r="S3">
        <v>1.01E-2</v>
      </c>
      <c r="V3">
        <v>2.3199999999999998E-2</v>
      </c>
      <c r="X3" s="4"/>
    </row>
    <row r="4" spans="1:24" x14ac:dyDescent="0.3">
      <c r="A4" s="2" t="s">
        <v>49</v>
      </c>
      <c r="B4">
        <v>-149144.5</v>
      </c>
      <c r="C4" s="50">
        <v>-118835.8</v>
      </c>
      <c r="D4">
        <v>-120897.2</v>
      </c>
      <c r="E4">
        <v>-175540.5</v>
      </c>
      <c r="F4" s="4">
        <v>-189346.5</v>
      </c>
      <c r="G4">
        <v>298304.90000000002</v>
      </c>
      <c r="H4" s="43">
        <v>237687.7</v>
      </c>
      <c r="I4">
        <v>241810.4</v>
      </c>
      <c r="J4">
        <v>351097</v>
      </c>
      <c r="K4" s="4">
        <v>378708.9</v>
      </c>
      <c r="L4" s="4" t="s">
        <v>62</v>
      </c>
      <c r="M4">
        <v>315612.09999999998</v>
      </c>
      <c r="N4">
        <v>0.50529999999999997</v>
      </c>
      <c r="O4">
        <v>0.3014</v>
      </c>
      <c r="P4">
        <v>8.3599999999999994E-2</v>
      </c>
      <c r="Q4">
        <v>1.0822000000000001</v>
      </c>
      <c r="R4">
        <v>0.17249999999999999</v>
      </c>
      <c r="S4">
        <v>2.7E-2</v>
      </c>
      <c r="V4">
        <v>2.6700000000000002E-2</v>
      </c>
      <c r="W4">
        <v>3.2099999999999997E-2</v>
      </c>
      <c r="X4" s="4"/>
    </row>
    <row r="5" spans="1:24" x14ac:dyDescent="0.3">
      <c r="A5" s="2" t="s">
        <v>58</v>
      </c>
      <c r="B5">
        <v>-248327.6</v>
      </c>
      <c r="C5">
        <v>-1213186</v>
      </c>
      <c r="D5">
        <v>-411871.9</v>
      </c>
      <c r="E5" s="49">
        <v>-228936.9</v>
      </c>
      <c r="F5" s="4">
        <v>-1124581</v>
      </c>
      <c r="G5">
        <v>496673.2</v>
      </c>
      <c r="H5">
        <v>2426391</v>
      </c>
      <c r="I5">
        <v>823761.9</v>
      </c>
      <c r="J5" s="43">
        <v>457891.8</v>
      </c>
      <c r="K5" s="4">
        <v>2249180</v>
      </c>
      <c r="L5" s="4" t="s">
        <v>66</v>
      </c>
      <c r="M5">
        <v>219902.3</v>
      </c>
      <c r="N5">
        <v>0.72989999999999999</v>
      </c>
      <c r="O5">
        <v>21.985199999999999</v>
      </c>
      <c r="P5">
        <v>2.8016000000000001</v>
      </c>
      <c r="Q5">
        <v>0.32029999999999997</v>
      </c>
      <c r="R5">
        <v>0.1149</v>
      </c>
      <c r="S5">
        <v>0.96279999999999999</v>
      </c>
      <c r="V5">
        <v>8.2699999999999996E-2</v>
      </c>
      <c r="W5">
        <v>7.6300000000000007E-2</v>
      </c>
      <c r="X5" s="4">
        <v>6.0400000000000002E-2</v>
      </c>
    </row>
    <row r="6" spans="1:24" x14ac:dyDescent="0.3">
      <c r="A6" s="2" t="s">
        <v>57</v>
      </c>
      <c r="B6">
        <v>-93094.8</v>
      </c>
      <c r="C6">
        <v>-86262.81</v>
      </c>
      <c r="D6" s="45">
        <v>-81001.600000000006</v>
      </c>
      <c r="E6">
        <v>-104189.1</v>
      </c>
      <c r="F6" s="4">
        <v>-131517.29999999999</v>
      </c>
      <c r="G6">
        <v>186205.6</v>
      </c>
      <c r="H6">
        <v>172541.6</v>
      </c>
      <c r="I6" s="43">
        <v>162019.20000000001</v>
      </c>
      <c r="J6">
        <v>208394.1</v>
      </c>
      <c r="K6" s="4">
        <v>263050.59999999998</v>
      </c>
      <c r="L6" s="4" t="s">
        <v>63</v>
      </c>
      <c r="M6">
        <v>71968.69</v>
      </c>
      <c r="N6">
        <v>3.1768000000000001</v>
      </c>
      <c r="O6">
        <v>9.5620999999999992</v>
      </c>
      <c r="R6">
        <v>0.1053</v>
      </c>
      <c r="S6">
        <v>3.9600000000000003E-2</v>
      </c>
      <c r="T6">
        <v>3.0836000000000001</v>
      </c>
      <c r="U6">
        <v>5.4648000000000003</v>
      </c>
      <c r="V6">
        <v>5.3705999999999996</v>
      </c>
      <c r="W6">
        <v>0.14280000000000001</v>
      </c>
      <c r="X6" s="4"/>
    </row>
    <row r="7" spans="1:24" x14ac:dyDescent="0.3">
      <c r="A7" s="2" t="s">
        <v>59</v>
      </c>
      <c r="B7">
        <v>-151874.79999999999</v>
      </c>
      <c r="C7">
        <v>-117330.3</v>
      </c>
      <c r="D7">
        <v>-98864.34</v>
      </c>
      <c r="E7" s="46">
        <v>-86270.55</v>
      </c>
      <c r="F7" s="4">
        <v>-167668</v>
      </c>
      <c r="G7">
        <v>303769.5</v>
      </c>
      <c r="H7">
        <v>234680.6</v>
      </c>
      <c r="I7">
        <v>197748.7</v>
      </c>
      <c r="J7" s="43">
        <v>172561.1</v>
      </c>
      <c r="K7" s="4">
        <v>335356.09999999998</v>
      </c>
      <c r="L7" s="4" t="s">
        <v>64</v>
      </c>
      <c r="M7">
        <v>177855.6</v>
      </c>
      <c r="N7">
        <v>0.78890000000000005</v>
      </c>
      <c r="O7">
        <v>4.1205999999999996</v>
      </c>
      <c r="P7">
        <v>1.1295999999999999</v>
      </c>
      <c r="Q7">
        <v>6.1315</v>
      </c>
      <c r="R7">
        <v>5.6300000000000003E-2</v>
      </c>
      <c r="S7">
        <v>2.4500000000000001E-2</v>
      </c>
      <c r="T7">
        <v>8.5219000000000005</v>
      </c>
      <c r="U7">
        <v>5.9484000000000004</v>
      </c>
      <c r="V7">
        <v>1.3299000000000001</v>
      </c>
      <c r="W7">
        <v>7.4399999999999994E-2</v>
      </c>
      <c r="X7" s="4"/>
    </row>
    <row r="8" spans="1:24" x14ac:dyDescent="0.3">
      <c r="A8" s="3" t="s">
        <v>60</v>
      </c>
      <c r="B8" s="5">
        <v>-97721.84</v>
      </c>
      <c r="C8" s="5">
        <v>-96668.25</v>
      </c>
      <c r="D8" s="47">
        <v>-91732.12</v>
      </c>
      <c r="E8" s="5">
        <v>-114255.8</v>
      </c>
      <c r="F8" s="6">
        <v>-132210</v>
      </c>
      <c r="G8" s="5">
        <v>195465.7</v>
      </c>
      <c r="H8" s="5">
        <v>193358.5</v>
      </c>
      <c r="I8" s="44">
        <v>183486.2</v>
      </c>
      <c r="J8" s="5">
        <v>228533.6</v>
      </c>
      <c r="K8" s="6">
        <v>264441.90000000002</v>
      </c>
      <c r="L8" s="6" t="s">
        <v>65</v>
      </c>
      <c r="M8" s="5">
        <v>20816.03</v>
      </c>
      <c r="N8" s="5">
        <v>0.73799999999999999</v>
      </c>
      <c r="O8" s="5">
        <v>1.5760000000000001</v>
      </c>
      <c r="P8" s="5">
        <v>8.2385999999999999</v>
      </c>
      <c r="Q8" s="5">
        <v>13.714399999999999</v>
      </c>
      <c r="R8" s="5">
        <v>0.1104</v>
      </c>
      <c r="S8" s="5">
        <v>5.45E-2</v>
      </c>
      <c r="T8" s="5">
        <v>1.3498000000000001</v>
      </c>
      <c r="U8" s="5">
        <v>0.91690000000000005</v>
      </c>
      <c r="V8" s="5">
        <v>1.35E-2</v>
      </c>
      <c r="W8" s="5">
        <v>25.9312</v>
      </c>
      <c r="X8" s="6">
        <v>0.11700000000000001</v>
      </c>
    </row>
  </sheetData>
  <mergeCells count="3">
    <mergeCell ref="B1:F1"/>
    <mergeCell ref="G1:K1"/>
    <mergeCell ref="M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M16"/>
  <sheetViews>
    <sheetView workbookViewId="0">
      <selection activeCell="M13" sqref="M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3"/>
      <c r="C1" s="73"/>
      <c r="D1" s="73"/>
      <c r="F1" s="9" t="s">
        <v>73</v>
      </c>
    </row>
    <row r="2" spans="1:13" ht="15" thickBot="1" x14ac:dyDescent="0.35"/>
    <row r="3" spans="1:13" x14ac:dyDescent="0.3">
      <c r="A3" s="77" t="s">
        <v>20</v>
      </c>
      <c r="B3" s="75"/>
      <c r="C3" s="78"/>
      <c r="D3" s="79"/>
      <c r="F3" s="74" t="s">
        <v>22</v>
      </c>
      <c r="G3" s="75"/>
      <c r="H3" s="76"/>
      <c r="J3" s="74" t="s">
        <v>23</v>
      </c>
      <c r="K3" s="75"/>
      <c r="L3" s="75"/>
      <c r="M3" s="76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/>
      <c r="F5" s="33" t="s">
        <v>39</v>
      </c>
      <c r="G5" s="34" t="s">
        <v>31</v>
      </c>
      <c r="H5" s="20">
        <v>4.9300000000000001E-9</v>
      </c>
      <c r="J5" s="82" t="s">
        <v>16</v>
      </c>
      <c r="K5" s="22" t="s">
        <v>29</v>
      </c>
      <c r="L5" s="23"/>
      <c r="M5" s="36">
        <f>D5/(4*H5*H6*H9)</f>
        <v>0</v>
      </c>
    </row>
    <row r="6" spans="1:13" ht="51.6" customHeight="1" x14ac:dyDescent="0.35">
      <c r="A6" s="82" t="s">
        <v>16</v>
      </c>
      <c r="B6" s="51" t="s">
        <v>67</v>
      </c>
      <c r="C6" s="52"/>
      <c r="D6" s="55"/>
      <c r="F6" s="33" t="s">
        <v>33</v>
      </c>
      <c r="G6" s="34" t="s">
        <v>38</v>
      </c>
      <c r="H6" s="20">
        <v>10</v>
      </c>
      <c r="J6" s="83"/>
      <c r="K6" s="57" t="s">
        <v>67</v>
      </c>
      <c r="L6" s="28"/>
      <c r="M6" s="60">
        <f>D6*M5</f>
        <v>0</v>
      </c>
    </row>
    <row r="7" spans="1:13" ht="15.6" x14ac:dyDescent="0.35">
      <c r="A7" s="83"/>
      <c r="B7" s="53" t="s">
        <v>68</v>
      </c>
      <c r="C7" s="4"/>
      <c r="D7" s="13"/>
      <c r="F7" s="16" t="s">
        <v>42</v>
      </c>
      <c r="G7" s="4" t="s">
        <v>41</v>
      </c>
      <c r="H7" s="13">
        <v>603301446</v>
      </c>
      <c r="J7" s="83"/>
      <c r="K7" s="58" t="s">
        <v>68</v>
      </c>
      <c r="L7" s="24"/>
      <c r="M7" s="61">
        <f>D7*M5</f>
        <v>0</v>
      </c>
    </row>
    <row r="8" spans="1:13" ht="15.6" x14ac:dyDescent="0.35">
      <c r="A8" s="83"/>
      <c r="B8" s="53" t="s">
        <v>69</v>
      </c>
      <c r="C8" s="4"/>
      <c r="D8" s="13"/>
      <c r="F8" s="16" t="s">
        <v>43</v>
      </c>
      <c r="G8" s="4"/>
      <c r="H8" s="13">
        <f>(8732510/600502230)*(1066040/1226278)</f>
        <v>1.2641803364126243E-2</v>
      </c>
      <c r="J8" s="83"/>
      <c r="K8" s="58" t="s">
        <v>69</v>
      </c>
      <c r="L8" s="24"/>
      <c r="M8" s="61">
        <f>D8*M5</f>
        <v>0</v>
      </c>
    </row>
    <row r="9" spans="1:13" ht="24.6" customHeight="1" thickBot="1" x14ac:dyDescent="0.4">
      <c r="A9" s="83"/>
      <c r="B9" s="53" t="s">
        <v>70</v>
      </c>
      <c r="C9" s="4"/>
      <c r="D9" s="13"/>
      <c r="F9" s="32" t="s">
        <v>40</v>
      </c>
      <c r="G9" s="30" t="s">
        <v>41</v>
      </c>
      <c r="H9" s="31">
        <f>H7*H8</f>
        <v>7626818.2496250272</v>
      </c>
      <c r="J9" s="83"/>
      <c r="K9" s="58" t="s">
        <v>70</v>
      </c>
      <c r="L9" s="24"/>
      <c r="M9" s="61">
        <f>D9*M5</f>
        <v>0</v>
      </c>
    </row>
    <row r="10" spans="1:13" ht="36.6" customHeight="1" x14ac:dyDescent="0.35">
      <c r="A10" s="83"/>
      <c r="B10" s="53" t="s">
        <v>71</v>
      </c>
      <c r="C10" s="4"/>
      <c r="D10" s="13"/>
      <c r="J10" s="83"/>
      <c r="K10" s="58" t="s">
        <v>71</v>
      </c>
      <c r="L10" s="24"/>
      <c r="M10" s="61">
        <f>D10*M5</f>
        <v>0</v>
      </c>
    </row>
    <row r="11" spans="1:13" ht="33.6" customHeight="1" x14ac:dyDescent="0.35">
      <c r="A11" s="85"/>
      <c r="B11" s="54" t="s">
        <v>72</v>
      </c>
      <c r="C11" s="6"/>
      <c r="D11" s="20"/>
      <c r="J11" s="85"/>
      <c r="K11" s="59" t="s">
        <v>72</v>
      </c>
      <c r="L11" s="26"/>
      <c r="M11" s="61">
        <f>D11*M5</f>
        <v>0</v>
      </c>
    </row>
    <row r="12" spans="1:13" ht="27.6" customHeight="1" x14ac:dyDescent="0.35">
      <c r="A12" s="80" t="s">
        <v>17</v>
      </c>
      <c r="B12" t="s">
        <v>35</v>
      </c>
      <c r="C12" s="4" t="s">
        <v>34</v>
      </c>
      <c r="D12" s="13"/>
      <c r="J12" s="82" t="s">
        <v>17</v>
      </c>
      <c r="K12" s="27" t="s">
        <v>24</v>
      </c>
      <c r="L12" s="28" t="s">
        <v>37</v>
      </c>
      <c r="M12" s="39" t="e">
        <f>IF(G1="M",(D12*M8)/(2*M5),(D12*M10)/(2*M5))</f>
        <v>#DIV/0!</v>
      </c>
    </row>
    <row r="13" spans="1:13" ht="40.200000000000003" customHeight="1" x14ac:dyDescent="0.35">
      <c r="A13" s="81"/>
      <c r="B13" s="5" t="s">
        <v>36</v>
      </c>
      <c r="C13" s="6" t="s">
        <v>34</v>
      </c>
      <c r="D13" s="20"/>
      <c r="J13" s="85"/>
      <c r="K13" s="25" t="s">
        <v>25</v>
      </c>
      <c r="L13" s="26" t="s">
        <v>37</v>
      </c>
      <c r="M13" s="38" t="e">
        <f>IF(G1="M",(D13*M9)/(M5*2),(D13*M11)/(M5*2))</f>
        <v>#DIV/0!</v>
      </c>
    </row>
    <row r="14" spans="1:13" ht="28.2" customHeight="1" x14ac:dyDescent="0.35">
      <c r="A14" s="82" t="s">
        <v>18</v>
      </c>
      <c r="B14" t="s">
        <v>26</v>
      </c>
      <c r="C14" s="4"/>
      <c r="D14" s="13"/>
      <c r="J14" s="82" t="s">
        <v>18</v>
      </c>
      <c r="K14" s="56" t="s">
        <v>44</v>
      </c>
      <c r="L14" s="24" t="s">
        <v>32</v>
      </c>
      <c r="M14" s="37">
        <f>2*D14*M5*H6</f>
        <v>0</v>
      </c>
    </row>
    <row r="15" spans="1:13" ht="15.6" x14ac:dyDescent="0.35">
      <c r="A15" s="83"/>
      <c r="B15" t="s">
        <v>27</v>
      </c>
      <c r="C15" s="4"/>
      <c r="D15" s="13"/>
      <c r="J15" s="83"/>
      <c r="K15" s="56" t="s">
        <v>45</v>
      </c>
      <c r="L15" s="24" t="s">
        <v>32</v>
      </c>
      <c r="M15" s="37">
        <f>2*D15*M5*H6</f>
        <v>0</v>
      </c>
    </row>
    <row r="16" spans="1:13" ht="16.2" thickBot="1" x14ac:dyDescent="0.4">
      <c r="A16" s="84"/>
      <c r="B16" s="19" t="s">
        <v>28</v>
      </c>
      <c r="C16" s="14"/>
      <c r="D16" s="15"/>
      <c r="J16" s="84"/>
      <c r="K16" s="29" t="s">
        <v>46</v>
      </c>
      <c r="L16" s="30" t="s">
        <v>32</v>
      </c>
      <c r="M16" s="40">
        <f>2*D16*M5*H6</f>
        <v>0</v>
      </c>
    </row>
  </sheetData>
  <mergeCells count="10">
    <mergeCell ref="A14:A16"/>
    <mergeCell ref="A6:A11"/>
    <mergeCell ref="J5:J11"/>
    <mergeCell ref="J12:J13"/>
    <mergeCell ref="J14:J16"/>
    <mergeCell ref="B1:D1"/>
    <mergeCell ref="J3:M3"/>
    <mergeCell ref="A3:D3"/>
    <mergeCell ref="F3:H3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5F90-B158-4862-AA5B-6C31B78B8164}">
  <dimension ref="A1:W16"/>
  <sheetViews>
    <sheetView tabSelected="1" topLeftCell="D1" workbookViewId="0">
      <selection activeCell="M13" sqref="M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3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3.88671875" customWidth="1"/>
    <col min="16" max="16" width="10.5546875" bestFit="1" customWidth="1"/>
    <col min="18" max="18" width="3.6640625" customWidth="1"/>
    <col min="20" max="20" width="10.5546875" bestFit="1" customWidth="1"/>
    <col min="22" max="22" width="12.109375" bestFit="1" customWidth="1"/>
    <col min="23" max="23" width="12.21875" bestFit="1" customWidth="1"/>
  </cols>
  <sheetData>
    <row r="1" spans="1:23" x14ac:dyDescent="0.3">
      <c r="A1" s="9" t="s">
        <v>47</v>
      </c>
      <c r="B1" s="73" t="s">
        <v>57</v>
      </c>
      <c r="C1" s="73"/>
      <c r="D1" s="73"/>
      <c r="F1" s="9" t="s">
        <v>73</v>
      </c>
    </row>
    <row r="2" spans="1:23" ht="15" thickBot="1" x14ac:dyDescent="0.35"/>
    <row r="3" spans="1:23" x14ac:dyDescent="0.3">
      <c r="A3" s="77" t="s">
        <v>20</v>
      </c>
      <c r="B3" s="75"/>
      <c r="C3" s="78"/>
      <c r="D3" s="79"/>
      <c r="F3" s="74" t="s">
        <v>22</v>
      </c>
      <c r="G3" s="75"/>
      <c r="H3" s="76"/>
      <c r="J3" s="74" t="s">
        <v>23</v>
      </c>
      <c r="K3" s="75"/>
      <c r="L3" s="75"/>
      <c r="M3" s="76"/>
      <c r="O3" s="86" t="s">
        <v>75</v>
      </c>
      <c r="P3" s="86"/>
      <c r="Q3" s="86"/>
      <c r="S3" s="74" t="s">
        <v>78</v>
      </c>
      <c r="T3" s="75"/>
      <c r="U3" s="75"/>
      <c r="V3" s="75"/>
      <c r="W3" s="76"/>
    </row>
    <row r="4" spans="1:2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76</v>
      </c>
      <c r="W4" s="18" t="s">
        <v>77</v>
      </c>
    </row>
    <row r="5" spans="1:23" ht="48" customHeight="1" x14ac:dyDescent="0.35">
      <c r="A5" s="35" t="s">
        <v>19</v>
      </c>
      <c r="B5" s="5" t="s">
        <v>14</v>
      </c>
      <c r="C5" s="6" t="s">
        <v>34</v>
      </c>
      <c r="D5" s="20">
        <v>71968.69</v>
      </c>
      <c r="F5" s="33" t="s">
        <v>39</v>
      </c>
      <c r="G5" s="34" t="s">
        <v>31</v>
      </c>
      <c r="H5" s="20">
        <v>4.9300000000000001E-9</v>
      </c>
      <c r="J5" s="82" t="s">
        <v>16</v>
      </c>
      <c r="K5" s="22" t="s">
        <v>29</v>
      </c>
      <c r="L5" s="23"/>
      <c r="M5" s="36">
        <f>D5/(4*H5*H6*H9)</f>
        <v>47851.250298851177</v>
      </c>
      <c r="O5" s="63" t="s">
        <v>19</v>
      </c>
      <c r="P5" s="5" t="s">
        <v>14</v>
      </c>
      <c r="Q5" s="20">
        <v>3.22536E-3</v>
      </c>
      <c r="S5" s="82" t="s">
        <v>16</v>
      </c>
      <c r="T5" s="22" t="s">
        <v>29</v>
      </c>
      <c r="U5" s="23"/>
      <c r="V5" s="65">
        <f>(D5 - 2*Q5)/(4*H5*H6*H9)</f>
        <v>47851.246009833034</v>
      </c>
      <c r="W5" s="67">
        <f>(D5+2*Q5)/(4*H5*H6*H9)</f>
        <v>47851.25458786932</v>
      </c>
    </row>
    <row r="6" spans="1:23" ht="51.6" customHeight="1" x14ac:dyDescent="0.35">
      <c r="A6" s="82" t="s">
        <v>16</v>
      </c>
      <c r="B6" s="51" t="s">
        <v>67</v>
      </c>
      <c r="C6" s="52"/>
      <c r="D6" s="55">
        <v>3.1768000000000001</v>
      </c>
      <c r="F6" s="33" t="s">
        <v>33</v>
      </c>
      <c r="G6" s="34" t="s">
        <v>38</v>
      </c>
      <c r="H6" s="20">
        <v>10</v>
      </c>
      <c r="J6" s="83"/>
      <c r="K6" s="57" t="s">
        <v>67</v>
      </c>
      <c r="L6" s="28"/>
      <c r="M6" s="60">
        <f>D6*M5</f>
        <v>152013.85194939043</v>
      </c>
      <c r="O6" s="82" t="s">
        <v>16</v>
      </c>
      <c r="P6" s="51" t="s">
        <v>67</v>
      </c>
      <c r="Q6" s="55">
        <v>2.0298999999999998E-3</v>
      </c>
      <c r="S6" s="83"/>
      <c r="T6" s="57" t="s">
        <v>67</v>
      </c>
      <c r="U6" s="28"/>
      <c r="V6" s="62">
        <f>(D6-2*Q6)*M5</f>
        <v>151819.58544342715</v>
      </c>
      <c r="W6" s="37">
        <f>(D6+2*Q6)*M5</f>
        <v>152208.11845535369</v>
      </c>
    </row>
    <row r="7" spans="1:23" ht="15.6" x14ac:dyDescent="0.35">
      <c r="A7" s="83"/>
      <c r="B7" s="53" t="s">
        <v>68</v>
      </c>
      <c r="C7" s="4"/>
      <c r="D7" s="13">
        <v>9.5620999999999992</v>
      </c>
      <c r="F7" s="16" t="s">
        <v>42</v>
      </c>
      <c r="G7" s="4" t="s">
        <v>41</v>
      </c>
      <c r="H7" s="13">
        <v>603301446</v>
      </c>
      <c r="J7" s="83"/>
      <c r="K7" s="58" t="s">
        <v>68</v>
      </c>
      <c r="L7" s="24"/>
      <c r="M7" s="61">
        <f>D7*M5</f>
        <v>457558.44048264477</v>
      </c>
      <c r="O7" s="83"/>
      <c r="P7" s="53" t="s">
        <v>68</v>
      </c>
      <c r="Q7" s="13">
        <v>1.9669900000000001E-3</v>
      </c>
      <c r="S7" s="83"/>
      <c r="T7" s="58" t="s">
        <v>68</v>
      </c>
      <c r="U7" s="24"/>
      <c r="V7" s="62">
        <f>(D7-2*Q7)*M5</f>
        <v>457370.19462099415</v>
      </c>
      <c r="W7" s="37">
        <f>(D7+2*Q7)*M5</f>
        <v>457746.68634429545</v>
      </c>
    </row>
    <row r="8" spans="1:23" ht="15.6" x14ac:dyDescent="0.35">
      <c r="A8" s="83"/>
      <c r="B8" s="53" t="s">
        <v>69</v>
      </c>
      <c r="C8" s="4"/>
      <c r="D8" s="13"/>
      <c r="F8" s="16" t="s">
        <v>43</v>
      </c>
      <c r="G8" s="4"/>
      <c r="H8" s="13">
        <f>(8732510/600502230)*(1066040/1226278)</f>
        <v>1.2641803364126243E-2</v>
      </c>
      <c r="J8" s="83"/>
      <c r="K8" s="58" t="s">
        <v>69</v>
      </c>
      <c r="L8" s="24"/>
      <c r="M8" s="61">
        <f>D8*M5</f>
        <v>0</v>
      </c>
      <c r="O8" s="83"/>
      <c r="P8" s="53" t="s">
        <v>69</v>
      </c>
      <c r="Q8" s="13"/>
      <c r="S8" s="83"/>
      <c r="T8" s="58" t="s">
        <v>69</v>
      </c>
      <c r="U8" s="24"/>
      <c r="V8" s="62"/>
      <c r="W8" s="37"/>
    </row>
    <row r="9" spans="1:23" ht="24.6" customHeight="1" thickBot="1" x14ac:dyDescent="0.4">
      <c r="A9" s="83"/>
      <c r="B9" s="53" t="s">
        <v>70</v>
      </c>
      <c r="C9" s="4"/>
      <c r="D9" s="13"/>
      <c r="F9" s="32" t="s">
        <v>40</v>
      </c>
      <c r="G9" s="30" t="s">
        <v>41</v>
      </c>
      <c r="H9" s="31">
        <f>H7*H8</f>
        <v>7626818.2496250272</v>
      </c>
      <c r="J9" s="83"/>
      <c r="K9" s="58" t="s">
        <v>70</v>
      </c>
      <c r="L9" s="24"/>
      <c r="M9" s="61">
        <f>D9*M5</f>
        <v>0</v>
      </c>
      <c r="O9" s="83"/>
      <c r="P9" s="53" t="s">
        <v>70</v>
      </c>
      <c r="Q9" s="13"/>
      <c r="S9" s="83"/>
      <c r="T9" s="58" t="s">
        <v>70</v>
      </c>
      <c r="U9" s="24"/>
      <c r="V9" s="62"/>
      <c r="W9" s="37"/>
    </row>
    <row r="10" spans="1:23" ht="36.6" customHeight="1" x14ac:dyDescent="0.35">
      <c r="A10" s="83"/>
      <c r="B10" s="53" t="s">
        <v>71</v>
      </c>
      <c r="C10" s="4"/>
      <c r="D10" s="13">
        <v>0.1053</v>
      </c>
      <c r="J10" s="83"/>
      <c r="K10" s="58" t="s">
        <v>71</v>
      </c>
      <c r="L10" s="24"/>
      <c r="M10" s="61">
        <f>D10*M5</f>
        <v>5038.7366564690292</v>
      </c>
      <c r="O10" s="83"/>
      <c r="P10" s="53" t="s">
        <v>71</v>
      </c>
      <c r="Q10" s="13">
        <v>8.1761100000000003E-3</v>
      </c>
      <c r="S10" s="83"/>
      <c r="T10" s="58" t="s">
        <v>71</v>
      </c>
      <c r="U10" s="24"/>
      <c r="V10" s="62">
        <f>(D10-2*Q10)*M5</f>
        <v>4256.262484307149</v>
      </c>
      <c r="W10" s="37">
        <f>(D10+2*Q10)*M5</f>
        <v>5821.2108286309094</v>
      </c>
    </row>
    <row r="11" spans="1:23" ht="33.6" customHeight="1" x14ac:dyDescent="0.35">
      <c r="A11" s="85"/>
      <c r="B11" s="54" t="s">
        <v>72</v>
      </c>
      <c r="C11" s="6"/>
      <c r="D11" s="20">
        <v>3.9600000000000003E-2</v>
      </c>
      <c r="J11" s="85"/>
      <c r="K11" s="59" t="s">
        <v>72</v>
      </c>
      <c r="L11" s="26"/>
      <c r="M11" s="61">
        <f>D11*M5</f>
        <v>1894.9095118345067</v>
      </c>
      <c r="O11" s="85"/>
      <c r="P11" s="54" t="s">
        <v>72</v>
      </c>
      <c r="Q11" s="20">
        <v>1.028575E-2</v>
      </c>
      <c r="S11" s="85"/>
      <c r="T11" s="59" t="s">
        <v>72</v>
      </c>
      <c r="U11" s="26"/>
      <c r="V11" s="66">
        <f>(D11-2*Q11)*M5</f>
        <v>910.53751631168984</v>
      </c>
      <c r="W11" s="38">
        <f>(D11+2*Q11)*M5</f>
        <v>2879.2815073573238</v>
      </c>
    </row>
    <row r="12" spans="1:23" ht="27.6" customHeight="1" x14ac:dyDescent="0.35">
      <c r="A12" s="80" t="s">
        <v>17</v>
      </c>
      <c r="B12" t="s">
        <v>35</v>
      </c>
      <c r="C12" s="4" t="s">
        <v>34</v>
      </c>
      <c r="D12" s="13">
        <v>3.0836000000000001</v>
      </c>
      <c r="J12" s="82" t="s">
        <v>17</v>
      </c>
      <c r="K12" s="27" t="s">
        <v>24</v>
      </c>
      <c r="L12" s="28" t="s">
        <v>37</v>
      </c>
      <c r="M12" s="39">
        <f>IF(G1="M",(D12*M8)/(2*M5),(D12*M10)/(2*M5))</f>
        <v>0.16235154000000002</v>
      </c>
      <c r="O12" s="83" t="s">
        <v>17</v>
      </c>
      <c r="P12" t="s">
        <v>35</v>
      </c>
      <c r="Q12" s="13">
        <v>5.9988899999999998E-3</v>
      </c>
      <c r="S12" s="82" t="s">
        <v>17</v>
      </c>
      <c r="T12" s="27" t="s">
        <v>24</v>
      </c>
      <c r="U12" s="28" t="s">
        <v>37</v>
      </c>
      <c r="V12" s="62">
        <f>IF(G1="M",((D12-2*Q12)*M8)/(2*M5),((D12-2*Q12)*M10)/(2*M5))</f>
        <v>0.161719856883</v>
      </c>
      <c r="W12" s="37">
        <f>IF(G1="M",((D12+2*Q12)*M8)/(2*M5),((D12+2*Q12)*M10)/(2*M5))</f>
        <v>0.16298322311700003</v>
      </c>
    </row>
    <row r="13" spans="1:23" ht="40.200000000000003" customHeight="1" x14ac:dyDescent="0.35">
      <c r="A13" s="81"/>
      <c r="B13" s="5" t="s">
        <v>36</v>
      </c>
      <c r="C13" s="6" t="s">
        <v>34</v>
      </c>
      <c r="D13" s="20">
        <v>5.4648000000000003</v>
      </c>
      <c r="J13" s="85"/>
      <c r="K13" s="25" t="s">
        <v>25</v>
      </c>
      <c r="L13" s="26" t="s">
        <v>37</v>
      </c>
      <c r="M13" s="38">
        <f>IF(G1="M",(D13*M9)/(M5*2),(D13*M11)/(M5*2))</f>
        <v>0.10820304000000001</v>
      </c>
      <c r="O13" s="85"/>
      <c r="P13" s="5" t="s">
        <v>36</v>
      </c>
      <c r="Q13" s="20">
        <v>1.0813440000000001E-2</v>
      </c>
      <c r="S13" s="85"/>
      <c r="T13" s="25" t="s">
        <v>25</v>
      </c>
      <c r="U13" s="26" t="s">
        <v>37</v>
      </c>
      <c r="V13" s="66">
        <f>IF(G1="M",((D13-2*Q13)*M9)/(M5*2),((D13-2*Q13)*M11)/(M5*2))</f>
        <v>0.10777482777600002</v>
      </c>
      <c r="W13" s="38">
        <f>IF(G1="M",((D13+2*Q13)*M9)/(M5*2),((D13+2*Q13)*M11)/(M5*2))</f>
        <v>0.10863125222400001</v>
      </c>
    </row>
    <row r="14" spans="1:23" ht="28.2" customHeight="1" x14ac:dyDescent="0.35">
      <c r="A14" s="82" t="s">
        <v>18</v>
      </c>
      <c r="B14" t="s">
        <v>26</v>
      </c>
      <c r="C14" s="4"/>
      <c r="D14" s="13">
        <v>5.3705999999999996</v>
      </c>
      <c r="J14" s="82" t="s">
        <v>18</v>
      </c>
      <c r="K14" s="56" t="s">
        <v>44</v>
      </c>
      <c r="L14" s="24" t="s">
        <v>32</v>
      </c>
      <c r="M14" s="37">
        <f>2*D14*M5*H6</f>
        <v>5139798.4971002024</v>
      </c>
      <c r="O14" s="82" t="s">
        <v>18</v>
      </c>
      <c r="P14" t="s">
        <v>26</v>
      </c>
      <c r="Q14" s="13">
        <v>4.9685500000000004E-3</v>
      </c>
      <c r="S14" s="82" t="s">
        <v>18</v>
      </c>
      <c r="T14" s="56" t="s">
        <v>44</v>
      </c>
      <c r="U14" s="24" t="s">
        <v>32</v>
      </c>
      <c r="V14" s="62">
        <f>2*(D14-2*Q14)*M5*H6</f>
        <v>5130288.443913308</v>
      </c>
      <c r="W14" s="37">
        <f>2*(D14+2*Q14)*M5*H6</f>
        <v>5149308.5502870968</v>
      </c>
    </row>
    <row r="15" spans="1:23" ht="15.6" x14ac:dyDescent="0.35">
      <c r="A15" s="83"/>
      <c r="B15" t="s">
        <v>27</v>
      </c>
      <c r="C15" s="4"/>
      <c r="D15" s="13">
        <v>0.14280000000000001</v>
      </c>
      <c r="J15" s="83"/>
      <c r="K15" s="56" t="s">
        <v>45</v>
      </c>
      <c r="L15" s="24" t="s">
        <v>32</v>
      </c>
      <c r="M15" s="37">
        <f>2*D15*M5*H6</f>
        <v>136663.17085351897</v>
      </c>
      <c r="O15" s="83"/>
      <c r="P15" t="s">
        <v>27</v>
      </c>
      <c r="Q15" s="13">
        <v>8.6076499999999997E-3</v>
      </c>
      <c r="S15" s="83"/>
      <c r="T15" s="56" t="s">
        <v>45</v>
      </c>
      <c r="U15" s="24" t="s">
        <v>32</v>
      </c>
      <c r="V15" s="62">
        <f>2*(D15-2*Q15)*M5*H6</f>
        <v>120187.69826812274</v>
      </c>
      <c r="W15" s="37">
        <f>2*(D15+2*Q15)*M5*H6</f>
        <v>153138.6434389152</v>
      </c>
    </row>
    <row r="16" spans="1:23" ht="16.2" thickBot="1" x14ac:dyDescent="0.4">
      <c r="A16" s="84"/>
      <c r="B16" s="19" t="s">
        <v>28</v>
      </c>
      <c r="C16" s="14"/>
      <c r="D16" s="15"/>
      <c r="J16" s="84"/>
      <c r="K16" s="29" t="s">
        <v>46</v>
      </c>
      <c r="L16" s="30" t="s">
        <v>32</v>
      </c>
      <c r="M16" s="40">
        <f>2*D16*M5*H6</f>
        <v>0</v>
      </c>
      <c r="O16" s="84"/>
      <c r="P16" s="19" t="s">
        <v>28</v>
      </c>
      <c r="Q16" s="15"/>
      <c r="S16" s="84"/>
      <c r="T16" s="29" t="s">
        <v>46</v>
      </c>
      <c r="U16" s="30" t="s">
        <v>32</v>
      </c>
      <c r="V16" s="64"/>
      <c r="W16" s="40"/>
    </row>
  </sheetData>
  <mergeCells count="18">
    <mergeCell ref="O6:O11"/>
    <mergeCell ref="O12:O13"/>
    <mergeCell ref="O14:O16"/>
    <mergeCell ref="O3:Q3"/>
    <mergeCell ref="S5:S11"/>
    <mergeCell ref="S12:S13"/>
    <mergeCell ref="S14:S16"/>
    <mergeCell ref="S3:W3"/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0FDE-95EA-4B4D-B1A0-05B30AE6AB51}">
  <dimension ref="A1:M16"/>
  <sheetViews>
    <sheetView workbookViewId="0">
      <selection activeCell="P13" sqref="P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3" t="s">
        <v>48</v>
      </c>
      <c r="C1" s="73"/>
      <c r="D1" s="73"/>
      <c r="F1" s="9" t="s">
        <v>73</v>
      </c>
    </row>
    <row r="2" spans="1:13" ht="15" thickBot="1" x14ac:dyDescent="0.35"/>
    <row r="3" spans="1:13" x14ac:dyDescent="0.3">
      <c r="A3" s="77" t="s">
        <v>20</v>
      </c>
      <c r="B3" s="75"/>
      <c r="C3" s="78"/>
      <c r="D3" s="79"/>
      <c r="F3" s="74" t="s">
        <v>22</v>
      </c>
      <c r="G3" s="75"/>
      <c r="H3" s="76"/>
      <c r="J3" s="74" t="s">
        <v>23</v>
      </c>
      <c r="K3" s="75"/>
      <c r="L3" s="75"/>
      <c r="M3" s="76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>
        <v>336964</v>
      </c>
      <c r="F5" s="33" t="s">
        <v>39</v>
      </c>
      <c r="G5" s="34" t="s">
        <v>31</v>
      </c>
      <c r="H5" s="20">
        <v>4.9300000000000001E-9</v>
      </c>
      <c r="J5" s="82" t="s">
        <v>16</v>
      </c>
      <c r="K5" s="22" t="s">
        <v>29</v>
      </c>
      <c r="L5" s="23"/>
      <c r="M5" s="36">
        <f>D5/(4*H5*H6*H9)</f>
        <v>224043.93779714606</v>
      </c>
    </row>
    <row r="6" spans="1:13" ht="51.6" customHeight="1" x14ac:dyDescent="0.35">
      <c r="A6" s="82" t="s">
        <v>16</v>
      </c>
      <c r="B6" s="51" t="s">
        <v>67</v>
      </c>
      <c r="C6" s="52"/>
      <c r="D6" s="55">
        <v>0.1497</v>
      </c>
      <c r="F6" s="33" t="s">
        <v>33</v>
      </c>
      <c r="G6" s="34" t="s">
        <v>38</v>
      </c>
      <c r="H6" s="20">
        <v>10</v>
      </c>
      <c r="J6" s="83"/>
      <c r="K6" s="57" t="s">
        <v>67</v>
      </c>
      <c r="L6" s="28"/>
      <c r="M6" s="60">
        <f>D6*M5</f>
        <v>33539.377488232763</v>
      </c>
    </row>
    <row r="7" spans="1:13" ht="15.6" x14ac:dyDescent="0.35">
      <c r="A7" s="83"/>
      <c r="B7" s="53" t="s">
        <v>68</v>
      </c>
      <c r="C7" s="4"/>
      <c r="D7" s="13">
        <v>3.7086999999999999</v>
      </c>
      <c r="F7" s="16" t="s">
        <v>42</v>
      </c>
      <c r="G7" s="4" t="s">
        <v>41</v>
      </c>
      <c r="H7" s="13">
        <v>603301446</v>
      </c>
      <c r="J7" s="83"/>
      <c r="K7" s="58" t="s">
        <v>68</v>
      </c>
      <c r="L7" s="24"/>
      <c r="M7" s="61">
        <f>D7*M5</f>
        <v>830911.75210827554</v>
      </c>
    </row>
    <row r="8" spans="1:13" ht="15.6" x14ac:dyDescent="0.35">
      <c r="A8" s="83"/>
      <c r="B8" s="53" t="s">
        <v>69</v>
      </c>
      <c r="C8" s="4"/>
      <c r="D8" s="13"/>
      <c r="F8" s="16" t="s">
        <v>43</v>
      </c>
      <c r="G8" s="4"/>
      <c r="H8" s="13">
        <f>(8732510/600502230)*(1066040/1226278)</f>
        <v>1.2641803364126243E-2</v>
      </c>
      <c r="J8" s="83"/>
      <c r="K8" s="58" t="s">
        <v>69</v>
      </c>
      <c r="L8" s="24"/>
      <c r="M8" s="61">
        <f>D8*M5</f>
        <v>0</v>
      </c>
    </row>
    <row r="9" spans="1:13" ht="24.6" customHeight="1" thickBot="1" x14ac:dyDescent="0.4">
      <c r="A9" s="83"/>
      <c r="B9" s="53" t="s">
        <v>70</v>
      </c>
      <c r="C9" s="4"/>
      <c r="D9" s="13"/>
      <c r="F9" s="32" t="s">
        <v>40</v>
      </c>
      <c r="G9" s="30" t="s">
        <v>41</v>
      </c>
      <c r="H9" s="31">
        <f>H7*H8</f>
        <v>7626818.2496250272</v>
      </c>
      <c r="J9" s="83"/>
      <c r="K9" s="58" t="s">
        <v>70</v>
      </c>
      <c r="L9" s="24"/>
      <c r="M9" s="61">
        <f>D9*M5</f>
        <v>0</v>
      </c>
    </row>
    <row r="10" spans="1:13" ht="36.6" customHeight="1" x14ac:dyDescent="0.35">
      <c r="A10" s="83"/>
      <c r="B10" s="53" t="s">
        <v>71</v>
      </c>
      <c r="C10" s="4"/>
      <c r="D10" s="13">
        <v>4.9799999999999997E-2</v>
      </c>
      <c r="J10" s="83"/>
      <c r="K10" s="58" t="s">
        <v>71</v>
      </c>
      <c r="L10" s="24"/>
      <c r="M10" s="61">
        <f>D10*M5</f>
        <v>11157.388102297873</v>
      </c>
    </row>
    <row r="11" spans="1:13" ht="33.6" customHeight="1" x14ac:dyDescent="0.35">
      <c r="A11" s="85"/>
      <c r="B11" s="54" t="s">
        <v>72</v>
      </c>
      <c r="C11" s="6"/>
      <c r="D11" s="20">
        <v>1.01E-2</v>
      </c>
      <c r="J11" s="85"/>
      <c r="K11" s="59" t="s">
        <v>72</v>
      </c>
      <c r="L11" s="26"/>
      <c r="M11" s="61">
        <f>D11*M5</f>
        <v>2262.8437717511752</v>
      </c>
    </row>
    <row r="12" spans="1:13" ht="27.6" customHeight="1" x14ac:dyDescent="0.35">
      <c r="A12" s="80" t="s">
        <v>17</v>
      </c>
      <c r="B12" t="s">
        <v>35</v>
      </c>
      <c r="C12" s="4" t="s">
        <v>34</v>
      </c>
      <c r="D12" s="13"/>
      <c r="J12" s="82" t="s">
        <v>17</v>
      </c>
      <c r="K12" s="27" t="s">
        <v>24</v>
      </c>
      <c r="L12" s="28" t="s">
        <v>37</v>
      </c>
      <c r="M12" s="39">
        <f>IF(G1="M",(D12*M8)/(2*M5),(D12*M10)/(2*M5))</f>
        <v>0</v>
      </c>
    </row>
    <row r="13" spans="1:13" ht="40.200000000000003" customHeight="1" x14ac:dyDescent="0.35">
      <c r="A13" s="81"/>
      <c r="B13" s="5" t="s">
        <v>36</v>
      </c>
      <c r="C13" s="6" t="s">
        <v>34</v>
      </c>
      <c r="D13" s="20"/>
      <c r="J13" s="85"/>
      <c r="K13" s="25" t="s">
        <v>25</v>
      </c>
      <c r="L13" s="26" t="s">
        <v>37</v>
      </c>
      <c r="M13" s="38">
        <f>IF(G1="M",(D13*M9)/(M5*2),(D13*M11)/(M5*2))</f>
        <v>0</v>
      </c>
    </row>
    <row r="14" spans="1:13" ht="28.2" customHeight="1" x14ac:dyDescent="0.35">
      <c r="A14" s="82" t="s">
        <v>18</v>
      </c>
      <c r="B14" t="s">
        <v>26</v>
      </c>
      <c r="C14" s="4"/>
      <c r="D14" s="13">
        <v>2.3199999999999998E-2</v>
      </c>
      <c r="J14" s="82" t="s">
        <v>18</v>
      </c>
      <c r="K14" s="56" t="s">
        <v>44</v>
      </c>
      <c r="L14" s="24" t="s">
        <v>32</v>
      </c>
      <c r="M14" s="37">
        <f>2*D14*M5*H6</f>
        <v>103956.38713787578</v>
      </c>
    </row>
    <row r="15" spans="1:13" ht="15.6" x14ac:dyDescent="0.35">
      <c r="A15" s="83"/>
      <c r="B15" t="s">
        <v>27</v>
      </c>
      <c r="C15" s="4"/>
      <c r="D15" s="13"/>
      <c r="J15" s="83"/>
      <c r="K15" s="56" t="s">
        <v>45</v>
      </c>
      <c r="L15" s="24" t="s">
        <v>32</v>
      </c>
      <c r="M15" s="37">
        <f>2*D15*M5*H6</f>
        <v>0</v>
      </c>
    </row>
    <row r="16" spans="1:13" ht="16.2" thickBot="1" x14ac:dyDescent="0.4">
      <c r="A16" s="84"/>
      <c r="B16" s="19" t="s">
        <v>28</v>
      </c>
      <c r="C16" s="14"/>
      <c r="D16" s="15"/>
      <c r="J16" s="84"/>
      <c r="K16" s="29" t="s">
        <v>46</v>
      </c>
      <c r="L16" s="30" t="s">
        <v>32</v>
      </c>
      <c r="M16" s="40">
        <f>2*D16*M5*H6</f>
        <v>0</v>
      </c>
    </row>
  </sheetData>
  <mergeCells count="10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B648-A05B-4C48-814E-9BD2F732E49B}">
  <dimension ref="A1:M16"/>
  <sheetViews>
    <sheetView workbookViewId="0">
      <selection activeCell="B2" sqref="B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3" t="s">
        <v>59</v>
      </c>
      <c r="C1" s="73"/>
      <c r="D1" s="73"/>
      <c r="F1" s="9" t="s">
        <v>73</v>
      </c>
    </row>
    <row r="2" spans="1:13" ht="15" thickBot="1" x14ac:dyDescent="0.35"/>
    <row r="3" spans="1:13" x14ac:dyDescent="0.3">
      <c r="A3" s="77" t="s">
        <v>20</v>
      </c>
      <c r="B3" s="75"/>
      <c r="C3" s="78"/>
      <c r="D3" s="79"/>
      <c r="F3" s="74" t="s">
        <v>22</v>
      </c>
      <c r="G3" s="75"/>
      <c r="H3" s="76"/>
      <c r="J3" s="74" t="s">
        <v>23</v>
      </c>
      <c r="K3" s="75"/>
      <c r="L3" s="75"/>
      <c r="M3" s="76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>
        <v>177855.6</v>
      </c>
      <c r="F5" s="33" t="s">
        <v>39</v>
      </c>
      <c r="G5" s="34" t="s">
        <v>31</v>
      </c>
      <c r="H5" s="20">
        <v>4.9300000000000001E-9</v>
      </c>
      <c r="J5" s="82" t="s">
        <v>16</v>
      </c>
      <c r="K5" s="22" t="s">
        <v>29</v>
      </c>
      <c r="L5" s="23"/>
      <c r="M5" s="36">
        <f>D5/(4*H5*H6*H9)</f>
        <v>118254.38024024552</v>
      </c>
    </row>
    <row r="6" spans="1:13" ht="51.6" customHeight="1" x14ac:dyDescent="0.35">
      <c r="A6" s="82" t="s">
        <v>16</v>
      </c>
      <c r="B6" s="51" t="s">
        <v>67</v>
      </c>
      <c r="C6" s="52"/>
      <c r="D6" s="55">
        <v>0.78890000000000005</v>
      </c>
      <c r="F6" s="33" t="s">
        <v>33</v>
      </c>
      <c r="G6" s="34" t="s">
        <v>38</v>
      </c>
      <c r="H6" s="20">
        <v>10</v>
      </c>
      <c r="J6" s="83"/>
      <c r="K6" s="57" t="s">
        <v>67</v>
      </c>
      <c r="L6" s="28"/>
      <c r="M6" s="60">
        <f>D6*M5</f>
        <v>93290.880571529691</v>
      </c>
    </row>
    <row r="7" spans="1:13" ht="15.6" x14ac:dyDescent="0.35">
      <c r="A7" s="83"/>
      <c r="B7" s="53" t="s">
        <v>68</v>
      </c>
      <c r="C7" s="4"/>
      <c r="D7" s="13">
        <v>4.1205999999999996</v>
      </c>
      <c r="F7" s="16" t="s">
        <v>42</v>
      </c>
      <c r="G7" s="4" t="s">
        <v>41</v>
      </c>
      <c r="H7" s="13">
        <v>603301446</v>
      </c>
      <c r="J7" s="83"/>
      <c r="K7" s="58" t="s">
        <v>68</v>
      </c>
      <c r="L7" s="24"/>
      <c r="M7" s="61">
        <f>D7*M5</f>
        <v>487278.99921795563</v>
      </c>
    </row>
    <row r="8" spans="1:13" ht="15.6" x14ac:dyDescent="0.35">
      <c r="A8" s="83"/>
      <c r="B8" s="53" t="s">
        <v>69</v>
      </c>
      <c r="C8" s="4"/>
      <c r="D8" s="13">
        <v>1.1295999999999999</v>
      </c>
      <c r="F8" s="16" t="s">
        <v>43</v>
      </c>
      <c r="G8" s="4"/>
      <c r="H8" s="13">
        <f>(8732510/600502230)*(1066040/1226278)</f>
        <v>1.2641803364126243E-2</v>
      </c>
      <c r="J8" s="83"/>
      <c r="K8" s="58" t="s">
        <v>69</v>
      </c>
      <c r="L8" s="24"/>
      <c r="M8" s="61">
        <f>D8*M5</f>
        <v>133580.14791938133</v>
      </c>
    </row>
    <row r="9" spans="1:13" ht="24.6" customHeight="1" thickBot="1" x14ac:dyDescent="0.4">
      <c r="A9" s="83"/>
      <c r="B9" s="53" t="s">
        <v>70</v>
      </c>
      <c r="C9" s="4"/>
      <c r="D9" s="13">
        <v>6.1315</v>
      </c>
      <c r="F9" s="32" t="s">
        <v>40</v>
      </c>
      <c r="G9" s="30" t="s">
        <v>41</v>
      </c>
      <c r="H9" s="31">
        <f>H7*H8</f>
        <v>7626818.2496250272</v>
      </c>
      <c r="J9" s="83"/>
      <c r="K9" s="58" t="s">
        <v>70</v>
      </c>
      <c r="L9" s="24"/>
      <c r="M9" s="61">
        <f>D9*M5</f>
        <v>725076.73244306538</v>
      </c>
    </row>
    <row r="10" spans="1:13" ht="36.6" customHeight="1" x14ac:dyDescent="0.35">
      <c r="A10" s="83"/>
      <c r="B10" s="53" t="s">
        <v>71</v>
      </c>
      <c r="C10" s="4"/>
      <c r="D10" s="13">
        <v>5.6300000000000003E-2</v>
      </c>
      <c r="J10" s="83"/>
      <c r="K10" s="58" t="s">
        <v>71</v>
      </c>
      <c r="L10" s="24"/>
      <c r="M10" s="61">
        <f>D10*M5</f>
        <v>6657.7216075258229</v>
      </c>
    </row>
    <row r="11" spans="1:13" ht="33.6" customHeight="1" x14ac:dyDescent="0.35">
      <c r="A11" s="85"/>
      <c r="B11" s="54" t="s">
        <v>72</v>
      </c>
      <c r="C11" s="6"/>
      <c r="D11" s="20">
        <v>2.4500000000000001E-2</v>
      </c>
      <c r="J11" s="85"/>
      <c r="K11" s="59" t="s">
        <v>72</v>
      </c>
      <c r="L11" s="26"/>
      <c r="M11" s="61">
        <f>D11*M5</f>
        <v>2897.2323158860154</v>
      </c>
    </row>
    <row r="12" spans="1:13" ht="27.6" customHeight="1" x14ac:dyDescent="0.35">
      <c r="A12" s="80" t="s">
        <v>17</v>
      </c>
      <c r="B12" t="s">
        <v>35</v>
      </c>
      <c r="C12" s="4" t="s">
        <v>34</v>
      </c>
      <c r="D12" s="13">
        <v>8.5219000000000005</v>
      </c>
      <c r="J12" s="82" t="s">
        <v>17</v>
      </c>
      <c r="K12" s="27" t="s">
        <v>24</v>
      </c>
      <c r="L12" s="28" t="s">
        <v>37</v>
      </c>
      <c r="M12" s="39">
        <f>IF(G1="M",(D12*M8)/(2*M5),(D12*M10)/(2*M5))</f>
        <v>0.23989148500000002</v>
      </c>
    </row>
    <row r="13" spans="1:13" ht="40.200000000000003" customHeight="1" x14ac:dyDescent="0.35">
      <c r="A13" s="81"/>
      <c r="B13" s="5" t="s">
        <v>36</v>
      </c>
      <c r="C13" s="6" t="s">
        <v>34</v>
      </c>
      <c r="D13" s="20">
        <v>5.9484000000000004</v>
      </c>
      <c r="J13" s="85"/>
      <c r="K13" s="25" t="s">
        <v>25</v>
      </c>
      <c r="L13" s="26" t="s">
        <v>37</v>
      </c>
      <c r="M13" s="38">
        <f>IF(G1="M",(D13*M9)/(M5*2),(D13*M11)/(M5*2))</f>
        <v>7.2867899999999999E-2</v>
      </c>
    </row>
    <row r="14" spans="1:13" ht="28.2" customHeight="1" x14ac:dyDescent="0.35">
      <c r="A14" s="82" t="s">
        <v>18</v>
      </c>
      <c r="B14" t="s">
        <v>26</v>
      </c>
      <c r="C14" s="4"/>
      <c r="D14" s="13">
        <v>1.3299000000000001</v>
      </c>
      <c r="J14" s="82" t="s">
        <v>18</v>
      </c>
      <c r="K14" s="56" t="s">
        <v>44</v>
      </c>
      <c r="L14" s="24" t="s">
        <v>32</v>
      </c>
      <c r="M14" s="37">
        <f>2*D14*M5*H6</f>
        <v>3145330.0056300503</v>
      </c>
    </row>
    <row r="15" spans="1:13" ht="15.6" x14ac:dyDescent="0.35">
      <c r="A15" s="83"/>
      <c r="B15" t="s">
        <v>27</v>
      </c>
      <c r="C15" s="4"/>
      <c r="D15" s="13">
        <v>7.4399999999999994E-2</v>
      </c>
      <c r="J15" s="83"/>
      <c r="K15" s="56" t="s">
        <v>45</v>
      </c>
      <c r="L15" s="24" t="s">
        <v>32</v>
      </c>
      <c r="M15" s="37">
        <f>2*D15*M5*H6</f>
        <v>175962.51779748531</v>
      </c>
    </row>
    <row r="16" spans="1:13" ht="16.2" thickBot="1" x14ac:dyDescent="0.4">
      <c r="A16" s="84"/>
      <c r="B16" s="19" t="s">
        <v>28</v>
      </c>
      <c r="C16" s="14"/>
      <c r="D16" s="15"/>
      <c r="J16" s="84"/>
      <c r="K16" s="29" t="s">
        <v>46</v>
      </c>
      <c r="L16" s="30" t="s">
        <v>32</v>
      </c>
      <c r="M16" s="40">
        <f>2*D16*M5*H6</f>
        <v>0</v>
      </c>
    </row>
  </sheetData>
  <mergeCells count="10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186B-6157-4ADF-97F4-54F4EBDD73BB}">
  <dimension ref="A1:M16"/>
  <sheetViews>
    <sheetView workbookViewId="0">
      <selection activeCell="H13" sqref="H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3" t="s">
        <v>60</v>
      </c>
      <c r="C1" s="73"/>
      <c r="D1" s="73"/>
      <c r="F1" s="9" t="s">
        <v>73</v>
      </c>
      <c r="G1" t="s">
        <v>74</v>
      </c>
    </row>
    <row r="2" spans="1:13" ht="15" thickBot="1" x14ac:dyDescent="0.35"/>
    <row r="3" spans="1:13" x14ac:dyDescent="0.3">
      <c r="A3" s="77" t="s">
        <v>20</v>
      </c>
      <c r="B3" s="75"/>
      <c r="C3" s="78"/>
      <c r="D3" s="79"/>
      <c r="F3" s="74" t="s">
        <v>22</v>
      </c>
      <c r="G3" s="75"/>
      <c r="H3" s="76"/>
      <c r="J3" s="74" t="s">
        <v>23</v>
      </c>
      <c r="K3" s="75"/>
      <c r="L3" s="75"/>
      <c r="M3" s="76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>
        <v>20816.03</v>
      </c>
      <c r="F5" s="33" t="s">
        <v>39</v>
      </c>
      <c r="G5" s="34" t="s">
        <v>31</v>
      </c>
      <c r="H5" s="20">
        <v>4.9300000000000001E-9</v>
      </c>
      <c r="J5" s="82" t="s">
        <v>16</v>
      </c>
      <c r="K5" s="22" t="s">
        <v>29</v>
      </c>
      <c r="L5" s="23"/>
      <c r="M5" s="36">
        <f>D5/(4*H5*H6*H9)</f>
        <v>13840.366717226547</v>
      </c>
    </row>
    <row r="6" spans="1:13" ht="51.6" customHeight="1" x14ac:dyDescent="0.35">
      <c r="A6" s="82" t="s">
        <v>16</v>
      </c>
      <c r="B6" s="51" t="s">
        <v>67</v>
      </c>
      <c r="C6" s="52"/>
      <c r="D6" s="55">
        <v>0.73799999999999999</v>
      </c>
      <c r="F6" s="33" t="s">
        <v>33</v>
      </c>
      <c r="G6" s="34" t="s">
        <v>38</v>
      </c>
      <c r="H6" s="20">
        <v>10</v>
      </c>
      <c r="J6" s="83"/>
      <c r="K6" s="57" t="s">
        <v>67</v>
      </c>
      <c r="L6" s="28"/>
      <c r="M6" s="60">
        <f>D6*M5</f>
        <v>10214.190637313191</v>
      </c>
    </row>
    <row r="7" spans="1:13" ht="15.6" x14ac:dyDescent="0.35">
      <c r="A7" s="83"/>
      <c r="B7" s="53" t="s">
        <v>68</v>
      </c>
      <c r="C7" s="4"/>
      <c r="D7" s="13">
        <v>1.5760000000000001</v>
      </c>
      <c r="F7" s="16" t="s">
        <v>42</v>
      </c>
      <c r="G7" s="4" t="s">
        <v>41</v>
      </c>
      <c r="H7" s="13">
        <v>603301446</v>
      </c>
      <c r="J7" s="83"/>
      <c r="K7" s="58" t="s">
        <v>68</v>
      </c>
      <c r="L7" s="24"/>
      <c r="M7" s="61">
        <f>D7*M5</f>
        <v>21812.41794634904</v>
      </c>
    </row>
    <row r="8" spans="1:13" ht="15.6" x14ac:dyDescent="0.35">
      <c r="A8" s="83"/>
      <c r="B8" s="53" t="s">
        <v>69</v>
      </c>
      <c r="C8" s="4"/>
      <c r="D8" s="13">
        <v>8.2385999999999999</v>
      </c>
      <c r="F8" s="16" t="s">
        <v>43</v>
      </c>
      <c r="G8" s="4"/>
      <c r="H8" s="13">
        <f>(8732510/600502230)*(1066040/1226278)</f>
        <v>1.2641803364126243E-2</v>
      </c>
      <c r="J8" s="83"/>
      <c r="K8" s="58" t="s">
        <v>69</v>
      </c>
      <c r="L8" s="24"/>
      <c r="M8" s="61">
        <f>D8*M5</f>
        <v>114025.24523654263</v>
      </c>
    </row>
    <row r="9" spans="1:13" ht="24.6" customHeight="1" thickBot="1" x14ac:dyDescent="0.4">
      <c r="A9" s="83"/>
      <c r="B9" s="53" t="s">
        <v>70</v>
      </c>
      <c r="C9" s="4"/>
      <c r="D9" s="13">
        <v>13.714399999999999</v>
      </c>
      <c r="F9" s="32" t="s">
        <v>40</v>
      </c>
      <c r="G9" s="30" t="s">
        <v>41</v>
      </c>
      <c r="H9" s="31">
        <f>H7*H8</f>
        <v>7626818.2496250272</v>
      </c>
      <c r="J9" s="83"/>
      <c r="K9" s="58" t="s">
        <v>70</v>
      </c>
      <c r="L9" s="24"/>
      <c r="M9" s="61">
        <f>D9*M5</f>
        <v>189812.32530673174</v>
      </c>
    </row>
    <row r="10" spans="1:13" ht="36.6" customHeight="1" x14ac:dyDescent="0.35">
      <c r="A10" s="83"/>
      <c r="B10" s="53" t="s">
        <v>71</v>
      </c>
      <c r="C10" s="4"/>
      <c r="D10" s="13">
        <v>0.1104</v>
      </c>
      <c r="J10" s="83"/>
      <c r="K10" s="58" t="s">
        <v>71</v>
      </c>
      <c r="L10" s="24"/>
      <c r="M10" s="61">
        <f>D10*M5</f>
        <v>1527.9764855818107</v>
      </c>
    </row>
    <row r="11" spans="1:13" ht="33.6" customHeight="1" x14ac:dyDescent="0.35">
      <c r="A11" s="85"/>
      <c r="B11" s="54" t="s">
        <v>72</v>
      </c>
      <c r="C11" s="6"/>
      <c r="D11" s="20">
        <v>5.45E-2</v>
      </c>
      <c r="J11" s="85"/>
      <c r="K11" s="59" t="s">
        <v>72</v>
      </c>
      <c r="L11" s="26"/>
      <c r="M11" s="61">
        <f>D11*M5</f>
        <v>754.29998608884682</v>
      </c>
    </row>
    <row r="12" spans="1:13" ht="27.6" customHeight="1" x14ac:dyDescent="0.35">
      <c r="A12" s="80" t="s">
        <v>17</v>
      </c>
      <c r="B12" t="s">
        <v>35</v>
      </c>
      <c r="C12" s="4" t="s">
        <v>34</v>
      </c>
      <c r="D12" s="13">
        <v>1.3498000000000001</v>
      </c>
      <c r="J12" s="82" t="s">
        <v>17</v>
      </c>
      <c r="K12" s="27" t="s">
        <v>24</v>
      </c>
      <c r="L12" s="28" t="s">
        <v>37</v>
      </c>
      <c r="M12" s="39">
        <f>IF(G1="M",(D12*M8)/(2*M5),(D12*M10)/(2*M5))</f>
        <v>5.5602311400000008</v>
      </c>
    </row>
    <row r="13" spans="1:13" ht="40.200000000000003" customHeight="1" x14ac:dyDescent="0.35">
      <c r="A13" s="81"/>
      <c r="B13" s="5" t="s">
        <v>36</v>
      </c>
      <c r="C13" s="6" t="s">
        <v>34</v>
      </c>
      <c r="D13" s="20">
        <v>0.91690000000000005</v>
      </c>
      <c r="J13" s="85"/>
      <c r="K13" s="25" t="s">
        <v>25</v>
      </c>
      <c r="L13" s="26" t="s">
        <v>37</v>
      </c>
      <c r="M13" s="38">
        <f>IF(G1="M",(D13*M9)/(M5*2),(D13*M11)/(M5*2))</f>
        <v>6.2873666800000008</v>
      </c>
    </row>
    <row r="14" spans="1:13" ht="28.2" customHeight="1" x14ac:dyDescent="0.35">
      <c r="A14" s="82" t="s">
        <v>18</v>
      </c>
      <c r="B14" t="s">
        <v>26</v>
      </c>
      <c r="C14" s="4"/>
      <c r="D14" s="13">
        <v>1.35E-2</v>
      </c>
      <c r="J14" s="82" t="s">
        <v>18</v>
      </c>
      <c r="K14" s="56" t="s">
        <v>44</v>
      </c>
      <c r="L14" s="24" t="s">
        <v>32</v>
      </c>
      <c r="M14" s="37">
        <f>2*D14*M5*H6</f>
        <v>3736.8990136511679</v>
      </c>
    </row>
    <row r="15" spans="1:13" ht="15.6" x14ac:dyDescent="0.35">
      <c r="A15" s="83"/>
      <c r="B15" t="s">
        <v>27</v>
      </c>
      <c r="C15" s="4"/>
      <c r="D15" s="13">
        <v>25.9312</v>
      </c>
      <c r="J15" s="83"/>
      <c r="K15" s="56" t="s">
        <v>45</v>
      </c>
      <c r="L15" s="24" t="s">
        <v>32</v>
      </c>
      <c r="M15" s="37">
        <f>2*D15*M5*H6</f>
        <v>7177946.3483549003</v>
      </c>
    </row>
    <row r="16" spans="1:13" ht="16.2" thickBot="1" x14ac:dyDescent="0.4">
      <c r="A16" s="84"/>
      <c r="B16" s="19" t="s">
        <v>28</v>
      </c>
      <c r="C16" s="14"/>
      <c r="D16" s="15">
        <v>0.11700000000000001</v>
      </c>
      <c r="J16" s="84"/>
      <c r="K16" s="29" t="s">
        <v>46</v>
      </c>
      <c r="L16" s="30" t="s">
        <v>32</v>
      </c>
      <c r="M16" s="40">
        <f>2*D16*M5*H6</f>
        <v>32386.458118310118</v>
      </c>
    </row>
  </sheetData>
  <mergeCells count="10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 results</vt:lpstr>
      <vt:lpstr>calc templ</vt:lpstr>
      <vt:lpstr>04 calc</vt:lpstr>
      <vt:lpstr>01 calc</vt:lpstr>
      <vt:lpstr>05 calc</vt:lpstr>
      <vt:lpstr>06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2024-03-08T03:47:40Z</dcterms:modified>
</cp:coreProperties>
</file>