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1D/glob/models/"/>
    </mc:Choice>
  </mc:AlternateContent>
  <xr:revisionPtr revIDLastSave="416" documentId="8_{21408352-E5DB-40D9-AE77-F269512CD883}" xr6:coauthVersionLast="47" xr6:coauthVersionMax="47" xr10:uidLastSave="{C2681290-FDDB-4CB2-9CF9-AB49A8B7A76C}"/>
  <bookViews>
    <workbookView xWindow="-110" yWindow="-110" windowWidth="19420" windowHeight="11500" xr2:uid="{2A3D79EE-876F-4CC7-84D9-EA1A1596E616}"/>
  </bookViews>
  <sheets>
    <sheet name="all model results" sheetId="1" r:id="rId1"/>
    <sheet name="calc templ" sheetId="2" r:id="rId2"/>
    <sheet name="Model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2" l="1"/>
  <c r="V9" i="2"/>
  <c r="W8" i="2"/>
  <c r="V8" i="2"/>
  <c r="W7" i="2"/>
  <c r="V7" i="2"/>
  <c r="W6" i="2"/>
  <c r="V6" i="2"/>
  <c r="W5" i="2"/>
  <c r="V5" i="2"/>
  <c r="W9" i="3" l="1"/>
  <c r="V9" i="3"/>
  <c r="W8" i="3"/>
  <c r="V8" i="3"/>
  <c r="W7" i="3"/>
  <c r="V7" i="3"/>
  <c r="W6" i="3"/>
  <c r="V6" i="3"/>
  <c r="W5" i="3"/>
  <c r="V5" i="3"/>
  <c r="H9" i="3" l="1"/>
  <c r="H8" i="3"/>
  <c r="M5" i="3"/>
  <c r="M9" i="3" s="1"/>
  <c r="H8" i="2"/>
  <c r="M7" i="3" l="1"/>
  <c r="M8" i="3"/>
  <c r="M6" i="3"/>
  <c r="H9" i="2"/>
  <c r="M5" i="2" s="1"/>
  <c r="M9" i="2" l="1"/>
  <c r="M8" i="2"/>
  <c r="M6" i="2"/>
  <c r="M7" i="2"/>
</calcChain>
</file>

<file path=xl/sharedStrings.xml><?xml version="1.0" encoding="utf-8"?>
<sst xmlns="http://schemas.openxmlformats.org/spreadsheetml/2006/main" count="152" uniqueCount="49">
  <si>
    <t>02.growth</t>
  </si>
  <si>
    <t>03.two_epoch</t>
  </si>
  <si>
    <t>04.bottlegrowth</t>
  </si>
  <si>
    <t>05.three_epoch</t>
  </si>
  <si>
    <t>LOG LIKELIHOOD</t>
  </si>
  <si>
    <t>MODEL</t>
  </si>
  <si>
    <t>AIC SCORE</t>
  </si>
  <si>
    <t>BEST MODEL RUN</t>
  </si>
  <si>
    <t>theta</t>
  </si>
  <si>
    <t>nuB</t>
  </si>
  <si>
    <t>nuF</t>
  </si>
  <si>
    <t>TB</t>
  </si>
  <si>
    <t>TF</t>
  </si>
  <si>
    <t>MODEL:</t>
  </si>
  <si>
    <t>OPTIMIZED MODEL PARAMETERS</t>
  </si>
  <si>
    <t>ASSUMED PARAMETERS</t>
  </si>
  <si>
    <t>DERIVED PARAMETERS</t>
  </si>
  <si>
    <t>Parameters</t>
  </si>
  <si>
    <t>Units</t>
  </si>
  <si>
    <t>Values</t>
  </si>
  <si>
    <t>Mutation</t>
  </si>
  <si>
    <r>
      <t>gen</t>
    </r>
    <r>
      <rPr>
        <vertAlign val="superscript"/>
        <sz val="11"/>
        <color theme="1"/>
        <rFont val="Aptos Narrow"/>
        <family val="2"/>
        <scheme val="minor"/>
      </rPr>
      <t>-1</t>
    </r>
  </si>
  <si>
    <t>mu</t>
  </si>
  <si>
    <r>
      <t xml:space="preserve"> bp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yr</t>
    </r>
    <r>
      <rPr>
        <vertAlign val="superscript"/>
        <sz val="11"/>
        <color theme="1"/>
        <rFont val="Aptos Narrow"/>
        <family val="2"/>
        <scheme val="minor"/>
      </rPr>
      <t>-1</t>
    </r>
  </si>
  <si>
    <t>Pop'n Size</t>
  </si>
  <si>
    <r>
      <t>N</t>
    </r>
    <r>
      <rPr>
        <vertAlign val="subscript"/>
        <sz val="11"/>
        <color theme="1"/>
        <rFont val="Aptos Narrow"/>
        <family val="2"/>
        <scheme val="minor"/>
      </rPr>
      <t>ref</t>
    </r>
  </si>
  <si>
    <t>generation time</t>
  </si>
  <si>
    <t>yr/gen</t>
  </si>
  <si>
    <t>genome size</t>
  </si>
  <si>
    <t>bp</t>
  </si>
  <si>
    <t>scaling factor</t>
  </si>
  <si>
    <t>L</t>
  </si>
  <si>
    <t>Time</t>
  </si>
  <si>
    <t>yr</t>
  </si>
  <si>
    <r>
      <t>nu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</si>
  <si>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nu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</si>
  <si>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</si>
  <si>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F</t>
    </r>
  </si>
  <si>
    <t>Run 3, Rep 2</t>
  </si>
  <si>
    <t>Run 3, Rep 39</t>
  </si>
  <si>
    <t>Run 5, Rep 41</t>
  </si>
  <si>
    <t>Run 3, Rep 76</t>
  </si>
  <si>
    <t>05 - Three Epoch</t>
  </si>
  <si>
    <t>UNCERTAINTY ESTIMATES</t>
  </si>
  <si>
    <t>95% CONFIDENCE INTERVALS</t>
  </si>
  <si>
    <t>Lower Bound</t>
  </si>
  <si>
    <t>Upper Bound</t>
  </si>
  <si>
    <r>
      <t>t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</si>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</sst>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0" fillId="0" borderId="18" xfId="0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/>
    <xf numFmtId="0" fontId="2" fillId="0" borderId="21" xfId="0" applyFont="1" applyBorder="1"/>
    <xf numFmtId="0" fontId="0" fillId="0" borderId="20" xfId="0" applyBorder="1"/>
    <xf numFmtId="0" fontId="2" fillId="0" borderId="22" xfId="0" applyFont="1" applyBorder="1" applyAlignment="1">
      <alignment horizontal="right" vertical="center" textRotation="90"/>
    </xf>
    <xf numFmtId="0" fontId="0" fillId="0" borderId="21" xfId="0" applyBorder="1"/>
    <xf numFmtId="0" fontId="0" fillId="0" borderId="20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4" fontId="0" fillId="2" borderId="19" xfId="0" applyNumberFormat="1" applyFill="1" applyBorder="1"/>
    <xf numFmtId="0" fontId="0" fillId="0" borderId="24" xfId="0" applyBorder="1"/>
    <xf numFmtId="0" fontId="0" fillId="4" borderId="3" xfId="0" applyFill="1" applyBorder="1"/>
    <xf numFmtId="4" fontId="0" fillId="4" borderId="24" xfId="0" applyNumberFormat="1" applyFill="1" applyBorder="1"/>
    <xf numFmtId="0" fontId="0" fillId="0" borderId="25" xfId="0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5" xfId="0" applyFill="1" applyBorder="1"/>
    <xf numFmtId="0" fontId="0" fillId="4" borderId="6" xfId="0" applyFill="1" applyBorder="1"/>
    <xf numFmtId="4" fontId="0" fillId="4" borderId="21" xfId="0" applyNumberFormat="1" applyFill="1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4" borderId="31" xfId="0" applyFill="1" applyBorder="1"/>
    <xf numFmtId="4" fontId="0" fillId="4" borderId="29" xfId="0" applyNumberFormat="1" applyFill="1" applyBorder="1"/>
    <xf numFmtId="0" fontId="2" fillId="0" borderId="0" xfId="0" applyFont="1" applyAlignment="1">
      <alignment vertical="center" textRotation="90"/>
    </xf>
    <xf numFmtId="0" fontId="0" fillId="4" borderId="0" xfId="0" applyFill="1"/>
    <xf numFmtId="4" fontId="0" fillId="0" borderId="0" xfId="0" applyNumberFormat="1"/>
    <xf numFmtId="0" fontId="2" fillId="0" borderId="22" xfId="0" applyFont="1" applyBorder="1" applyAlignment="1">
      <alignment vertical="center" textRotation="90"/>
    </xf>
    <xf numFmtId="0" fontId="0" fillId="0" borderId="2" xfId="0" applyBorder="1"/>
    <xf numFmtId="0" fontId="0" fillId="0" borderId="4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0" borderId="0" xfId="0" applyFont="1" applyAlignment="1">
      <alignment horizontal="right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5" borderId="5" xfId="0" applyFill="1" applyBorder="1"/>
    <xf numFmtId="0" fontId="0" fillId="6" borderId="3" xfId="0" applyFill="1" applyBorder="1"/>
    <xf numFmtId="0" fontId="0" fillId="7" borderId="0" xfId="0" applyFill="1"/>
    <xf numFmtId="0" fontId="0" fillId="8" borderId="0" xfId="0" applyFill="1"/>
    <xf numFmtId="0" fontId="1" fillId="3" borderId="0" xfId="0" applyFont="1" applyFill="1" applyAlignment="1">
      <alignment horizontal="center"/>
    </xf>
    <xf numFmtId="0" fontId="2" fillId="0" borderId="22" xfId="0" applyFont="1" applyBorder="1" applyAlignment="1">
      <alignment horizontal="center" vertical="center" textRotation="90"/>
    </xf>
    <xf numFmtId="0" fontId="0" fillId="0" borderId="3" xfId="0" applyFill="1" applyBorder="1"/>
    <xf numFmtId="0" fontId="0" fillId="0" borderId="6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12" xfId="0" applyBorder="1"/>
    <xf numFmtId="0" fontId="2" fillId="0" borderId="34" xfId="0" applyFont="1" applyBorder="1"/>
    <xf numFmtId="0" fontId="2" fillId="0" borderId="15" xfId="0" applyFont="1" applyBorder="1" applyAlignment="1">
      <alignment horizontal="center"/>
    </xf>
    <xf numFmtId="0" fontId="0" fillId="0" borderId="24" xfId="0" applyFill="1" applyBorder="1"/>
    <xf numFmtId="0" fontId="0" fillId="0" borderId="21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4" xfId="0" applyFill="1" applyBorder="1"/>
    <xf numFmtId="4" fontId="0" fillId="4" borderId="5" xfId="0" applyNumberFormat="1" applyFill="1" applyBorder="1"/>
    <xf numFmtId="0" fontId="2" fillId="0" borderId="25" xfId="0" applyFont="1" applyBorder="1" applyAlignment="1">
      <alignment horizontal="center" vertical="center" textRotation="90"/>
    </xf>
    <xf numFmtId="0" fontId="0" fillId="0" borderId="0" xfId="0" applyFill="1" applyBorder="1"/>
    <xf numFmtId="0" fontId="2" fillId="0" borderId="38" xfId="0" applyFont="1" applyBorder="1" applyAlignment="1">
      <alignment horizontal="center" vertical="center" textRotation="90"/>
    </xf>
    <xf numFmtId="4" fontId="0" fillId="4" borderId="37" xfId="0" applyNumberFormat="1" applyFill="1" applyBorder="1"/>
    <xf numFmtId="4" fontId="0" fillId="4" borderId="39" xfId="0" applyNumberFormat="1" applyFill="1" applyBorder="1"/>
    <xf numFmtId="4" fontId="0" fillId="4" borderId="0" xfId="0" applyNumberFormat="1" applyFill="1" applyBorder="1"/>
    <xf numFmtId="0" fontId="2" fillId="0" borderId="0" xfId="0" applyFont="1" applyFill="1" applyBorder="1" applyAlignment="1">
      <alignment vertical="center" textRotation="90"/>
    </xf>
    <xf numFmtId="4" fontId="0" fillId="0" borderId="0" xfId="0" applyNumberFormat="1" applyFill="1" applyBorder="1"/>
    <xf numFmtId="4" fontId="0" fillId="4" borderId="31" xfId="0" applyNumberFormat="1" applyFill="1" applyBorder="1"/>
    <xf numFmtId="0" fontId="2" fillId="0" borderId="0" xfId="0" applyFont="1" applyBorder="1" applyAlignment="1">
      <alignment vertical="center" textRotation="90"/>
    </xf>
    <xf numFmtId="0" fontId="0" fillId="4" borderId="0" xfId="0" applyFill="1" applyBorder="1"/>
    <xf numFmtId="0" fontId="2" fillId="0" borderId="0" xfId="0" applyFont="1" applyBorder="1"/>
    <xf numFmtId="0" fontId="2" fillId="0" borderId="3" xfId="0" applyFont="1" applyBorder="1"/>
    <xf numFmtId="0" fontId="2" fillId="0" borderId="24" xfId="0" applyFont="1" applyBorder="1"/>
    <xf numFmtId="0" fontId="0" fillId="2" borderId="13" xfId="0" applyFill="1" applyBorder="1"/>
    <xf numFmtId="0" fontId="0" fillId="2" borderId="41" xfId="0" applyFill="1" applyBorder="1"/>
    <xf numFmtId="4" fontId="0" fillId="2" borderId="13" xfId="0" applyNumberFormat="1" applyFill="1" applyBorder="1"/>
    <xf numFmtId="4" fontId="0" fillId="2" borderId="17" xfId="0" applyNumberFormat="1" applyFill="1" applyBorder="1"/>
    <xf numFmtId="0" fontId="2" fillId="0" borderId="40" xfId="0" applyFont="1" applyBorder="1" applyAlignment="1">
      <alignment horizontal="center" vertical="center" textRotation="90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D7EB-ECD6-4C25-BAEF-EFE90AE1E5C4}">
  <dimension ref="A1:Q5"/>
  <sheetViews>
    <sheetView tabSelected="1" topLeftCell="D1" zoomScale="115" zoomScaleNormal="115" workbookViewId="0">
      <selection activeCell="I14" sqref="I14"/>
    </sheetView>
  </sheetViews>
  <sheetFormatPr defaultRowHeight="14.5" x14ac:dyDescent="0.35"/>
  <cols>
    <col min="1" max="1" width="14.36328125" bestFit="1" customWidth="1"/>
    <col min="2" max="2" width="11.453125" customWidth="1"/>
    <col min="3" max="3" width="12.26953125" customWidth="1"/>
    <col min="4" max="4" width="10.08984375" customWidth="1"/>
    <col min="5" max="5" width="11" customWidth="1"/>
    <col min="6" max="6" width="8.90625" customWidth="1"/>
    <col min="7" max="7" width="10.36328125" customWidth="1"/>
    <col min="8" max="8" width="10" customWidth="1"/>
    <col min="9" max="9" width="10.08984375" customWidth="1"/>
    <col min="10" max="10" width="8.90625" customWidth="1"/>
    <col min="11" max="11" width="9" customWidth="1"/>
    <col min="12" max="12" width="16.26953125" bestFit="1" customWidth="1"/>
  </cols>
  <sheetData>
    <row r="1" spans="1:17" x14ac:dyDescent="0.35">
      <c r="A1" s="9" t="s">
        <v>5</v>
      </c>
      <c r="B1" s="45" t="s">
        <v>4</v>
      </c>
      <c r="C1" s="46"/>
      <c r="D1" s="46"/>
      <c r="E1" s="46"/>
      <c r="F1" s="47"/>
      <c r="G1" s="45" t="s">
        <v>6</v>
      </c>
      <c r="H1" s="46"/>
      <c r="I1" s="46"/>
      <c r="J1" s="46"/>
      <c r="K1" s="47"/>
      <c r="L1" s="9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6" t="s">
        <v>12</v>
      </c>
    </row>
    <row r="2" spans="1:17" x14ac:dyDescent="0.35">
      <c r="A2" s="7" t="s">
        <v>0</v>
      </c>
      <c r="B2" s="43">
        <v>-7149.34</v>
      </c>
      <c r="C2">
        <v>-7149.4</v>
      </c>
      <c r="D2" s="62">
        <v>-7149.17</v>
      </c>
      <c r="E2">
        <v>-7149.3</v>
      </c>
      <c r="F2" s="2">
        <v>-7149.27</v>
      </c>
      <c r="G2">
        <v>14302.68</v>
      </c>
      <c r="H2">
        <v>14302.8</v>
      </c>
      <c r="I2" s="62">
        <v>14302.34</v>
      </c>
      <c r="J2">
        <v>14302.6</v>
      </c>
      <c r="K2">
        <v>14302.54</v>
      </c>
      <c r="L2" s="7" t="s">
        <v>38</v>
      </c>
      <c r="M2">
        <v>446606.5</v>
      </c>
      <c r="N2">
        <v>2.29E-2</v>
      </c>
      <c r="P2">
        <v>0.01</v>
      </c>
      <c r="Q2" s="2"/>
    </row>
    <row r="3" spans="1:17" x14ac:dyDescent="0.35">
      <c r="A3" s="7" t="s">
        <v>1</v>
      </c>
      <c r="B3" s="43">
        <v>-8461.84</v>
      </c>
      <c r="C3">
        <v>-8462.15</v>
      </c>
      <c r="D3" s="63">
        <v>-8461.73</v>
      </c>
      <c r="E3">
        <v>-8462.02</v>
      </c>
      <c r="F3" s="2">
        <v>-8461.8799999999992</v>
      </c>
      <c r="G3">
        <v>16927.68</v>
      </c>
      <c r="H3">
        <v>16928.3</v>
      </c>
      <c r="I3" s="63">
        <v>16927.46</v>
      </c>
      <c r="J3">
        <v>16928.04</v>
      </c>
      <c r="K3">
        <v>16927.759999999998</v>
      </c>
      <c r="L3" s="7" t="s">
        <v>39</v>
      </c>
      <c r="M3">
        <v>448141.5</v>
      </c>
      <c r="N3">
        <v>7.6300000000000007E-2</v>
      </c>
      <c r="P3">
        <v>0.01</v>
      </c>
      <c r="Q3" s="2"/>
    </row>
    <row r="4" spans="1:17" x14ac:dyDescent="0.35">
      <c r="A4" s="7" t="s">
        <v>2</v>
      </c>
      <c r="B4" s="43">
        <v>-7141.42</v>
      </c>
      <c r="C4">
        <v>-7125.57</v>
      </c>
      <c r="D4">
        <v>-7146.57</v>
      </c>
      <c r="E4">
        <v>-7126.47</v>
      </c>
      <c r="F4" s="61">
        <v>-7125.38</v>
      </c>
      <c r="G4">
        <v>14288.84</v>
      </c>
      <c r="H4">
        <v>14257.14</v>
      </c>
      <c r="I4">
        <v>14299.14</v>
      </c>
      <c r="J4">
        <v>14258.94</v>
      </c>
      <c r="K4" s="98">
        <v>14256.76</v>
      </c>
      <c r="L4" s="7" t="s">
        <v>40</v>
      </c>
      <c r="M4">
        <v>446276.7</v>
      </c>
      <c r="N4">
        <v>0.85409999999999997</v>
      </c>
      <c r="O4">
        <v>2.35E-2</v>
      </c>
      <c r="P4">
        <v>0.01</v>
      </c>
      <c r="Q4" s="2"/>
    </row>
    <row r="5" spans="1:17" x14ac:dyDescent="0.35">
      <c r="A5" s="8" t="s">
        <v>3</v>
      </c>
      <c r="B5" s="44">
        <v>-1931.06</v>
      </c>
      <c r="C5" s="3">
        <v>-1878.13</v>
      </c>
      <c r="D5" s="60">
        <v>-1526.77</v>
      </c>
      <c r="E5" s="3">
        <v>-2126.33</v>
      </c>
      <c r="F5" s="4">
        <v>-1558.99</v>
      </c>
      <c r="G5" s="3">
        <v>3870.12</v>
      </c>
      <c r="H5" s="3">
        <v>3764.26</v>
      </c>
      <c r="I5" s="60">
        <v>3061.54</v>
      </c>
      <c r="J5" s="3">
        <v>4260.66</v>
      </c>
      <c r="K5" s="3">
        <v>3125.98</v>
      </c>
      <c r="L5" s="8" t="s">
        <v>41</v>
      </c>
      <c r="M5" s="3">
        <v>94640.24</v>
      </c>
      <c r="N5" s="3">
        <v>23.9132</v>
      </c>
      <c r="O5" s="3">
        <v>4.6199999999999998E-2</v>
      </c>
      <c r="P5" s="3">
        <v>5.1996000000000002</v>
      </c>
      <c r="Q5" s="4">
        <v>1.4E-2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7548-1ED1-43B1-8D49-BE726A669DE7}">
  <dimension ref="A1:W14"/>
  <sheetViews>
    <sheetView topLeftCell="F1" workbookViewId="0">
      <selection activeCell="O3" sqref="O3:W9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7265625" customWidth="1"/>
    <col min="16" max="16" width="10.36328125" bestFit="1" customWidth="1"/>
    <col min="17" max="17" width="10.81640625" bestFit="1" customWidth="1"/>
    <col min="18" max="18" width="4.54296875" customWidth="1"/>
    <col min="22" max="22" width="11.453125" bestFit="1" customWidth="1"/>
    <col min="23" max="23" width="11.6328125" bestFit="1" customWidth="1"/>
  </cols>
  <sheetData>
    <row r="1" spans="1:23" x14ac:dyDescent="0.35">
      <c r="A1" s="1" t="s">
        <v>13</v>
      </c>
      <c r="B1" s="48"/>
      <c r="C1" s="48"/>
      <c r="D1" s="48"/>
      <c r="F1" s="1"/>
    </row>
    <row r="2" spans="1:23" ht="15" thickBot="1" x14ac:dyDescent="0.4"/>
    <row r="3" spans="1:23" ht="15" thickBot="1" x14ac:dyDescent="0.4">
      <c r="A3" s="49" t="s">
        <v>14</v>
      </c>
      <c r="B3" s="50"/>
      <c r="C3" s="51"/>
      <c r="D3" s="52"/>
      <c r="F3" s="53" t="s">
        <v>15</v>
      </c>
      <c r="G3" s="50"/>
      <c r="H3" s="54"/>
      <c r="J3" s="53" t="s">
        <v>16</v>
      </c>
      <c r="K3" s="50"/>
      <c r="L3" s="50"/>
      <c r="M3" s="54"/>
      <c r="O3" s="64" t="s">
        <v>43</v>
      </c>
      <c r="P3" s="64"/>
      <c r="Q3" s="64"/>
      <c r="S3" s="53" t="s">
        <v>44</v>
      </c>
      <c r="T3" s="50"/>
      <c r="U3" s="50"/>
      <c r="V3" s="50"/>
      <c r="W3" s="54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70"/>
      <c r="P4" s="71" t="s">
        <v>17</v>
      </c>
      <c r="Q4" s="72" t="s">
        <v>19</v>
      </c>
      <c r="S4" s="27"/>
      <c r="T4" s="90" t="s">
        <v>17</v>
      </c>
      <c r="U4" s="91" t="s">
        <v>18</v>
      </c>
      <c r="V4" s="90" t="s">
        <v>45</v>
      </c>
      <c r="W4" s="92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/>
      <c r="F5" s="19" t="s">
        <v>22</v>
      </c>
      <c r="G5" s="20" t="s">
        <v>23</v>
      </c>
      <c r="H5" s="18">
        <v>4.9300000000000001E-9</v>
      </c>
      <c r="J5" s="42" t="s">
        <v>20</v>
      </c>
      <c r="K5" s="21" t="s">
        <v>25</v>
      </c>
      <c r="L5" s="22"/>
      <c r="M5" s="23">
        <f>D5/(4*H5*H6*H9)</f>
        <v>0</v>
      </c>
      <c r="O5" s="65" t="s">
        <v>20</v>
      </c>
      <c r="P5" s="4" t="s">
        <v>8</v>
      </c>
      <c r="Q5" s="18"/>
      <c r="S5" s="97" t="s">
        <v>20</v>
      </c>
      <c r="T5" s="93" t="s">
        <v>25</v>
      </c>
      <c r="U5" s="94"/>
      <c r="V5" s="95">
        <f>(D5 - 2*Q5)/(4*H5*H6*H9)</f>
        <v>0</v>
      </c>
      <c r="W5" s="96">
        <f>(D5+2*Q5)/(4*H5*H6*H9)</f>
        <v>0</v>
      </c>
    </row>
    <row r="6" spans="1:23" ht="29.4" customHeight="1" x14ac:dyDescent="0.45">
      <c r="A6" s="56" t="s">
        <v>24</v>
      </c>
      <c r="B6" t="s">
        <v>34</v>
      </c>
      <c r="C6" s="2"/>
      <c r="D6" s="24"/>
      <c r="F6" s="19" t="s">
        <v>26</v>
      </c>
      <c r="G6" s="20" t="s">
        <v>27</v>
      </c>
      <c r="H6" s="18">
        <v>50</v>
      </c>
      <c r="J6" s="56" t="s">
        <v>24</v>
      </c>
      <c r="K6" s="40" t="s">
        <v>34</v>
      </c>
      <c r="L6" s="25"/>
      <c r="M6" s="26">
        <f>D6*M5</f>
        <v>0</v>
      </c>
      <c r="O6" s="56" t="s">
        <v>24</v>
      </c>
      <c r="P6" s="66" t="s">
        <v>34</v>
      </c>
      <c r="Q6" s="73"/>
      <c r="S6" s="81" t="s">
        <v>24</v>
      </c>
      <c r="T6" s="75" t="s">
        <v>34</v>
      </c>
      <c r="U6" s="76"/>
      <c r="V6" s="82">
        <f>(D6-2*Q6)*M5</f>
        <v>0</v>
      </c>
      <c r="W6" s="83">
        <f>(D6+2*Q6)*M5</f>
        <v>0</v>
      </c>
    </row>
    <row r="7" spans="1:23" ht="30" customHeight="1" x14ac:dyDescent="0.45">
      <c r="A7" s="58"/>
      <c r="B7" s="3" t="s">
        <v>35</v>
      </c>
      <c r="C7" s="4"/>
      <c r="D7" s="18"/>
      <c r="F7" s="27" t="s">
        <v>28</v>
      </c>
      <c r="G7" s="2" t="s">
        <v>29</v>
      </c>
      <c r="H7" s="24">
        <v>603301446</v>
      </c>
      <c r="J7" s="58"/>
      <c r="K7" s="31" t="s">
        <v>35</v>
      </c>
      <c r="L7" s="32"/>
      <c r="M7" s="33">
        <f>D7*M5</f>
        <v>0</v>
      </c>
      <c r="O7" s="58"/>
      <c r="P7" s="67" t="s">
        <v>35</v>
      </c>
      <c r="Q7" s="74"/>
      <c r="S7" s="79"/>
      <c r="T7" s="77" t="s">
        <v>35</v>
      </c>
      <c r="U7" s="32"/>
      <c r="V7" s="78">
        <f>(D7-2*Q7)*M5</f>
        <v>0</v>
      </c>
      <c r="W7" s="33">
        <f>(D7+2*Q7)*M5</f>
        <v>0</v>
      </c>
    </row>
    <row r="8" spans="1:23" ht="27.65" customHeight="1" x14ac:dyDescent="0.45">
      <c r="A8" s="56" t="s">
        <v>32</v>
      </c>
      <c r="B8" t="s">
        <v>36</v>
      </c>
      <c r="C8" s="2"/>
      <c r="D8" s="24"/>
      <c r="F8" s="27" t="s">
        <v>30</v>
      </c>
      <c r="G8" s="2"/>
      <c r="H8" s="24">
        <f>(15859769/599899923)*(1736464/(1839839+106915))</f>
        <v>2.3581572371007518E-2</v>
      </c>
      <c r="J8" s="56" t="s">
        <v>32</v>
      </c>
      <c r="K8" s="40" t="s">
        <v>36</v>
      </c>
      <c r="L8" s="25" t="s">
        <v>33</v>
      </c>
      <c r="M8" s="26">
        <f>2*D8*M5*H6</f>
        <v>0</v>
      </c>
      <c r="O8" s="56" t="s">
        <v>32</v>
      </c>
      <c r="P8" s="68" t="s">
        <v>36</v>
      </c>
      <c r="Q8" s="24"/>
      <c r="S8" s="56" t="s">
        <v>32</v>
      </c>
      <c r="T8" s="89" t="s">
        <v>47</v>
      </c>
      <c r="U8" s="25" t="s">
        <v>33</v>
      </c>
      <c r="V8" s="84">
        <f>2*(D8-2*Q8)*M5*H6</f>
        <v>0</v>
      </c>
      <c r="W8" s="26">
        <f>2*(D8+2*Q8)*M5*H6</f>
        <v>0</v>
      </c>
    </row>
    <row r="9" spans="1:23" ht="17" thickBot="1" x14ac:dyDescent="0.5">
      <c r="A9" s="57"/>
      <c r="B9" s="34" t="s">
        <v>37</v>
      </c>
      <c r="C9" s="35"/>
      <c r="D9" s="36"/>
      <c r="F9" s="28" t="s">
        <v>31</v>
      </c>
      <c r="G9" s="29" t="s">
        <v>29</v>
      </c>
      <c r="H9" s="30">
        <f>H7*H8</f>
        <v>14226796.710382484</v>
      </c>
      <c r="J9" s="57"/>
      <c r="K9" s="37" t="s">
        <v>37</v>
      </c>
      <c r="L9" s="29" t="s">
        <v>33</v>
      </c>
      <c r="M9" s="38">
        <f>2*D9*M5*H6</f>
        <v>0</v>
      </c>
      <c r="O9" s="57"/>
      <c r="P9" s="69" t="s">
        <v>37</v>
      </c>
      <c r="Q9" s="36"/>
      <c r="S9" s="57"/>
      <c r="T9" s="37" t="s">
        <v>48</v>
      </c>
      <c r="U9" s="29" t="s">
        <v>33</v>
      </c>
      <c r="V9" s="87">
        <f>2*(D9-2*Q9)*M5*H6</f>
        <v>0</v>
      </c>
      <c r="W9" s="38">
        <f>2*(D9+2*Q9)*M5*H6</f>
        <v>0</v>
      </c>
    </row>
    <row r="10" spans="1:23" ht="16.75" customHeight="1" x14ac:dyDescent="0.35">
      <c r="J10" s="55"/>
      <c r="M10" s="41"/>
    </row>
    <row r="11" spans="1:23" x14ac:dyDescent="0.35">
      <c r="J11" s="55"/>
      <c r="M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O3:Q3"/>
    <mergeCell ref="S3:W3"/>
    <mergeCell ref="O6:O7"/>
    <mergeCell ref="S6:S7"/>
    <mergeCell ref="O8:O9"/>
    <mergeCell ref="S8:S9"/>
    <mergeCell ref="B1:D1"/>
    <mergeCell ref="A3:D3"/>
    <mergeCell ref="F3:H3"/>
    <mergeCell ref="J3:M3"/>
    <mergeCell ref="J10:J11"/>
    <mergeCell ref="A8:A9"/>
    <mergeCell ref="A6:A7"/>
    <mergeCell ref="J8:J9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C3D0-D7CF-42AE-9F1D-C96CF1EF8258}">
  <dimension ref="A1:W14"/>
  <sheetViews>
    <sheetView topLeftCell="H1" workbookViewId="0">
      <selection activeCell="O3" sqref="O3:W9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26953125" customWidth="1"/>
    <col min="16" max="16" width="10.36328125" bestFit="1" customWidth="1"/>
    <col min="17" max="17" width="17.36328125" customWidth="1"/>
    <col min="18" max="18" width="4.36328125" customWidth="1"/>
    <col min="20" max="20" width="10.36328125" bestFit="1" customWidth="1"/>
    <col min="22" max="23" width="12.453125" bestFit="1" customWidth="1"/>
  </cols>
  <sheetData>
    <row r="1" spans="1:23" x14ac:dyDescent="0.35">
      <c r="A1" s="1" t="s">
        <v>13</v>
      </c>
      <c r="B1" s="59" t="s">
        <v>42</v>
      </c>
      <c r="C1" s="59"/>
      <c r="D1" s="59"/>
      <c r="F1" s="1"/>
    </row>
    <row r="2" spans="1:23" ht="15" thickBot="1" x14ac:dyDescent="0.4"/>
    <row r="3" spans="1:23" ht="15" thickBot="1" x14ac:dyDescent="0.4">
      <c r="A3" s="49" t="s">
        <v>14</v>
      </c>
      <c r="B3" s="50"/>
      <c r="C3" s="51"/>
      <c r="D3" s="52"/>
      <c r="F3" s="53" t="s">
        <v>15</v>
      </c>
      <c r="G3" s="50"/>
      <c r="H3" s="54"/>
      <c r="J3" s="53" t="s">
        <v>16</v>
      </c>
      <c r="K3" s="50"/>
      <c r="L3" s="50"/>
      <c r="M3" s="54"/>
      <c r="O3" s="64" t="s">
        <v>43</v>
      </c>
      <c r="P3" s="64"/>
      <c r="Q3" s="64"/>
      <c r="S3" s="53" t="s">
        <v>44</v>
      </c>
      <c r="T3" s="50"/>
      <c r="U3" s="50"/>
      <c r="V3" s="50"/>
      <c r="W3" s="54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70"/>
      <c r="P4" s="71" t="s">
        <v>17</v>
      </c>
      <c r="Q4" s="72" t="s">
        <v>19</v>
      </c>
      <c r="S4" s="27"/>
      <c r="T4" s="90" t="s">
        <v>17</v>
      </c>
      <c r="U4" s="91" t="s">
        <v>18</v>
      </c>
      <c r="V4" s="90" t="s">
        <v>45</v>
      </c>
      <c r="W4" s="92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>
        <v>94640.24</v>
      </c>
      <c r="F5" s="19" t="s">
        <v>22</v>
      </c>
      <c r="G5" s="20" t="s">
        <v>23</v>
      </c>
      <c r="H5" s="18">
        <v>9.859999999999999E-10</v>
      </c>
      <c r="J5" s="42" t="s">
        <v>20</v>
      </c>
      <c r="K5" s="21" t="s">
        <v>25</v>
      </c>
      <c r="L5" s="22"/>
      <c r="M5" s="23">
        <f>D5/(4*H5*H6*H9)</f>
        <v>33733.530527336829</v>
      </c>
      <c r="O5" s="65" t="s">
        <v>20</v>
      </c>
      <c r="P5" s="4" t="s">
        <v>8</v>
      </c>
      <c r="Q5" s="18">
        <v>0.25916605999999998</v>
      </c>
      <c r="S5" s="97" t="s">
        <v>20</v>
      </c>
      <c r="T5" s="93" t="s">
        <v>25</v>
      </c>
      <c r="U5" s="94"/>
      <c r="V5" s="95">
        <f>(D5 - 2*Q5)/(4*H5*H6*H9)</f>
        <v>33733.345773236528</v>
      </c>
      <c r="W5" s="96">
        <f>(D5+2*Q5)/(4*H5*H6*H9)</f>
        <v>33733.715281437129</v>
      </c>
    </row>
    <row r="6" spans="1:23" ht="29.4" customHeight="1" x14ac:dyDescent="0.45">
      <c r="A6" s="56" t="s">
        <v>24</v>
      </c>
      <c r="B6" t="s">
        <v>34</v>
      </c>
      <c r="C6" s="2"/>
      <c r="D6" s="24">
        <v>23.9132</v>
      </c>
      <c r="F6" s="19" t="s">
        <v>26</v>
      </c>
      <c r="G6" s="20" t="s">
        <v>27</v>
      </c>
      <c r="H6" s="18">
        <v>50</v>
      </c>
      <c r="J6" s="56" t="s">
        <v>24</v>
      </c>
      <c r="K6" s="40" t="s">
        <v>34</v>
      </c>
      <c r="L6" s="25"/>
      <c r="M6" s="26">
        <f>D6*M5</f>
        <v>806676.66220631101</v>
      </c>
      <c r="O6" s="56" t="s">
        <v>24</v>
      </c>
      <c r="P6" s="66" t="s">
        <v>34</v>
      </c>
      <c r="Q6" s="73">
        <v>0.25692367999999999</v>
      </c>
      <c r="S6" s="81" t="s">
        <v>24</v>
      </c>
      <c r="T6" s="75" t="s">
        <v>34</v>
      </c>
      <c r="U6" s="76"/>
      <c r="V6" s="82">
        <f>(D6-2*Q6)*M5</f>
        <v>789342.7766013596</v>
      </c>
      <c r="W6" s="83">
        <f>(D6+2*Q6)*M5</f>
        <v>824010.54781126243</v>
      </c>
    </row>
    <row r="7" spans="1:23" ht="30" customHeight="1" x14ac:dyDescent="0.45">
      <c r="A7" s="58"/>
      <c r="B7" s="3" t="s">
        <v>35</v>
      </c>
      <c r="C7" s="4"/>
      <c r="D7" s="18">
        <v>4.6199999999999998E-2</v>
      </c>
      <c r="F7" s="27" t="s">
        <v>28</v>
      </c>
      <c r="G7" s="2" t="s">
        <v>29</v>
      </c>
      <c r="H7" s="24">
        <v>603301446</v>
      </c>
      <c r="J7" s="58"/>
      <c r="K7" s="31" t="s">
        <v>35</v>
      </c>
      <c r="L7" s="32"/>
      <c r="M7" s="33">
        <f>D7*M5</f>
        <v>1558.4891103629614</v>
      </c>
      <c r="O7" s="58"/>
      <c r="P7" s="67" t="s">
        <v>35</v>
      </c>
      <c r="Q7" s="74">
        <v>0.54711865000000004</v>
      </c>
      <c r="S7" s="79"/>
      <c r="T7" s="77" t="s">
        <v>35</v>
      </c>
      <c r="U7" s="32"/>
      <c r="V7" s="78">
        <f>(D7-2*Q7)*M5</f>
        <v>-35353.998253337668</v>
      </c>
      <c r="W7" s="33">
        <f>(D7+2*Q7)*M5</f>
        <v>38470.976474063595</v>
      </c>
    </row>
    <row r="8" spans="1:23" ht="27.65" customHeight="1" x14ac:dyDescent="0.45">
      <c r="A8" s="56" t="s">
        <v>32</v>
      </c>
      <c r="B8" t="s">
        <v>36</v>
      </c>
      <c r="C8" s="2"/>
      <c r="D8" s="24">
        <v>5.1996000000000002</v>
      </c>
      <c r="F8" s="27" t="s">
        <v>30</v>
      </c>
      <c r="G8" s="2"/>
      <c r="H8" s="24">
        <f>(15859769/599899923)*(1736464/(1839839+106915))</f>
        <v>2.3581572371007518E-2</v>
      </c>
      <c r="J8" s="56" t="s">
        <v>32</v>
      </c>
      <c r="K8" s="40" t="s">
        <v>36</v>
      </c>
      <c r="L8" s="25" t="s">
        <v>33</v>
      </c>
      <c r="M8" s="26">
        <f>2*D8*M5*H6</f>
        <v>17540086.532994058</v>
      </c>
      <c r="O8" s="56" t="s">
        <v>32</v>
      </c>
      <c r="P8" s="68" t="s">
        <v>36</v>
      </c>
      <c r="Q8" s="24">
        <v>0.24968858999999999</v>
      </c>
      <c r="S8" s="56" t="s">
        <v>32</v>
      </c>
      <c r="T8" s="89" t="s">
        <v>47</v>
      </c>
      <c r="U8" s="25" t="s">
        <v>33</v>
      </c>
      <c r="V8" s="84">
        <f>2*(D8-2*Q8)*M5*H6</f>
        <v>15855510.998375522</v>
      </c>
      <c r="W8" s="26">
        <f>2*(D8+2*Q8)*M5*H6</f>
        <v>19224662.067612596</v>
      </c>
    </row>
    <row r="9" spans="1:23" ht="17" thickBot="1" x14ac:dyDescent="0.5">
      <c r="A9" s="57"/>
      <c r="B9" s="34" t="s">
        <v>37</v>
      </c>
      <c r="C9" s="35"/>
      <c r="D9" s="36">
        <v>1.4E-2</v>
      </c>
      <c r="F9" s="28" t="s">
        <v>31</v>
      </c>
      <c r="G9" s="29" t="s">
        <v>29</v>
      </c>
      <c r="H9" s="30">
        <f>H7*H8</f>
        <v>14226796.710382484</v>
      </c>
      <c r="J9" s="57"/>
      <c r="K9" s="37" t="s">
        <v>37</v>
      </c>
      <c r="L9" s="29" t="s">
        <v>33</v>
      </c>
      <c r="M9" s="38">
        <f>2*D9*M5*H6</f>
        <v>47226.942738271558</v>
      </c>
      <c r="O9" s="57"/>
      <c r="P9" s="69" t="s">
        <v>37</v>
      </c>
      <c r="Q9" s="36">
        <v>0.60469156999999996</v>
      </c>
      <c r="S9" s="57"/>
      <c r="T9" s="37" t="s">
        <v>48</v>
      </c>
      <c r="U9" s="29" t="s">
        <v>33</v>
      </c>
      <c r="V9" s="87">
        <f>2*(D9-2*Q9)*M5*H6</f>
        <v>-4032449.3645053748</v>
      </c>
      <c r="W9" s="38">
        <f>2*(D9+2*Q9)*M5*H6</f>
        <v>4126903.2499819179</v>
      </c>
    </row>
    <row r="10" spans="1:23" ht="16.75" customHeight="1" x14ac:dyDescent="0.35">
      <c r="J10" s="55"/>
      <c r="M10" s="41"/>
      <c r="S10" s="88"/>
      <c r="T10" s="80"/>
      <c r="U10" s="80"/>
      <c r="V10" s="86"/>
      <c r="W10" s="86"/>
    </row>
    <row r="11" spans="1:23" x14ac:dyDescent="0.35">
      <c r="J11" s="55"/>
      <c r="M11" s="41"/>
      <c r="S11" s="85"/>
      <c r="T11" s="80"/>
      <c r="U11" s="80"/>
      <c r="V11" s="86"/>
      <c r="W11" s="86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O3:Q3"/>
    <mergeCell ref="O6:O7"/>
    <mergeCell ref="O8:O9"/>
    <mergeCell ref="S3:W3"/>
    <mergeCell ref="S6:S7"/>
    <mergeCell ref="S8:S9"/>
    <mergeCell ref="A8:A9"/>
    <mergeCell ref="J8:J9"/>
    <mergeCell ref="J10:J11"/>
    <mergeCell ref="B1:D1"/>
    <mergeCell ref="A3:D3"/>
    <mergeCell ref="F3:H3"/>
    <mergeCell ref="J3:M3"/>
    <mergeCell ref="A6:A7"/>
    <mergeCell ref="J6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model results</vt:lpstr>
      <vt:lpstr>calc templ</vt:lpstr>
      <vt:lpstr>Model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Pham,Kasey Khanh</dc:creator>
  <cp:lastModifiedBy>Pham,Kasey Khanh</cp:lastModifiedBy>
  <dcterms:created xsi:type="dcterms:W3CDTF">2024-03-05T05:02:54Z</dcterms:created>
  <dcterms:modified xsi:type="dcterms:W3CDTF">2024-05-04T16:27:12Z</dcterms:modified>
</cp:coreProperties>
</file>