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cord/models/"/>
    </mc:Choice>
  </mc:AlternateContent>
  <xr:revisionPtr revIDLastSave="393" documentId="8_{21408352-E5DB-40D9-AE77-F269512CD883}" xr6:coauthVersionLast="47" xr6:coauthVersionMax="47" xr10:uidLastSave="{51583AD1-210D-4649-9C0A-7BEDF83E8DB9}"/>
  <bookViews>
    <workbookView xWindow="-110" yWindow="-110" windowWidth="19420" windowHeight="11500" activeTab="3" xr2:uid="{2A3D79EE-876F-4CC7-84D9-EA1A1596E616}"/>
  </bookViews>
  <sheets>
    <sheet name="all model results" sheetId="1" r:id="rId1"/>
    <sheet name="calc templ" sheetId="2" r:id="rId2"/>
    <sheet name="Model 5" sheetId="3" r:id="rId3"/>
    <sheet name="Model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H9" i="4" s="1"/>
  <c r="W9" i="3"/>
  <c r="V9" i="3"/>
  <c r="W8" i="3"/>
  <c r="V8" i="3"/>
  <c r="W7" i="3"/>
  <c r="V7" i="3"/>
  <c r="W6" i="3"/>
  <c r="V6" i="3"/>
  <c r="W5" i="3"/>
  <c r="V5" i="3"/>
  <c r="W5" i="2"/>
  <c r="V5" i="2"/>
  <c r="H5" i="3"/>
  <c r="H9" i="3"/>
  <c r="H8" i="3"/>
  <c r="V5" i="4" l="1"/>
  <c r="M5" i="4"/>
  <c r="W5" i="4"/>
  <c r="M5" i="3"/>
  <c r="M7" i="3" s="1"/>
  <c r="H8" i="2"/>
  <c r="M9" i="4" l="1"/>
  <c r="W6" i="4"/>
  <c r="W9" i="4"/>
  <c r="V6" i="4"/>
  <c r="V9" i="4"/>
  <c r="M6" i="4"/>
  <c r="W8" i="4"/>
  <c r="V8" i="4"/>
  <c r="M8" i="4"/>
  <c r="W7" i="4"/>
  <c r="V7" i="4"/>
  <c r="M7" i="4"/>
  <c r="M9" i="3"/>
  <c r="M8" i="3"/>
  <c r="M6" i="3"/>
  <c r="H9" i="2"/>
  <c r="M5" i="2" s="1"/>
  <c r="W6" i="2" l="1"/>
  <c r="W7" i="2"/>
  <c r="V6" i="2"/>
  <c r="V8" i="2"/>
  <c r="W8" i="2"/>
  <c r="W9" i="2"/>
  <c r="V9" i="2"/>
  <c r="V7" i="2"/>
  <c r="M9" i="2"/>
  <c r="M8" i="2"/>
  <c r="M6" i="2"/>
  <c r="M7" i="2"/>
</calcChain>
</file>

<file path=xl/sharedStrings.xml><?xml version="1.0" encoding="utf-8"?>
<sst xmlns="http://schemas.openxmlformats.org/spreadsheetml/2006/main" count="220" uniqueCount="50">
  <si>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</si>
  <si>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</si>
  <si>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</si>
  <si>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</si>
  <si>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</si>
  <si>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</si>
  <si>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</si>
  <si>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</si>
  <si>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</si>
  <si>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</si>
  <si>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</si>
  <si>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</si>
  <si>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</si>
  <si>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</si>
  <si>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</si>
  <si>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</si>
  <si>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</si>
  <si>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</si>
  <si>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</si>
  <si>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</si>
  <si>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</si>
  <si>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</si>
  <si>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</si>
  <si>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</si>
  <si>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</si>
  <si>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</si>
  <si>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</si>
  <si>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</si>
  <si>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</si>
  <si>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</si>
  <si>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</si>
  <si>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</si>
  <si>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</si>
  <si>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</si>
  <si>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</si>
  <si>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</si>
  <si>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</si>
  <si>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</si>
  <si>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1, Rep 5</t>
  </si>
  <si>
    <t>Run 2, Rep 61</t>
  </si>
  <si>
    <t>Run 2, Rep 45</t>
  </si>
  <si>
    <t>Run 2, Rep 73</t>
  </si>
  <si>
    <t>05 - Three Epoch</t>
  </si>
  <si>
    <t>UNCERTAINTY ESTIMATES</t>
  </si>
  <si>
    <t>95% CONFIDENCE INTERVALS</t>
  </si>
  <si>
    <t>Lower Bound</t>
  </si>
  <si>
    <t>Upper Bound</t>
  </si>
  <si>
    <r>
      <t>t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</si>
  <si>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2</t>
    </r>
  </si>
  <si>
    <t>Two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</si>
</sst>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0" fillId="0" borderId="12" xfId="0" applyBorder="1"/>
    <xf numFmtId="0" fontId="2" fillId="0" borderId="32" xfId="0" applyFont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/>
    <xf numFmtId="0" fontId="2" fillId="0" borderId="24" xfId="0" applyFont="1" applyBorder="1"/>
    <xf numFmtId="0" fontId="2" fillId="0" borderId="22" xfId="0" applyFont="1" applyBorder="1" applyAlignment="1">
      <alignment horizontal="center" vertical="center" textRotation="90"/>
    </xf>
    <xf numFmtId="0" fontId="2" fillId="0" borderId="33" xfId="0" applyFont="1" applyBorder="1" applyAlignment="1">
      <alignment horizontal="center" vertical="center" textRotation="90"/>
    </xf>
    <xf numFmtId="0" fontId="0" fillId="2" borderId="13" xfId="0" applyFill="1" applyBorder="1"/>
    <xf numFmtId="0" fontId="0" fillId="2" borderId="34" xfId="0" applyFill="1" applyBorder="1"/>
    <xf numFmtId="4" fontId="0" fillId="2" borderId="13" xfId="0" applyNumberFormat="1" applyFill="1" applyBorder="1"/>
    <xf numFmtId="4" fontId="0" fillId="2" borderId="17" xfId="0" applyNumberFormat="1" applyFill="1" applyBorder="1"/>
    <xf numFmtId="0" fontId="0" fillId="4" borderId="36" xfId="0" applyFill="1" applyBorder="1"/>
    <xf numFmtId="0" fontId="0" fillId="4" borderId="37" xfId="0" applyFill="1" applyBorder="1"/>
    <xf numFmtId="4" fontId="0" fillId="4" borderId="38" xfId="0" applyNumberFormat="1" applyFill="1" applyBorder="1"/>
    <xf numFmtId="4" fontId="0" fillId="4" borderId="39" xfId="0" applyNumberFormat="1" applyFill="1" applyBorder="1"/>
    <xf numFmtId="0" fontId="0" fillId="4" borderId="4" xfId="0" applyFill="1" applyBorder="1"/>
    <xf numFmtId="4" fontId="0" fillId="4" borderId="5" xfId="0" applyNumberFormat="1" applyFill="1" applyBorder="1"/>
    <xf numFmtId="0" fontId="0" fillId="0" borderId="40" xfId="0" applyBorder="1"/>
    <xf numFmtId="4" fontId="0" fillId="4" borderId="0" xfId="0" applyNumberFormat="1" applyFill="1"/>
    <xf numFmtId="0" fontId="0" fillId="0" borderId="41" xfId="0" applyBorder="1"/>
    <xf numFmtId="4" fontId="0" fillId="4" borderId="31" xfId="0" applyNumberFormat="1" applyFill="1" applyBorder="1"/>
    <xf numFmtId="0" fontId="0" fillId="5" borderId="5" xfId="0" applyFill="1" applyBorder="1"/>
    <xf numFmtId="0" fontId="0" fillId="6" borderId="0" xfId="0" applyFill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zoomScaleNormal="100" workbookViewId="0">
      <selection activeCell="E12" sqref="E12"/>
    </sheetView>
  </sheetViews>
  <sheetFormatPr defaultRowHeight="14.5" x14ac:dyDescent="0.35"/>
  <cols>
    <col min="1" max="1" width="14.36328125" bestFit="1" customWidth="1"/>
    <col min="2" max="2" width="11.453125" customWidth="1"/>
    <col min="3" max="3" width="12.26953125" customWidth="1"/>
    <col min="4" max="4" width="10.08984375" customWidth="1"/>
    <col min="5" max="5" width="11" customWidth="1"/>
    <col min="6" max="6" width="8.90625" customWidth="1"/>
    <col min="7" max="7" width="10.36328125" customWidth="1"/>
    <col min="8" max="8" width="10" customWidth="1"/>
    <col min="9" max="9" width="10.08984375" customWidth="1"/>
    <col min="10" max="10" width="8.90625" customWidth="1"/>
    <col min="11" max="11" width="9" customWidth="1"/>
    <col min="12" max="12" width="16.26953125" bestFit="1" customWidth="1"/>
  </cols>
  <sheetData>
    <row r="1" spans="1:17" x14ac:dyDescent="0.35">
      <c r="A1" s="9" t="s">
        <v>5</v>
      </c>
      <c r="B1" s="71" t="s">
        <v>4</v>
      </c>
      <c r="C1" s="72"/>
      <c r="D1" s="72"/>
      <c r="E1" s="72"/>
      <c r="F1" s="73"/>
      <c r="G1" s="71" t="s">
        <v>6</v>
      </c>
      <c r="H1" s="72"/>
      <c r="I1" s="72"/>
      <c r="J1" s="72"/>
      <c r="K1" s="73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5">
      <c r="A2" s="7" t="s">
        <v>0</v>
      </c>
      <c r="B2" s="69">
        <v>-7399.12</v>
      </c>
      <c r="C2">
        <v>-7399.26</v>
      </c>
      <c r="D2">
        <v>-7399.19</v>
      </c>
      <c r="E2">
        <v>-7399.12</v>
      </c>
      <c r="F2" s="2">
        <v>-7399.13</v>
      </c>
      <c r="G2" s="70">
        <v>14802.24</v>
      </c>
      <c r="H2">
        <v>14802.52</v>
      </c>
      <c r="I2">
        <v>14802.38</v>
      </c>
      <c r="J2">
        <v>14802.24</v>
      </c>
      <c r="K2">
        <v>14802.26</v>
      </c>
      <c r="L2" s="7" t="s">
        <v>38</v>
      </c>
      <c r="M2">
        <v>930770.7</v>
      </c>
      <c r="N2">
        <v>0.01</v>
      </c>
      <c r="P2">
        <v>4.6100000000000002E-2</v>
      </c>
      <c r="Q2" s="2"/>
    </row>
    <row r="3" spans="1:17" x14ac:dyDescent="0.35">
      <c r="A3" s="7" t="s">
        <v>1</v>
      </c>
      <c r="B3" s="43">
        <v>-7092.79</v>
      </c>
      <c r="C3" s="67">
        <v>-7092.77</v>
      </c>
      <c r="D3">
        <v>-7093.18</v>
      </c>
      <c r="E3">
        <v>-7092.97</v>
      </c>
      <c r="F3" s="2">
        <v>-7092.9</v>
      </c>
      <c r="G3">
        <v>14189.58</v>
      </c>
      <c r="H3" s="67">
        <v>14189.54</v>
      </c>
      <c r="I3">
        <v>14190.36</v>
      </c>
      <c r="J3">
        <v>14189.94</v>
      </c>
      <c r="K3">
        <v>14189.8</v>
      </c>
      <c r="L3" s="7" t="s">
        <v>39</v>
      </c>
      <c r="M3">
        <v>969599.1</v>
      </c>
      <c r="N3">
        <v>0.01</v>
      </c>
      <c r="P3">
        <v>0.01</v>
      </c>
      <c r="Q3" s="2"/>
    </row>
    <row r="4" spans="1:17" x14ac:dyDescent="0.35">
      <c r="A4" s="7" t="s">
        <v>2</v>
      </c>
      <c r="B4" s="43">
        <v>-7388.91</v>
      </c>
      <c r="C4" s="68">
        <v>-7358.44</v>
      </c>
      <c r="D4">
        <v>-7399.08</v>
      </c>
      <c r="E4">
        <v>-7388.11</v>
      </c>
      <c r="F4" s="2">
        <v>-7399.41</v>
      </c>
      <c r="G4">
        <v>14783.82</v>
      </c>
      <c r="H4" s="68">
        <v>14722.88</v>
      </c>
      <c r="I4">
        <v>14804.16</v>
      </c>
      <c r="J4">
        <v>14782.22</v>
      </c>
      <c r="K4">
        <v>14804.82</v>
      </c>
      <c r="L4" s="7" t="s">
        <v>40</v>
      </c>
      <c r="M4">
        <v>924199.6</v>
      </c>
      <c r="N4">
        <v>0.1012</v>
      </c>
      <c r="O4">
        <v>0.01</v>
      </c>
      <c r="P4">
        <v>2.4799999999999999E-2</v>
      </c>
      <c r="Q4" s="2"/>
    </row>
    <row r="5" spans="1:17" x14ac:dyDescent="0.35">
      <c r="A5" s="8" t="s">
        <v>3</v>
      </c>
      <c r="B5" s="44">
        <v>-6552</v>
      </c>
      <c r="C5" s="66">
        <v>-5272.02</v>
      </c>
      <c r="D5" s="3">
        <v>-5411.22</v>
      </c>
      <c r="E5" s="3">
        <v>-5324.44</v>
      </c>
      <c r="F5" s="4">
        <v>-5316.6</v>
      </c>
      <c r="G5" s="3">
        <v>13112</v>
      </c>
      <c r="H5" s="66">
        <v>10552.04</v>
      </c>
      <c r="I5" s="3">
        <v>10830.44</v>
      </c>
      <c r="J5" s="3">
        <v>10656.88</v>
      </c>
      <c r="K5" s="3">
        <v>10641.2</v>
      </c>
      <c r="L5" s="8" t="s">
        <v>41</v>
      </c>
      <c r="M5" s="3">
        <v>91424.01</v>
      </c>
      <c r="N5" s="3">
        <v>26.566500000000001</v>
      </c>
      <c r="O5" s="3">
        <v>1.01E-2</v>
      </c>
      <c r="P5" s="3">
        <v>23.965299999999999</v>
      </c>
      <c r="Q5" s="4">
        <v>1.41E-2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W14"/>
  <sheetViews>
    <sheetView workbookViewId="0">
      <selection activeCell="H7" sqref="H7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453125" customWidth="1"/>
    <col min="16" max="16" width="10.36328125" bestFit="1" customWidth="1"/>
    <col min="17" max="17" width="14.54296875" customWidth="1"/>
    <col min="18" max="18" width="4" customWidth="1"/>
    <col min="22" max="22" width="11.453125" bestFit="1" customWidth="1"/>
    <col min="23" max="23" width="11.6328125" bestFit="1" customWidth="1"/>
  </cols>
  <sheetData>
    <row r="1" spans="1:23" x14ac:dyDescent="0.35">
      <c r="A1" s="1" t="s">
        <v>13</v>
      </c>
      <c r="B1" s="83"/>
      <c r="C1" s="83"/>
      <c r="D1" s="83"/>
      <c r="F1" s="1"/>
    </row>
    <row r="2" spans="1:23" ht="15" thickBot="1" x14ac:dyDescent="0.4"/>
    <row r="3" spans="1:23" ht="15" thickBot="1" x14ac:dyDescent="0.4">
      <c r="A3" s="84" t="s">
        <v>14</v>
      </c>
      <c r="B3" s="76"/>
      <c r="C3" s="85"/>
      <c r="D3" s="86"/>
      <c r="F3" s="75" t="s">
        <v>15</v>
      </c>
      <c r="G3" s="76"/>
      <c r="H3" s="77"/>
      <c r="J3" s="75" t="s">
        <v>16</v>
      </c>
      <c r="K3" s="76"/>
      <c r="L3" s="76"/>
      <c r="M3" s="77"/>
      <c r="O3" s="74" t="s">
        <v>43</v>
      </c>
      <c r="P3" s="74"/>
      <c r="Q3" s="74"/>
      <c r="S3" s="75" t="s">
        <v>44</v>
      </c>
      <c r="T3" s="76"/>
      <c r="U3" s="76"/>
      <c r="V3" s="76"/>
      <c r="W3" s="77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45"/>
      <c r="P4" s="46" t="s">
        <v>17</v>
      </c>
      <c r="Q4" s="47" t="s">
        <v>19</v>
      </c>
      <c r="S4" s="27"/>
      <c r="T4" s="1" t="s">
        <v>17</v>
      </c>
      <c r="U4" s="48" t="s">
        <v>18</v>
      </c>
      <c r="V4" s="1" t="s">
        <v>45</v>
      </c>
      <c r="W4" s="49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/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0</v>
      </c>
      <c r="O5" s="50" t="s">
        <v>20</v>
      </c>
      <c r="P5" s="4" t="s">
        <v>8</v>
      </c>
      <c r="Q5" s="18"/>
      <c r="S5" s="51" t="s">
        <v>20</v>
      </c>
      <c r="T5" s="52" t="s">
        <v>25</v>
      </c>
      <c r="U5" s="53"/>
      <c r="V5" s="54">
        <f>(D5 - 2*Q5)/(4*H5*H6*H9)</f>
        <v>0</v>
      </c>
      <c r="W5" s="55">
        <f>(D5+2*Q5)/(4*H5*H6*H9)</f>
        <v>0</v>
      </c>
    </row>
    <row r="6" spans="1:23" ht="29.4" customHeight="1" x14ac:dyDescent="0.45">
      <c r="A6" s="78" t="s">
        <v>24</v>
      </c>
      <c r="B6" t="s">
        <v>34</v>
      </c>
      <c r="C6" s="2"/>
      <c r="D6" s="24"/>
      <c r="F6" s="19" t="s">
        <v>26</v>
      </c>
      <c r="G6" s="20" t="s">
        <v>27</v>
      </c>
      <c r="H6" s="18">
        <v>100</v>
      </c>
      <c r="J6" s="78" t="s">
        <v>24</v>
      </c>
      <c r="K6" s="40" t="s">
        <v>34</v>
      </c>
      <c r="L6" s="25"/>
      <c r="M6" s="26">
        <f>D6*M5</f>
        <v>0</v>
      </c>
      <c r="O6" s="78" t="s">
        <v>24</v>
      </c>
      <c r="P6" s="2" t="s">
        <v>34</v>
      </c>
      <c r="Q6" s="24"/>
      <c r="S6" s="80" t="s">
        <v>24</v>
      </c>
      <c r="T6" s="56" t="s">
        <v>34</v>
      </c>
      <c r="U6" s="57"/>
      <c r="V6" s="58">
        <f>(D6-2*Q6)*M5</f>
        <v>0</v>
      </c>
      <c r="W6" s="59">
        <f>(D6+2*Q6)*M5</f>
        <v>0</v>
      </c>
    </row>
    <row r="7" spans="1:23" ht="30" customHeight="1" x14ac:dyDescent="0.45">
      <c r="A7" s="79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79"/>
      <c r="K7" s="31" t="s">
        <v>35</v>
      </c>
      <c r="L7" s="32"/>
      <c r="M7" s="33">
        <f>D7*M5</f>
        <v>0</v>
      </c>
      <c r="O7" s="79"/>
      <c r="P7" s="4" t="s">
        <v>35</v>
      </c>
      <c r="Q7" s="18"/>
      <c r="S7" s="81"/>
      <c r="T7" s="60" t="s">
        <v>35</v>
      </c>
      <c r="U7" s="32"/>
      <c r="V7" s="61">
        <f>(D7-2*Q7)*M5</f>
        <v>0</v>
      </c>
      <c r="W7" s="33">
        <f>(D7+2*Q7)*M5</f>
        <v>0</v>
      </c>
    </row>
    <row r="8" spans="1:23" ht="27.65" customHeight="1" x14ac:dyDescent="0.45">
      <c r="A8" s="78" t="s">
        <v>32</v>
      </c>
      <c r="B8" t="s">
        <v>36</v>
      </c>
      <c r="C8" s="2"/>
      <c r="D8" s="24"/>
      <c r="F8" s="27" t="s">
        <v>30</v>
      </c>
      <c r="G8" s="2"/>
      <c r="H8" s="24">
        <f>(15859769/599899923)*(1736464/(1839839+106915))</f>
        <v>2.3581572371007518E-2</v>
      </c>
      <c r="J8" s="78" t="s">
        <v>32</v>
      </c>
      <c r="K8" s="40" t="s">
        <v>36</v>
      </c>
      <c r="L8" s="25" t="s">
        <v>33</v>
      </c>
      <c r="M8" s="26">
        <f>2*D8*M5*H6</f>
        <v>0</v>
      </c>
      <c r="O8" s="78" t="s">
        <v>32</v>
      </c>
      <c r="P8" s="62" t="s">
        <v>36</v>
      </c>
      <c r="Q8" s="24"/>
      <c r="S8" s="78" t="s">
        <v>32</v>
      </c>
      <c r="T8" s="40" t="s">
        <v>47</v>
      </c>
      <c r="U8" s="25" t="s">
        <v>33</v>
      </c>
      <c r="V8" s="63">
        <f>2*(D8-2*Q8)*M5*H6</f>
        <v>0</v>
      </c>
      <c r="W8" s="26">
        <f>2*(D8+2*Q8)*M5*H6</f>
        <v>0</v>
      </c>
    </row>
    <row r="9" spans="1:23" ht="17" thickBot="1" x14ac:dyDescent="0.5">
      <c r="A9" s="82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82"/>
      <c r="K9" s="37" t="s">
        <v>37</v>
      </c>
      <c r="L9" s="29" t="s">
        <v>33</v>
      </c>
      <c r="M9" s="38">
        <f>2*D9*M5*H6</f>
        <v>0</v>
      </c>
      <c r="O9" s="82"/>
      <c r="P9" s="64" t="s">
        <v>37</v>
      </c>
      <c r="Q9" s="36"/>
      <c r="S9" s="82"/>
      <c r="T9" s="37" t="s">
        <v>48</v>
      </c>
      <c r="U9" s="29" t="s">
        <v>33</v>
      </c>
      <c r="V9" s="65">
        <f>2*(D9-2*Q9)*M5*H6</f>
        <v>0</v>
      </c>
      <c r="W9" s="38">
        <f>2*(D9+2*Q9)*M5*H6</f>
        <v>0</v>
      </c>
    </row>
    <row r="10" spans="1:23" ht="16.75" customHeight="1" x14ac:dyDescent="0.35">
      <c r="J10" s="87"/>
      <c r="M10" s="41"/>
    </row>
    <row r="11" spans="1:23" x14ac:dyDescent="0.35">
      <c r="J11" s="87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B1:D1"/>
    <mergeCell ref="A3:D3"/>
    <mergeCell ref="F3:H3"/>
    <mergeCell ref="J3:M3"/>
    <mergeCell ref="J10:J11"/>
    <mergeCell ref="A8:A9"/>
    <mergeCell ref="A6:A7"/>
    <mergeCell ref="J8:J9"/>
    <mergeCell ref="J6:J7"/>
    <mergeCell ref="O3:Q3"/>
    <mergeCell ref="S3:W3"/>
    <mergeCell ref="O6:O7"/>
    <mergeCell ref="S6:S7"/>
    <mergeCell ref="O8:O9"/>
    <mergeCell ref="S8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61F2-3A38-4AED-8FEA-6EC755D0677C}">
  <dimension ref="A1:W14"/>
  <sheetViews>
    <sheetView workbookViewId="0">
      <selection activeCell="H14" sqref="H14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7265625" customWidth="1"/>
    <col min="16" max="16" width="10.36328125" bestFit="1" customWidth="1"/>
    <col min="17" max="17" width="16.6328125" customWidth="1"/>
    <col min="18" max="18" width="4.6328125" customWidth="1"/>
    <col min="22" max="23" width="13.54296875" bestFit="1" customWidth="1"/>
  </cols>
  <sheetData>
    <row r="1" spans="1:23" x14ac:dyDescent="0.35">
      <c r="A1" s="1" t="s">
        <v>13</v>
      </c>
      <c r="B1" s="88" t="s">
        <v>42</v>
      </c>
      <c r="C1" s="88"/>
      <c r="D1" s="88"/>
      <c r="F1" s="1"/>
    </row>
    <row r="2" spans="1:23" ht="15" thickBot="1" x14ac:dyDescent="0.4"/>
    <row r="3" spans="1:23" ht="15" thickBot="1" x14ac:dyDescent="0.4">
      <c r="A3" s="84" t="s">
        <v>14</v>
      </c>
      <c r="B3" s="76"/>
      <c r="C3" s="85"/>
      <c r="D3" s="86"/>
      <c r="F3" s="75" t="s">
        <v>15</v>
      </c>
      <c r="G3" s="76"/>
      <c r="H3" s="77"/>
      <c r="J3" s="75" t="s">
        <v>16</v>
      </c>
      <c r="K3" s="76"/>
      <c r="L3" s="76"/>
      <c r="M3" s="77"/>
      <c r="O3" s="74" t="s">
        <v>43</v>
      </c>
      <c r="P3" s="74"/>
      <c r="Q3" s="74"/>
      <c r="S3" s="75" t="s">
        <v>44</v>
      </c>
      <c r="T3" s="76"/>
      <c r="U3" s="76"/>
      <c r="V3" s="76"/>
      <c r="W3" s="77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45"/>
      <c r="P4" s="46" t="s">
        <v>17</v>
      </c>
      <c r="Q4" s="47" t="s">
        <v>19</v>
      </c>
      <c r="S4" s="27"/>
      <c r="T4" s="1" t="s">
        <v>17</v>
      </c>
      <c r="U4" s="48" t="s">
        <v>18</v>
      </c>
      <c r="V4" s="1" t="s">
        <v>45</v>
      </c>
      <c r="W4" s="49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91424.01</v>
      </c>
      <c r="F5" s="19" t="s">
        <v>22</v>
      </c>
      <c r="G5" s="20" t="s">
        <v>23</v>
      </c>
      <c r="H5" s="18">
        <f>0.0000000493/100</f>
        <v>4.9299999999999995E-10</v>
      </c>
      <c r="J5" s="42" t="s">
        <v>20</v>
      </c>
      <c r="K5" s="21" t="s">
        <v>25</v>
      </c>
      <c r="L5" s="22"/>
      <c r="M5" s="23">
        <f>D5/(4*H5*H6*H9)</f>
        <v>32587.138750562626</v>
      </c>
      <c r="O5" s="50" t="s">
        <v>20</v>
      </c>
      <c r="P5" s="4" t="s">
        <v>8</v>
      </c>
      <c r="Q5" s="18"/>
      <c r="S5" s="51" t="s">
        <v>20</v>
      </c>
      <c r="T5" s="52" t="s">
        <v>25</v>
      </c>
      <c r="U5" s="53"/>
      <c r="V5" s="54">
        <f>(D5 - 2*Q5)/(4*H5*H6*H9)</f>
        <v>32587.138750562626</v>
      </c>
      <c r="W5" s="55">
        <f>(D5+2*Q5)/(4*H5*H6*H9)</f>
        <v>32587.138750562626</v>
      </c>
    </row>
    <row r="6" spans="1:23" ht="29.4" customHeight="1" x14ac:dyDescent="0.45">
      <c r="A6" s="78" t="s">
        <v>24</v>
      </c>
      <c r="B6" t="s">
        <v>34</v>
      </c>
      <c r="C6" s="2"/>
      <c r="D6" s="24">
        <v>26.566500000000001</v>
      </c>
      <c r="F6" s="19" t="s">
        <v>26</v>
      </c>
      <c r="G6" s="20" t="s">
        <v>27</v>
      </c>
      <c r="H6" s="18">
        <v>100</v>
      </c>
      <c r="J6" s="78" t="s">
        <v>24</v>
      </c>
      <c r="K6" s="40" t="s">
        <v>34</v>
      </c>
      <c r="L6" s="25"/>
      <c r="M6" s="26">
        <f>D6*M5</f>
        <v>865726.22161682206</v>
      </c>
      <c r="O6" s="78" t="s">
        <v>24</v>
      </c>
      <c r="P6" s="2" t="s">
        <v>34</v>
      </c>
      <c r="Q6" s="24"/>
      <c r="S6" s="80" t="s">
        <v>24</v>
      </c>
      <c r="T6" s="56" t="s">
        <v>34</v>
      </c>
      <c r="U6" s="57"/>
      <c r="V6" s="58">
        <f>(D6-2*Q6)*M5</f>
        <v>865726.22161682206</v>
      </c>
      <c r="W6" s="59">
        <f>(D6+2*Q6)*M5</f>
        <v>865726.22161682206</v>
      </c>
    </row>
    <row r="7" spans="1:23" ht="30" customHeight="1" x14ac:dyDescent="0.45">
      <c r="A7" s="79"/>
      <c r="B7" s="3" t="s">
        <v>35</v>
      </c>
      <c r="C7" s="4"/>
      <c r="D7" s="18">
        <v>1.01E-2</v>
      </c>
      <c r="F7" s="27" t="s">
        <v>28</v>
      </c>
      <c r="G7" s="2" t="s">
        <v>29</v>
      </c>
      <c r="H7" s="24">
        <v>603301446</v>
      </c>
      <c r="J7" s="79"/>
      <c r="K7" s="31" t="s">
        <v>35</v>
      </c>
      <c r="L7" s="32"/>
      <c r="M7" s="33">
        <f>D7*M5</f>
        <v>329.1301013806825</v>
      </c>
      <c r="O7" s="79"/>
      <c r="P7" s="4" t="s">
        <v>35</v>
      </c>
      <c r="Q7" s="18"/>
      <c r="S7" s="81"/>
      <c r="T7" s="60" t="s">
        <v>35</v>
      </c>
      <c r="U7" s="32"/>
      <c r="V7" s="61">
        <f>(D7-2*Q7)*M5</f>
        <v>329.1301013806825</v>
      </c>
      <c r="W7" s="33">
        <f>(D7+2*Q7)*M5</f>
        <v>329.1301013806825</v>
      </c>
    </row>
    <row r="8" spans="1:23" ht="27.65" customHeight="1" x14ac:dyDescent="0.45">
      <c r="A8" s="78" t="s">
        <v>32</v>
      </c>
      <c r="B8" t="s">
        <v>36</v>
      </c>
      <c r="C8" s="2"/>
      <c r="D8" s="24">
        <v>23.965299999999999</v>
      </c>
      <c r="F8" s="27" t="s">
        <v>30</v>
      </c>
      <c r="G8" s="2"/>
      <c r="H8" s="24">
        <f>(15859769/599899923)*(1736464/(1839839+106915))</f>
        <v>2.3581572371007518E-2</v>
      </c>
      <c r="J8" s="78" t="s">
        <v>32</v>
      </c>
      <c r="K8" s="40" t="s">
        <v>36</v>
      </c>
      <c r="L8" s="25" t="s">
        <v>33</v>
      </c>
      <c r="M8" s="26">
        <f>2*D8*M5*H6</f>
        <v>156192111.2597717</v>
      </c>
      <c r="O8" s="78" t="s">
        <v>32</v>
      </c>
      <c r="P8" s="62" t="s">
        <v>36</v>
      </c>
      <c r="Q8" s="24"/>
      <c r="S8" s="78" t="s">
        <v>32</v>
      </c>
      <c r="T8" s="40" t="s">
        <v>47</v>
      </c>
      <c r="U8" s="25" t="s">
        <v>33</v>
      </c>
      <c r="V8" s="63">
        <f>2*(D8-2*Q8)*M5*H6</f>
        <v>156192111.2597717</v>
      </c>
      <c r="W8" s="26">
        <f>2*(D8+2*Q8)*M5*H6</f>
        <v>156192111.2597717</v>
      </c>
    </row>
    <row r="9" spans="1:23" ht="17" thickBot="1" x14ac:dyDescent="0.5">
      <c r="A9" s="82"/>
      <c r="B9" s="34" t="s">
        <v>37</v>
      </c>
      <c r="C9" s="35"/>
      <c r="D9" s="36">
        <v>1.41E-2</v>
      </c>
      <c r="F9" s="28" t="s">
        <v>31</v>
      </c>
      <c r="G9" s="29" t="s">
        <v>29</v>
      </c>
      <c r="H9" s="30">
        <f>H7*H8</f>
        <v>14226796.710382484</v>
      </c>
      <c r="J9" s="82"/>
      <c r="K9" s="37" t="s">
        <v>37</v>
      </c>
      <c r="L9" s="29" t="s">
        <v>33</v>
      </c>
      <c r="M9" s="38">
        <f>2*D9*M5*H6</f>
        <v>91895.731276586608</v>
      </c>
      <c r="O9" s="82"/>
      <c r="P9" s="64" t="s">
        <v>37</v>
      </c>
      <c r="Q9" s="36"/>
      <c r="S9" s="82"/>
      <c r="T9" s="37" t="s">
        <v>48</v>
      </c>
      <c r="U9" s="29" t="s">
        <v>33</v>
      </c>
      <c r="V9" s="65">
        <f>2*(D9-2*Q9)*M5*H6</f>
        <v>91895.731276586608</v>
      </c>
      <c r="W9" s="38">
        <f>2*(D9+2*Q9)*M5*H6</f>
        <v>91895.731276586608</v>
      </c>
    </row>
    <row r="10" spans="1:23" ht="16.75" customHeight="1" x14ac:dyDescent="0.35">
      <c r="J10" s="87"/>
      <c r="M10" s="41"/>
    </row>
    <row r="11" spans="1:23" x14ac:dyDescent="0.35">
      <c r="J11" s="87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A8:A9"/>
    <mergeCell ref="J8:J9"/>
    <mergeCell ref="J10:J11"/>
    <mergeCell ref="B1:D1"/>
    <mergeCell ref="A3:D3"/>
    <mergeCell ref="F3:H3"/>
    <mergeCell ref="J3:M3"/>
    <mergeCell ref="A6:A7"/>
    <mergeCell ref="J6:J7"/>
    <mergeCell ref="O3:Q3"/>
    <mergeCell ref="S3:W3"/>
    <mergeCell ref="O6:O7"/>
    <mergeCell ref="S6:S7"/>
    <mergeCell ref="O8:O9"/>
    <mergeCell ref="S8:S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A405-5A85-4992-8768-5EA27FBA628E}">
  <dimension ref="A1:W14"/>
  <sheetViews>
    <sheetView tabSelected="1" workbookViewId="0">
      <selection activeCell="D6" sqref="D6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453125" customWidth="1"/>
    <col min="16" max="16" width="10.36328125" bestFit="1" customWidth="1"/>
    <col min="17" max="17" width="14.54296875" customWidth="1"/>
    <col min="18" max="18" width="4" customWidth="1"/>
    <col min="22" max="22" width="13.1796875" bestFit="1" customWidth="1"/>
    <col min="23" max="23" width="12.453125" bestFit="1" customWidth="1"/>
  </cols>
  <sheetData>
    <row r="1" spans="1:23" x14ac:dyDescent="0.35">
      <c r="A1" s="1" t="s">
        <v>13</v>
      </c>
      <c r="B1" s="88" t="s">
        <v>49</v>
      </c>
      <c r="C1" s="88"/>
      <c r="D1" s="88"/>
      <c r="F1" s="1"/>
    </row>
    <row r="2" spans="1:23" ht="15" thickBot="1" x14ac:dyDescent="0.4"/>
    <row r="3" spans="1:23" ht="15" thickBot="1" x14ac:dyDescent="0.4">
      <c r="A3" s="84" t="s">
        <v>14</v>
      </c>
      <c r="B3" s="76"/>
      <c r="C3" s="85"/>
      <c r="D3" s="86"/>
      <c r="F3" s="75" t="s">
        <v>15</v>
      </c>
      <c r="G3" s="76"/>
      <c r="H3" s="77"/>
      <c r="J3" s="75" t="s">
        <v>16</v>
      </c>
      <c r="K3" s="76"/>
      <c r="L3" s="76"/>
      <c r="M3" s="77"/>
      <c r="O3" s="74" t="s">
        <v>43</v>
      </c>
      <c r="P3" s="74"/>
      <c r="Q3" s="74"/>
      <c r="S3" s="75" t="s">
        <v>44</v>
      </c>
      <c r="T3" s="76"/>
      <c r="U3" s="76"/>
      <c r="V3" s="76"/>
      <c r="W3" s="77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45"/>
      <c r="P4" s="46" t="s">
        <v>17</v>
      </c>
      <c r="Q4" s="47" t="s">
        <v>19</v>
      </c>
      <c r="S4" s="27"/>
      <c r="T4" s="1" t="s">
        <v>17</v>
      </c>
      <c r="U4" s="48" t="s">
        <v>18</v>
      </c>
      <c r="V4" s="1" t="s">
        <v>45</v>
      </c>
      <c r="W4" s="49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969599.1</v>
      </c>
      <c r="F5" s="19" t="s">
        <v>22</v>
      </c>
      <c r="G5" s="20" t="s">
        <v>23</v>
      </c>
      <c r="H5" s="18">
        <v>4.9299999999999995E-10</v>
      </c>
      <c r="J5" s="50" t="s">
        <v>20</v>
      </c>
      <c r="K5" s="21" t="s">
        <v>25</v>
      </c>
      <c r="L5" s="22"/>
      <c r="M5" s="23">
        <f>D5/(4*H5*H6*H9)</f>
        <v>345603.52804608602</v>
      </c>
      <c r="O5" s="50" t="s">
        <v>20</v>
      </c>
      <c r="P5" s="4" t="s">
        <v>8</v>
      </c>
      <c r="Q5" s="18">
        <v>0.28139505999999997</v>
      </c>
      <c r="S5" s="51" t="s">
        <v>20</v>
      </c>
      <c r="T5" s="52" t="s">
        <v>25</v>
      </c>
      <c r="U5" s="53"/>
      <c r="V5" s="54">
        <f>(D5 - 2*Q5)/(4*H5*H6*H9)</f>
        <v>345603.32744539337</v>
      </c>
      <c r="W5" s="55">
        <f>(D5+2*Q5)/(4*H5*H6*H9)</f>
        <v>345603.72864677862</v>
      </c>
    </row>
    <row r="6" spans="1:23" ht="29.4" customHeight="1" x14ac:dyDescent="0.45">
      <c r="A6" s="78" t="s">
        <v>24</v>
      </c>
      <c r="B6" t="s">
        <v>34</v>
      </c>
      <c r="C6" s="2"/>
      <c r="D6" s="24">
        <v>0.01</v>
      </c>
      <c r="F6" s="19" t="s">
        <v>26</v>
      </c>
      <c r="G6" s="20" t="s">
        <v>27</v>
      </c>
      <c r="H6" s="18">
        <v>100</v>
      </c>
      <c r="J6" s="78" t="s">
        <v>24</v>
      </c>
      <c r="K6" s="40" t="s">
        <v>34</v>
      </c>
      <c r="L6" s="25"/>
      <c r="M6" s="26">
        <f>D6*M5</f>
        <v>3456.0352804608601</v>
      </c>
      <c r="O6" s="78" t="s">
        <v>24</v>
      </c>
      <c r="P6" s="2" t="s">
        <v>34</v>
      </c>
      <c r="Q6" s="24">
        <v>2.0850266999999998</v>
      </c>
      <c r="S6" s="80" t="s">
        <v>24</v>
      </c>
      <c r="T6" s="56" t="s">
        <v>34</v>
      </c>
      <c r="U6" s="57"/>
      <c r="V6" s="58">
        <f>(D6-2*Q6)*M5</f>
        <v>-1437729.1319001154</v>
      </c>
      <c r="W6" s="59">
        <f>(D6+2*Q6)*M5</f>
        <v>1444641.2024610371</v>
      </c>
    </row>
    <row r="7" spans="1:23" ht="30" customHeight="1" x14ac:dyDescent="0.45">
      <c r="A7" s="79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79"/>
      <c r="K7" s="31" t="s">
        <v>35</v>
      </c>
      <c r="L7" s="32"/>
      <c r="M7" s="33">
        <f>D7*M5</f>
        <v>0</v>
      </c>
      <c r="O7" s="79"/>
      <c r="P7" s="4" t="s">
        <v>35</v>
      </c>
      <c r="Q7" s="18"/>
      <c r="S7" s="81"/>
      <c r="T7" s="60" t="s">
        <v>35</v>
      </c>
      <c r="U7" s="32"/>
      <c r="V7" s="61">
        <f>(D7-2*Q7)*M5</f>
        <v>0</v>
      </c>
      <c r="W7" s="33">
        <f>(D7+2*Q7)*M5</f>
        <v>0</v>
      </c>
    </row>
    <row r="8" spans="1:23" ht="27.65" customHeight="1" x14ac:dyDescent="0.45">
      <c r="A8" s="78" t="s">
        <v>32</v>
      </c>
      <c r="B8" t="s">
        <v>36</v>
      </c>
      <c r="C8" s="2"/>
      <c r="D8" s="24">
        <v>0.01</v>
      </c>
      <c r="F8" s="27" t="s">
        <v>30</v>
      </c>
      <c r="G8" s="2"/>
      <c r="H8" s="24">
        <f>(15859769/599899923)*(1736464/(1839839+106915))</f>
        <v>2.3581572371007518E-2</v>
      </c>
      <c r="J8" s="78" t="s">
        <v>32</v>
      </c>
      <c r="K8" s="40" t="s">
        <v>36</v>
      </c>
      <c r="L8" s="25" t="s">
        <v>33</v>
      </c>
      <c r="M8" s="26">
        <f>2*D8*M5*H6</f>
        <v>691207.05609217205</v>
      </c>
      <c r="O8" s="78" t="s">
        <v>32</v>
      </c>
      <c r="P8" s="62" t="s">
        <v>36</v>
      </c>
      <c r="Q8" s="24">
        <v>2.4788679400000002</v>
      </c>
      <c r="S8" s="78" t="s">
        <v>32</v>
      </c>
      <c r="T8" s="40" t="s">
        <v>47</v>
      </c>
      <c r="U8" s="25" t="s">
        <v>33</v>
      </c>
      <c r="V8" s="63">
        <f>2*(D8-2*Q8)*M5*H6</f>
        <v>-341990995.19364125</v>
      </c>
      <c r="W8" s="26">
        <f>2*(D8+2*Q8)*M5*H6</f>
        <v>343373409.30582559</v>
      </c>
    </row>
    <row r="9" spans="1:23" ht="17" thickBot="1" x14ac:dyDescent="0.5">
      <c r="A9" s="82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82"/>
      <c r="K9" s="37" t="s">
        <v>37</v>
      </c>
      <c r="L9" s="29" t="s">
        <v>33</v>
      </c>
      <c r="M9" s="38">
        <f>2*D9*M5*H6</f>
        <v>0</v>
      </c>
      <c r="O9" s="82"/>
      <c r="P9" s="64" t="s">
        <v>37</v>
      </c>
      <c r="Q9" s="36"/>
      <c r="S9" s="82"/>
      <c r="T9" s="37" t="s">
        <v>48</v>
      </c>
      <c r="U9" s="29" t="s">
        <v>33</v>
      </c>
      <c r="V9" s="65">
        <f>2*(D9-2*Q9)*M5*H6</f>
        <v>0</v>
      </c>
      <c r="W9" s="38">
        <f>2*(D9+2*Q9)*M5*H6</f>
        <v>0</v>
      </c>
    </row>
    <row r="10" spans="1:23" ht="16.75" customHeight="1" x14ac:dyDescent="0.35">
      <c r="J10" s="87"/>
      <c r="M10" s="41"/>
    </row>
    <row r="11" spans="1:23" x14ac:dyDescent="0.35">
      <c r="J11" s="87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S3:W3"/>
    <mergeCell ref="B1:D1"/>
    <mergeCell ref="A3:D3"/>
    <mergeCell ref="F3:H3"/>
    <mergeCell ref="J3:M3"/>
    <mergeCell ref="O3:Q3"/>
    <mergeCell ref="J10:J11"/>
    <mergeCell ref="A6:A7"/>
    <mergeCell ref="J6:J7"/>
    <mergeCell ref="O6:O7"/>
    <mergeCell ref="S6:S7"/>
    <mergeCell ref="A8:A9"/>
    <mergeCell ref="J8:J9"/>
    <mergeCell ref="O8:O9"/>
    <mergeCell ref="S8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Model 5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Kasey</cp:lastModifiedBy>
  <dcterms:created xsi:type="dcterms:W3CDTF">2024-03-05T05:02:54Z</dcterms:created>
  <dcterms:modified xsi:type="dcterms:W3CDTF">2024-06-09T23:53:47Z</dcterms:modified>
</cp:coreProperties>
</file>