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2D/models/"/>
    </mc:Choice>
  </mc:AlternateContent>
  <xr:revisionPtr revIDLastSave="1846" documentId="11_F25DC773A252ABDACC1048CC295F61E45BDE58E6" xr6:coauthVersionLast="47" xr6:coauthVersionMax="47" xr10:uidLastSave="{50C739A7-E6D1-4952-9157-E10403F2C9E1}"/>
  <bookViews>
    <workbookView xWindow="-21930" yWindow="-1650" windowWidth="21600" windowHeight="11175" activeTab="2" xr2:uid="{00000000-000D-0000-FFFF-FFFF00000000}"/>
  </bookViews>
  <sheets>
    <sheet name="all model results" sheetId="1" r:id="rId1"/>
    <sheet name="calc templ" sheetId="8" r:id="rId2"/>
    <sheet name="Model 4" sheetId="22" r:id="rId3"/>
    <sheet name="Model 1" sheetId="2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3" l="1"/>
  <c r="V5" i="23" s="1"/>
  <c r="H8" i="23"/>
  <c r="W5" i="23"/>
  <c r="H8" i="22"/>
  <c r="H9" i="22" s="1"/>
  <c r="W15" i="8"/>
  <c r="V15" i="8"/>
  <c r="W14" i="8"/>
  <c r="V14" i="8"/>
  <c r="W13" i="8"/>
  <c r="V13" i="8"/>
  <c r="W12" i="8"/>
  <c r="V12" i="8"/>
  <c r="W11" i="8"/>
  <c r="V11" i="8"/>
  <c r="W10" i="8"/>
  <c r="V10" i="8"/>
  <c r="W7" i="8"/>
  <c r="V7" i="8"/>
  <c r="W6" i="8"/>
  <c r="V6" i="8"/>
  <c r="W5" i="8"/>
  <c r="V5" i="8"/>
  <c r="M5" i="23" l="1"/>
  <c r="W5" i="22"/>
  <c r="V5" i="22"/>
  <c r="M5" i="22"/>
  <c r="W10" i="23" l="1"/>
  <c r="M8" i="23"/>
  <c r="W15" i="23"/>
  <c r="V10" i="23"/>
  <c r="V15" i="23"/>
  <c r="M14" i="23"/>
  <c r="V11" i="23"/>
  <c r="M10" i="23"/>
  <c r="W6" i="23"/>
  <c r="M15" i="23"/>
  <c r="M11" i="23"/>
  <c r="M9" i="23"/>
  <c r="W7" i="23"/>
  <c r="V6" i="23"/>
  <c r="M16" i="23"/>
  <c r="W14" i="23"/>
  <c r="V7" i="23"/>
  <c r="M6" i="23"/>
  <c r="V14" i="23"/>
  <c r="W11" i="23"/>
  <c r="M7" i="23"/>
  <c r="M16" i="22"/>
  <c r="W14" i="22"/>
  <c r="W10" i="22"/>
  <c r="V7" i="22"/>
  <c r="M6" i="22"/>
  <c r="W15" i="22"/>
  <c r="V14" i="22"/>
  <c r="W11" i="22"/>
  <c r="V10" i="22"/>
  <c r="M8" i="22"/>
  <c r="M7" i="22"/>
  <c r="V15" i="22"/>
  <c r="M14" i="22"/>
  <c r="V11" i="22"/>
  <c r="M10" i="22"/>
  <c r="W6" i="22"/>
  <c r="M15" i="22"/>
  <c r="M11" i="22"/>
  <c r="M9" i="22"/>
  <c r="W7" i="22"/>
  <c r="V6" i="22"/>
  <c r="W13" i="23" l="1"/>
  <c r="V13" i="23"/>
  <c r="M13" i="23"/>
  <c r="W12" i="23"/>
  <c r="V12" i="23"/>
  <c r="M12" i="23"/>
  <c r="M12" i="22"/>
  <c r="W12" i="22"/>
  <c r="V12" i="22"/>
  <c r="V13" i="22"/>
  <c r="M13" i="22"/>
  <c r="W13" i="22"/>
  <c r="H8" i="8"/>
  <c r="H9" i="8" l="1"/>
  <c r="M5" i="8" s="1"/>
  <c r="M15" i="8" s="1"/>
  <c r="M10" i="8" l="1"/>
  <c r="M12" i="8" s="1"/>
  <c r="M11" i="8"/>
  <c r="M13" i="8" s="1"/>
  <c r="M6" i="8"/>
  <c r="M7" i="8"/>
  <c r="M8" i="8"/>
  <c r="M9" i="8"/>
  <c r="M16" i="8"/>
  <c r="M14" i="8"/>
</calcChain>
</file>

<file path=xl/sharedStrings.xml><?xml version="1.0" encoding="utf-8"?>
<sst xmlns="http://schemas.openxmlformats.org/spreadsheetml/2006/main" count="359" uniqueCount="80">
  <si>
    <t>Model</t>
  </si>
  <si>
    <t>Run 1</t>
  </si>
  <si>
    <t>Run 2</t>
  </si>
  <si>
    <t>Run 3</t>
  </si>
  <si>
    <t>Run 4</t>
  </si>
  <si>
    <t>Run 5</t>
  </si>
  <si>
    <t>LOG LIKELIHOODS</t>
  </si>
  <si>
    <t>AIC SCORES</t>
  </si>
  <si>
    <t>BEST MODEL PARAMETERS</t>
  </si>
  <si>
    <t>m12</t>
  </si>
  <si>
    <t>m21</t>
  </si>
  <si>
    <t>T1</t>
  </si>
  <si>
    <t>T2</t>
  </si>
  <si>
    <t>BEST MODEL RUN</t>
  </si>
  <si>
    <t>theta</t>
  </si>
  <si>
    <t>Parameters</t>
  </si>
  <si>
    <t>Pop'n Size</t>
  </si>
  <si>
    <t>Migration</t>
  </si>
  <si>
    <t>Time</t>
  </si>
  <si>
    <t>Mutation</t>
  </si>
  <si>
    <t>OPTIMIZED MODEL PARAMETERS</t>
  </si>
  <si>
    <t>Values</t>
  </si>
  <si>
    <t>ASSUMED PARAMETERS</t>
  </si>
  <si>
    <t>DERIVED PARAMETERS</t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</si>
  <si>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</si>
  <si>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</si>
  <si>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</si>
  <si>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</si>
  <si>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</si>
  <si>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ref</t>
    </r>
  </si>
  <si>
    <t>Units</t>
  </si>
  <si>
    <r>
      <t xml:space="preserve"> bp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</si>
  <si>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yr</t>
  </si>
  <si>
    <t>generation time</t>
  </si>
  <si>
    <r>
      <t>gen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</si>
  <si>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</si>
  <si>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</si>
  <si>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t>ind/gen</t>
  </si>
  <si>
    <t>yr/gen</t>
  </si>
  <si>
    <t>mu</t>
  </si>
  <si>
    <t>L</t>
  </si>
  <si>
    <t>bp</t>
  </si>
  <si>
    <t>genome size</t>
  </si>
  <si>
    <t>scaling factor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</si>
  <si>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</si>
  <si>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</si>
  <si>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</si>
  <si>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t>MODEL:</t>
  </si>
  <si>
    <t>01.schange</t>
  </si>
  <si>
    <t>02.bottle_schange</t>
  </si>
  <si>
    <t>nu1i</t>
  </si>
  <si>
    <t>nu2i</t>
  </si>
  <si>
    <t>nu1m</t>
  </si>
  <si>
    <t>nu2m</t>
  </si>
  <si>
    <t>nu1f</t>
  </si>
  <si>
    <t>nu2f</t>
  </si>
  <si>
    <t>T3</t>
  </si>
  <si>
    <t>04.sec_contact_schange</t>
  </si>
  <si>
    <t>03.bottle_schange_thr_epoch</t>
  </si>
  <si>
    <t>05.sec_contact_bottle_schange</t>
  </si>
  <si>
    <t>06.sec_contact_bottle_schange_thr_epoch</t>
  </si>
  <si>
    <r>
      <t>nu</t>
    </r>
    <r>
      <rPr>
        <vertAlign val="subscript"/>
        <sz val="11"/>
        <color theme="1"/>
        <rFont val="Calibri"/>
        <family val="2"/>
        <scheme val="minor"/>
      </rPr>
      <t>1i</t>
    </r>
  </si>
  <si>
    <r>
      <t>nu</t>
    </r>
    <r>
      <rPr>
        <vertAlign val="subscript"/>
        <sz val="11"/>
        <color theme="1"/>
        <rFont val="Calibri"/>
        <family val="2"/>
        <scheme val="minor"/>
      </rPr>
      <t>2i</t>
    </r>
  </si>
  <si>
    <r>
      <t>nu</t>
    </r>
    <r>
      <rPr>
        <vertAlign val="subscript"/>
        <sz val="11"/>
        <color theme="1"/>
        <rFont val="Calibri"/>
        <family val="2"/>
        <scheme val="minor"/>
      </rPr>
      <t>1m</t>
    </r>
  </si>
  <si>
    <r>
      <t>nu</t>
    </r>
    <r>
      <rPr>
        <vertAlign val="subscript"/>
        <sz val="11"/>
        <color theme="1"/>
        <rFont val="Calibri"/>
        <family val="2"/>
        <scheme val="minor"/>
      </rPr>
      <t>2m</t>
    </r>
  </si>
  <si>
    <r>
      <t>nu</t>
    </r>
    <r>
      <rPr>
        <vertAlign val="subscript"/>
        <sz val="11"/>
        <color theme="1"/>
        <rFont val="Calibri"/>
        <family val="2"/>
        <scheme val="minor"/>
      </rPr>
      <t>1f</t>
    </r>
  </si>
  <si>
    <r>
      <t>nu</t>
    </r>
    <r>
      <rPr>
        <vertAlign val="subscript"/>
        <sz val="11"/>
        <color theme="1"/>
        <rFont val="Calibri"/>
        <family val="2"/>
        <scheme val="minor"/>
      </rPr>
      <t>2f</t>
    </r>
  </si>
  <si>
    <t>MIGR PERIOD</t>
  </si>
  <si>
    <t>UNCERTAINTY ESTIMATES</t>
  </si>
  <si>
    <t>Lower Bound</t>
  </si>
  <si>
    <t>Upper Bound</t>
  </si>
  <si>
    <t>95% CONFIDENCE INTERVALS</t>
  </si>
  <si>
    <t>Run 4, Rep 4</t>
  </si>
  <si>
    <t>Run 1, Rep 89</t>
  </si>
  <si>
    <t>Run 5, Rep 78</t>
  </si>
  <si>
    <t>Run 3, Rep 98</t>
  </si>
  <si>
    <t>Run 3, Rep 5</t>
  </si>
  <si>
    <t>Run 2, Rep 56</t>
  </si>
  <si>
    <t>04 - Secondary Contact with Exp. Size Change</t>
  </si>
  <si>
    <t>01 - Exponential Size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</si>
</sst>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9" xfId="0" applyFont="1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2" borderId="8" xfId="0" applyFill="1" applyBorder="1"/>
    <xf numFmtId="0" fontId="0" fillId="2" borderId="9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6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0" fillId="0" borderId="24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29" xfId="0" applyFont="1" applyBorder="1" applyAlignment="1">
      <alignment horizontal="right" vertical="center" textRotation="90"/>
    </xf>
    <xf numFmtId="4" fontId="0" fillId="2" borderId="16" xfId="0" applyNumberFormat="1" applyFill="1" applyBorder="1"/>
    <xf numFmtId="4" fontId="0" fillId="4" borderId="18" xfId="0" applyNumberFormat="1" applyFill="1" applyBorder="1"/>
    <xf numFmtId="4" fontId="0" fillId="4" borderId="25" xfId="0" applyNumberFormat="1" applyFill="1" applyBorder="1"/>
    <xf numFmtId="4" fontId="0" fillId="4" borderId="28" xfId="0" applyNumberFormat="1" applyFill="1" applyBorder="1"/>
    <xf numFmtId="4" fontId="0" fillId="4" borderId="21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0" fillId="5" borderId="0" xfId="0" applyFill="1"/>
    <xf numFmtId="0" fontId="0" fillId="6" borderId="0" xfId="0" applyFill="1"/>
    <xf numFmtId="0" fontId="0" fillId="7" borderId="6" xfId="0" applyFill="1" applyBorder="1"/>
    <xf numFmtId="0" fontId="0" fillId="8" borderId="0" xfId="0" applyFill="1"/>
    <xf numFmtId="0" fontId="0" fillId="9" borderId="0" xfId="0" applyFill="1"/>
    <xf numFmtId="0" fontId="0" fillId="0" borderId="34" xfId="0" applyBorder="1"/>
    <xf numFmtId="0" fontId="0" fillId="0" borderId="11" xfId="0" applyBorder="1"/>
    <xf numFmtId="0" fontId="0" fillId="0" borderId="35" xfId="0" applyBorder="1"/>
    <xf numFmtId="0" fontId="0" fillId="0" borderId="5" xfId="0" applyBorder="1"/>
    <xf numFmtId="0" fontId="0" fillId="0" borderId="28" xfId="0" applyBorder="1"/>
    <xf numFmtId="0" fontId="0" fillId="4" borderId="0" xfId="0" applyFill="1"/>
    <xf numFmtId="0" fontId="0" fillId="4" borderId="34" xfId="0" applyFill="1" applyBorder="1"/>
    <xf numFmtId="0" fontId="0" fillId="4" borderId="35" xfId="0" applyFill="1" applyBorder="1"/>
    <xf numFmtId="0" fontId="0" fillId="4" borderId="5" xfId="0" applyFill="1" applyBorder="1"/>
    <xf numFmtId="4" fontId="0" fillId="4" borderId="36" xfId="0" applyNumberFormat="1" applyFill="1" applyBorder="1"/>
    <xf numFmtId="4" fontId="0" fillId="4" borderId="37" xfId="0" applyNumberFormat="1" applyFill="1" applyBorder="1"/>
    <xf numFmtId="4" fontId="0" fillId="4" borderId="0" xfId="0" applyNumberFormat="1" applyFill="1"/>
    <xf numFmtId="0" fontId="1" fillId="0" borderId="29" xfId="0" applyFont="1" applyBorder="1" applyAlignment="1">
      <alignment horizontal="center" vertical="center" textRotation="90"/>
    </xf>
    <xf numFmtId="4" fontId="0" fillId="4" borderId="26" xfId="0" applyNumberFormat="1" applyFill="1" applyBorder="1"/>
    <xf numFmtId="4" fontId="0" fillId="2" borderId="6" xfId="0" applyNumberFormat="1" applyFill="1" applyBorder="1"/>
    <xf numFmtId="4" fontId="0" fillId="4" borderId="6" xfId="0" applyNumberFormat="1" applyFill="1" applyBorder="1"/>
    <xf numFmtId="4" fontId="0" fillId="2" borderId="25" xfId="0" applyNumberFormat="1" applyFill="1" applyBorder="1"/>
    <xf numFmtId="0" fontId="0" fillId="10" borderId="4" xfId="0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0" borderId="30" xfId="0" applyFont="1" applyBorder="1" applyAlignment="1">
      <alignment horizontal="right" vertical="center" textRotation="90"/>
    </xf>
    <xf numFmtId="0" fontId="1" fillId="0" borderId="31" xfId="0" applyFont="1" applyBorder="1" applyAlignment="1">
      <alignment horizontal="right" vertical="center" textRotation="90"/>
    </xf>
    <xf numFmtId="0" fontId="1" fillId="0" borderId="33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2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workbookViewId="0">
      <selection activeCell="L13" sqref="L13"/>
    </sheetView>
  </sheetViews>
  <sheetFormatPr defaultRowHeight="14.5" x14ac:dyDescent="0.35"/>
  <cols>
    <col min="1" max="1" width="40.1796875" bestFit="1" customWidth="1"/>
    <col min="2" max="5" width="9.6328125" bestFit="1" customWidth="1"/>
    <col min="6" max="6" width="9.453125" bestFit="1" customWidth="1"/>
    <col min="12" max="12" width="16.08984375" bestFit="1" customWidth="1"/>
    <col min="13" max="13" width="9" bestFit="1" customWidth="1"/>
    <col min="14" max="14" width="7" customWidth="1"/>
    <col min="15" max="15" width="7.81640625" bestFit="1" customWidth="1"/>
    <col min="16" max="17" width="7" bestFit="1" customWidth="1"/>
    <col min="18" max="18" width="8" bestFit="1" customWidth="1"/>
    <col min="19" max="19" width="8.36328125" customWidth="1"/>
    <col min="20" max="20" width="8" bestFit="1" customWidth="1"/>
    <col min="21" max="21" width="7" bestFit="1" customWidth="1"/>
    <col min="22" max="22" width="6.90625" customWidth="1"/>
    <col min="23" max="23" width="7.81640625" bestFit="1" customWidth="1"/>
  </cols>
  <sheetData>
    <row r="1" spans="1:24" x14ac:dyDescent="0.35">
      <c r="A1" s="1" t="s">
        <v>0</v>
      </c>
      <c r="B1" s="66" t="s">
        <v>6</v>
      </c>
      <c r="C1" s="66"/>
      <c r="D1" s="66"/>
      <c r="E1" s="66"/>
      <c r="F1" s="67"/>
      <c r="G1" s="66" t="s">
        <v>7</v>
      </c>
      <c r="H1" s="66"/>
      <c r="I1" s="66"/>
      <c r="J1" s="66"/>
      <c r="K1" s="67"/>
      <c r="L1" s="41" t="s">
        <v>13</v>
      </c>
      <c r="M1" s="68" t="s">
        <v>8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70"/>
    </row>
    <row r="2" spans="1:24" x14ac:dyDescent="0.35">
      <c r="A2" s="3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1</v>
      </c>
      <c r="H2" s="7" t="s">
        <v>2</v>
      </c>
      <c r="I2" s="7" t="s">
        <v>3</v>
      </c>
      <c r="J2" s="7" t="s">
        <v>4</v>
      </c>
      <c r="K2" s="8" t="s">
        <v>5</v>
      </c>
      <c r="L2" s="8"/>
      <c r="M2" s="42" t="s">
        <v>14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9</v>
      </c>
      <c r="U2" s="7" t="s">
        <v>10</v>
      </c>
      <c r="V2" s="42" t="s">
        <v>11</v>
      </c>
      <c r="W2" s="42" t="s">
        <v>12</v>
      </c>
      <c r="X2" s="10" t="s">
        <v>56</v>
      </c>
    </row>
    <row r="3" spans="1:24" x14ac:dyDescent="0.35">
      <c r="A3" s="2" t="s">
        <v>48</v>
      </c>
      <c r="B3">
        <v>-179412.8</v>
      </c>
      <c r="C3">
        <v>-158500.6</v>
      </c>
      <c r="D3">
        <v>-183718.1</v>
      </c>
      <c r="E3" s="44">
        <v>-155089.20000000001</v>
      </c>
      <c r="F3" s="4">
        <v>-156167.5</v>
      </c>
      <c r="G3">
        <v>358835.7</v>
      </c>
      <c r="H3">
        <v>317011.20000000001</v>
      </c>
      <c r="I3">
        <v>367446.3</v>
      </c>
      <c r="J3" s="44">
        <v>310188.3</v>
      </c>
      <c r="K3" s="4">
        <v>312344.90000000002</v>
      </c>
      <c r="L3" s="4" t="s">
        <v>72</v>
      </c>
      <c r="M3">
        <v>534487.1</v>
      </c>
      <c r="N3">
        <v>3.5617000000000001</v>
      </c>
      <c r="O3">
        <v>27.1096</v>
      </c>
      <c r="R3">
        <v>2.5600000000000001E-2</v>
      </c>
      <c r="S3">
        <v>1.0999999999999999E-2</v>
      </c>
      <c r="V3">
        <v>3.39E-2</v>
      </c>
      <c r="X3" s="4"/>
    </row>
    <row r="4" spans="1:24" x14ac:dyDescent="0.35">
      <c r="A4" s="2" t="s">
        <v>49</v>
      </c>
      <c r="B4" s="46">
        <v>-168961.8</v>
      </c>
      <c r="C4">
        <v>-232153.7</v>
      </c>
      <c r="D4">
        <v>-240410.9</v>
      </c>
      <c r="E4">
        <v>-197809.2</v>
      </c>
      <c r="F4" s="4">
        <v>-187335</v>
      </c>
      <c r="G4" s="46">
        <v>337939.6</v>
      </c>
      <c r="H4">
        <v>464323.4</v>
      </c>
      <c r="I4">
        <v>480837.9</v>
      </c>
      <c r="J4">
        <v>395634.5</v>
      </c>
      <c r="K4" s="4">
        <v>374686</v>
      </c>
      <c r="L4" s="4" t="s">
        <v>73</v>
      </c>
      <c r="M4">
        <v>489984</v>
      </c>
      <c r="N4">
        <v>1.3945000000000001</v>
      </c>
      <c r="O4">
        <v>1.2319</v>
      </c>
      <c r="P4">
        <v>4.4062000000000001</v>
      </c>
      <c r="Q4">
        <v>23.807200000000002</v>
      </c>
      <c r="R4">
        <v>4.87E-2</v>
      </c>
      <c r="S4">
        <v>1.9699999999999999E-2</v>
      </c>
      <c r="V4">
        <v>2.7E-2</v>
      </c>
      <c r="W4">
        <v>5.7000000000000002E-2</v>
      </c>
      <c r="X4" s="4"/>
    </row>
    <row r="5" spans="1:24" x14ac:dyDescent="0.35">
      <c r="A5" s="2" t="s">
        <v>58</v>
      </c>
      <c r="B5">
        <v>-394399.8</v>
      </c>
      <c r="C5">
        <v>-611707.9</v>
      </c>
      <c r="D5">
        <v>-345350.6</v>
      </c>
      <c r="E5">
        <v>-286167.7</v>
      </c>
      <c r="F5" s="65">
        <v>-227180.9</v>
      </c>
      <c r="G5">
        <v>788817.6</v>
      </c>
      <c r="H5">
        <v>1223434</v>
      </c>
      <c r="I5">
        <v>690719.2</v>
      </c>
      <c r="J5">
        <v>572353.5</v>
      </c>
      <c r="K5" s="65">
        <v>454379.8</v>
      </c>
      <c r="L5" s="4" t="s">
        <v>74</v>
      </c>
      <c r="M5">
        <v>436988</v>
      </c>
      <c r="N5">
        <v>1.7573000000000001</v>
      </c>
      <c r="O5">
        <v>3.7755999999999998</v>
      </c>
      <c r="P5">
        <v>2.9474</v>
      </c>
      <c r="Q5">
        <v>1.4311</v>
      </c>
      <c r="R5">
        <v>6.2E-2</v>
      </c>
      <c r="S5">
        <v>5.9200000000000003E-2</v>
      </c>
      <c r="V5">
        <v>4.4400000000000002E-2</v>
      </c>
      <c r="W5">
        <v>7.0699999999999999E-2</v>
      </c>
      <c r="X5" s="4">
        <v>7.7100000000000002E-2</v>
      </c>
    </row>
    <row r="6" spans="1:24" x14ac:dyDescent="0.35">
      <c r="A6" s="2" t="s">
        <v>57</v>
      </c>
      <c r="B6">
        <v>-165920.29999999999</v>
      </c>
      <c r="C6">
        <v>-267223.2</v>
      </c>
      <c r="D6" s="43">
        <v>-140382.20000000001</v>
      </c>
      <c r="E6">
        <v>-227363.8</v>
      </c>
      <c r="F6" s="4">
        <v>-182429.2</v>
      </c>
      <c r="G6">
        <v>331856.7</v>
      </c>
      <c r="H6">
        <v>534462.30000000005</v>
      </c>
      <c r="I6" s="43">
        <v>280780.40000000002</v>
      </c>
      <c r="J6">
        <v>454743.5</v>
      </c>
      <c r="K6" s="4">
        <v>364874.4</v>
      </c>
      <c r="L6" s="4" t="s">
        <v>75</v>
      </c>
      <c r="M6">
        <v>404517.5</v>
      </c>
      <c r="N6">
        <v>4.3525</v>
      </c>
      <c r="O6">
        <v>26.373100000000001</v>
      </c>
      <c r="R6">
        <v>3.56E-2</v>
      </c>
      <c r="S6">
        <v>2.4799999999999999E-2</v>
      </c>
      <c r="T6">
        <v>10.747199999999999</v>
      </c>
      <c r="U6">
        <v>1.0565</v>
      </c>
      <c r="V6">
        <v>0.31540000000000001</v>
      </c>
      <c r="W6">
        <v>8.9899999999999994E-2</v>
      </c>
      <c r="X6" s="4"/>
    </row>
    <row r="7" spans="1:24" x14ac:dyDescent="0.35">
      <c r="A7" s="2" t="s">
        <v>59</v>
      </c>
      <c r="B7">
        <v>-238670.9</v>
      </c>
      <c r="C7">
        <v>-249030.1</v>
      </c>
      <c r="D7" s="47">
        <v>-225817</v>
      </c>
      <c r="E7">
        <v>-294080.8</v>
      </c>
      <c r="F7" s="4">
        <v>-259215.1</v>
      </c>
      <c r="G7">
        <v>477361.7</v>
      </c>
      <c r="H7">
        <v>498080.2</v>
      </c>
      <c r="I7" s="47">
        <v>451654</v>
      </c>
      <c r="J7">
        <v>588181.5</v>
      </c>
      <c r="K7" s="4">
        <v>518450.1</v>
      </c>
      <c r="L7" s="4" t="s">
        <v>76</v>
      </c>
      <c r="M7">
        <v>423782.2</v>
      </c>
      <c r="N7">
        <v>0.58450000000000002</v>
      </c>
      <c r="O7">
        <v>1.2786999999999999</v>
      </c>
      <c r="P7">
        <v>0.2263</v>
      </c>
      <c r="Q7">
        <v>7.85</v>
      </c>
      <c r="R7">
        <v>0.18690000000000001</v>
      </c>
      <c r="S7">
        <v>0.13830000000000001</v>
      </c>
      <c r="T7">
        <v>4.0354999999999999</v>
      </c>
      <c r="U7">
        <v>0.30580000000000002</v>
      </c>
      <c r="V7">
        <v>0.2626</v>
      </c>
      <c r="W7">
        <v>0.36620000000000003</v>
      </c>
      <c r="X7" s="4"/>
    </row>
    <row r="8" spans="1:24" x14ac:dyDescent="0.35">
      <c r="A8" s="3" t="s">
        <v>60</v>
      </c>
      <c r="B8" s="5">
        <v>-191333.4</v>
      </c>
      <c r="C8" s="45">
        <v>-158301.20000000001</v>
      </c>
      <c r="D8" s="5">
        <v>-199232.2</v>
      </c>
      <c r="E8" s="5">
        <v>-164625.9</v>
      </c>
      <c r="F8" s="6">
        <v>-177695.2</v>
      </c>
      <c r="G8" s="5">
        <v>382688.7</v>
      </c>
      <c r="H8" s="45">
        <v>316624.3</v>
      </c>
      <c r="I8" s="5">
        <v>398486.4</v>
      </c>
      <c r="J8" s="5">
        <v>329273.90000000002</v>
      </c>
      <c r="K8" s="6">
        <v>355412.4</v>
      </c>
      <c r="L8" s="6" t="s">
        <v>77</v>
      </c>
      <c r="M8" s="5">
        <v>63720.02</v>
      </c>
      <c r="N8" s="5">
        <v>0.74870000000000003</v>
      </c>
      <c r="O8" s="5">
        <v>1.3782000000000001</v>
      </c>
      <c r="P8" s="5">
        <v>10.0442</v>
      </c>
      <c r="Q8" s="5">
        <v>0.99139999999999995</v>
      </c>
      <c r="R8" s="5">
        <v>0.1159</v>
      </c>
      <c r="S8" s="5">
        <v>0.24349999999999999</v>
      </c>
      <c r="T8" s="5">
        <v>0.2074</v>
      </c>
      <c r="U8" s="5">
        <v>4.1475999999999997</v>
      </c>
      <c r="V8" s="5">
        <v>1.9921</v>
      </c>
      <c r="W8" s="5">
        <v>13.0403</v>
      </c>
      <c r="X8" s="6">
        <v>0.1351</v>
      </c>
    </row>
  </sheetData>
  <mergeCells count="3">
    <mergeCell ref="B1:F1"/>
    <mergeCell ref="G1:K1"/>
    <mergeCell ref="M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3D2-B500-4738-93FB-A5F3BE4B45CC}">
  <dimension ref="A1:W16"/>
  <sheetViews>
    <sheetView workbookViewId="0">
      <selection activeCell="F12" sqref="F12"/>
    </sheetView>
  </sheetViews>
  <sheetFormatPr defaultRowHeight="14.5" x14ac:dyDescent="0.35"/>
  <cols>
    <col min="1" max="1" width="7.6328125" bestFit="1" customWidth="1"/>
    <col min="2" max="2" width="14.1796875" customWidth="1"/>
    <col min="3" max="3" width="8.1796875" customWidth="1"/>
    <col min="4" max="4" width="16.1796875" customWidth="1"/>
    <col min="5" max="5" width="4.08984375" customWidth="1"/>
    <col min="6" max="6" width="13.1796875" customWidth="1"/>
    <col min="7" max="7" width="7.1796875" bestFit="1" customWidth="1"/>
    <col min="8" max="8" width="11.6328125" customWidth="1"/>
    <col min="9" max="9" width="4.81640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36328125" customWidth="1"/>
    <col min="18" max="18" width="4.6328125" customWidth="1"/>
    <col min="22" max="22" width="12" bestFit="1" customWidth="1"/>
    <col min="23" max="23" width="12.08984375" bestFit="1" customWidth="1"/>
  </cols>
  <sheetData>
    <row r="1" spans="1:23" x14ac:dyDescent="0.35">
      <c r="A1" s="9" t="s">
        <v>47</v>
      </c>
      <c r="B1" s="71"/>
      <c r="C1" s="71"/>
      <c r="D1" s="71"/>
      <c r="F1" s="9" t="s">
        <v>67</v>
      </c>
    </row>
    <row r="2" spans="1:23" ht="15" thickBot="1" x14ac:dyDescent="0.4"/>
    <row r="3" spans="1:23" x14ac:dyDescent="0.35">
      <c r="A3" s="75" t="s">
        <v>20</v>
      </c>
      <c r="B3" s="73"/>
      <c r="C3" s="76"/>
      <c r="D3" s="77"/>
      <c r="F3" s="72" t="s">
        <v>22</v>
      </c>
      <c r="G3" s="73"/>
      <c r="H3" s="74"/>
      <c r="J3" s="72" t="s">
        <v>23</v>
      </c>
      <c r="K3" s="73"/>
      <c r="L3" s="73"/>
      <c r="M3" s="74"/>
      <c r="O3" s="84" t="s">
        <v>68</v>
      </c>
      <c r="P3" s="84"/>
      <c r="Q3" s="84"/>
      <c r="S3" s="72" t="s">
        <v>71</v>
      </c>
      <c r="T3" s="73"/>
      <c r="U3" s="73"/>
      <c r="V3" s="73"/>
      <c r="W3" s="74"/>
    </row>
    <row r="4" spans="1:23" x14ac:dyDescent="0.35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69</v>
      </c>
      <c r="W4" s="18" t="s">
        <v>70</v>
      </c>
    </row>
    <row r="5" spans="1:23" ht="48" customHeight="1" x14ac:dyDescent="0.45">
      <c r="A5" s="35" t="s">
        <v>19</v>
      </c>
      <c r="B5" s="5" t="s">
        <v>14</v>
      </c>
      <c r="C5" s="6" t="s">
        <v>34</v>
      </c>
      <c r="D5" s="20"/>
      <c r="F5" s="33" t="s">
        <v>39</v>
      </c>
      <c r="G5" s="34" t="s">
        <v>31</v>
      </c>
      <c r="H5" s="20">
        <v>4.9300000000000001E-9</v>
      </c>
      <c r="J5" s="80" t="s">
        <v>16</v>
      </c>
      <c r="K5" s="22" t="s">
        <v>29</v>
      </c>
      <c r="L5" s="23"/>
      <c r="M5" s="36">
        <f>D5/(4*H5*H6*H9)</f>
        <v>0</v>
      </c>
      <c r="O5" s="60" t="s">
        <v>19</v>
      </c>
      <c r="P5" s="5" t="s">
        <v>14</v>
      </c>
      <c r="Q5" s="20"/>
      <c r="S5" s="80" t="s">
        <v>16</v>
      </c>
      <c r="T5" s="22" t="s">
        <v>29</v>
      </c>
      <c r="U5" s="23"/>
      <c r="V5" s="62">
        <f>(D5 - 2*Q5)/(4*H5*H6*H9)</f>
        <v>0</v>
      </c>
      <c r="W5" s="64">
        <f>(D5+2*Q5)/(4*H5*H6*H9)</f>
        <v>0</v>
      </c>
    </row>
    <row r="6" spans="1:23" ht="51.65" customHeight="1" x14ac:dyDescent="0.45">
      <c r="A6" s="80" t="s">
        <v>16</v>
      </c>
      <c r="B6" s="48" t="s">
        <v>61</v>
      </c>
      <c r="C6" s="49"/>
      <c r="D6" s="52"/>
      <c r="F6" s="33" t="s">
        <v>33</v>
      </c>
      <c r="G6" s="34" t="s">
        <v>38</v>
      </c>
      <c r="H6" s="20">
        <v>50</v>
      </c>
      <c r="J6" s="81"/>
      <c r="K6" s="54" t="s">
        <v>61</v>
      </c>
      <c r="L6" s="28"/>
      <c r="M6" s="57">
        <f>D6*M5</f>
        <v>0</v>
      </c>
      <c r="O6" s="80" t="s">
        <v>16</v>
      </c>
      <c r="P6" s="48" t="s">
        <v>61</v>
      </c>
      <c r="Q6" s="52"/>
      <c r="S6" s="81"/>
      <c r="T6" s="54" t="s">
        <v>61</v>
      </c>
      <c r="U6" s="28"/>
      <c r="V6" s="59">
        <f>(D6-2*Q6)*M5</f>
        <v>0</v>
      </c>
      <c r="W6" s="37">
        <f>(D6+2*Q6)*M5</f>
        <v>0</v>
      </c>
    </row>
    <row r="7" spans="1:23" ht="16.5" x14ac:dyDescent="0.45">
      <c r="A7" s="81"/>
      <c r="B7" s="50" t="s">
        <v>62</v>
      </c>
      <c r="C7" s="4"/>
      <c r="D7" s="13"/>
      <c r="F7" s="16" t="s">
        <v>42</v>
      </c>
      <c r="G7" s="4" t="s">
        <v>41</v>
      </c>
      <c r="H7" s="13">
        <v>603301446</v>
      </c>
      <c r="J7" s="81"/>
      <c r="K7" s="55" t="s">
        <v>62</v>
      </c>
      <c r="L7" s="24"/>
      <c r="M7" s="58">
        <f>D7*M5</f>
        <v>0</v>
      </c>
      <c r="O7" s="81"/>
      <c r="P7" s="50" t="s">
        <v>62</v>
      </c>
      <c r="Q7" s="13"/>
      <c r="S7" s="81"/>
      <c r="T7" s="55" t="s">
        <v>62</v>
      </c>
      <c r="U7" s="24"/>
      <c r="V7" s="59">
        <f>(D7-2*Q7)*M5</f>
        <v>0</v>
      </c>
      <c r="W7" s="37">
        <f>(D7+2*Q7)*M5</f>
        <v>0</v>
      </c>
    </row>
    <row r="8" spans="1:23" ht="16.5" x14ac:dyDescent="0.45">
      <c r="A8" s="81"/>
      <c r="B8" s="50" t="s">
        <v>63</v>
      </c>
      <c r="C8" s="4"/>
      <c r="D8" s="13"/>
      <c r="F8" s="16" t="s">
        <v>43</v>
      </c>
      <c r="G8" s="4"/>
      <c r="H8" s="13">
        <f>(15859769/599899923)*(1736464/(1839839 + 106915))</f>
        <v>2.3581572371007518E-2</v>
      </c>
      <c r="J8" s="81"/>
      <c r="K8" s="55" t="s">
        <v>63</v>
      </c>
      <c r="L8" s="24"/>
      <c r="M8" s="58">
        <f>D8*M5</f>
        <v>0</v>
      </c>
      <c r="O8" s="81"/>
      <c r="P8" s="50" t="s">
        <v>63</v>
      </c>
      <c r="Q8" s="13"/>
      <c r="S8" s="81"/>
      <c r="T8" s="55" t="s">
        <v>63</v>
      </c>
      <c r="U8" s="24"/>
      <c r="V8" s="59"/>
      <c r="W8" s="37"/>
    </row>
    <row r="9" spans="1:23" ht="24.65" customHeight="1" thickBot="1" x14ac:dyDescent="0.5">
      <c r="A9" s="81"/>
      <c r="B9" s="50" t="s">
        <v>64</v>
      </c>
      <c r="C9" s="4"/>
      <c r="D9" s="13"/>
      <c r="F9" s="32" t="s">
        <v>40</v>
      </c>
      <c r="G9" s="30" t="s">
        <v>41</v>
      </c>
      <c r="H9" s="31">
        <f>H7*H8</f>
        <v>14226796.710382484</v>
      </c>
      <c r="J9" s="81"/>
      <c r="K9" s="55" t="s">
        <v>64</v>
      </c>
      <c r="L9" s="24"/>
      <c r="M9" s="58">
        <f>D9*M5</f>
        <v>0</v>
      </c>
      <c r="O9" s="81"/>
      <c r="P9" s="50" t="s">
        <v>64</v>
      </c>
      <c r="Q9" s="13"/>
      <c r="S9" s="81"/>
      <c r="T9" s="55" t="s">
        <v>64</v>
      </c>
      <c r="U9" s="24"/>
      <c r="V9" s="59"/>
      <c r="W9" s="37"/>
    </row>
    <row r="10" spans="1:23" ht="36.65" customHeight="1" x14ac:dyDescent="0.45">
      <c r="A10" s="81"/>
      <c r="B10" s="50" t="s">
        <v>65</v>
      </c>
      <c r="C10" s="4"/>
      <c r="D10" s="13"/>
      <c r="J10" s="81"/>
      <c r="K10" s="55" t="s">
        <v>65</v>
      </c>
      <c r="L10" s="24"/>
      <c r="M10" s="58">
        <f>D10*M5</f>
        <v>0</v>
      </c>
      <c r="O10" s="81"/>
      <c r="P10" s="50" t="s">
        <v>65</v>
      </c>
      <c r="Q10" s="13"/>
      <c r="S10" s="81"/>
      <c r="T10" s="55" t="s">
        <v>65</v>
      </c>
      <c r="U10" s="24"/>
      <c r="V10" s="59">
        <f>(D10-2*Q10)*M5</f>
        <v>0</v>
      </c>
      <c r="W10" s="37">
        <f>(D10+2*Q10)*M5</f>
        <v>0</v>
      </c>
    </row>
    <row r="11" spans="1:23" ht="33.65" customHeight="1" x14ac:dyDescent="0.45">
      <c r="A11" s="83"/>
      <c r="B11" s="51" t="s">
        <v>66</v>
      </c>
      <c r="C11" s="6"/>
      <c r="D11" s="20"/>
      <c r="J11" s="83"/>
      <c r="K11" s="56" t="s">
        <v>66</v>
      </c>
      <c r="L11" s="26"/>
      <c r="M11" s="58">
        <f>D11*M5</f>
        <v>0</v>
      </c>
      <c r="O11" s="83"/>
      <c r="P11" s="51" t="s">
        <v>66</v>
      </c>
      <c r="Q11" s="20"/>
      <c r="S11" s="83"/>
      <c r="T11" s="56" t="s">
        <v>66</v>
      </c>
      <c r="U11" s="26"/>
      <c r="V11" s="63">
        <f>(D11-2*Q11)*M5</f>
        <v>0</v>
      </c>
      <c r="W11" s="38">
        <f>(D11+2*Q11)*M5</f>
        <v>0</v>
      </c>
    </row>
    <row r="12" spans="1:23" ht="27.65" customHeight="1" x14ac:dyDescent="0.45">
      <c r="A12" s="78" t="s">
        <v>17</v>
      </c>
      <c r="B12" t="s">
        <v>35</v>
      </c>
      <c r="C12" s="4" t="s">
        <v>34</v>
      </c>
      <c r="D12" s="13"/>
      <c r="J12" s="80" t="s">
        <v>17</v>
      </c>
      <c r="K12" s="27" t="s">
        <v>24</v>
      </c>
      <c r="L12" s="28" t="s">
        <v>37</v>
      </c>
      <c r="M12" s="39" t="e">
        <f>IF(G1="M",(D12*M8)/(2*M5),(D12*M10)/(2*M5))</f>
        <v>#DIV/0!</v>
      </c>
      <c r="O12" s="81" t="s">
        <v>17</v>
      </c>
      <c r="P12" t="s">
        <v>35</v>
      </c>
      <c r="Q12" s="13"/>
      <c r="S12" s="80" t="s">
        <v>17</v>
      </c>
      <c r="T12" s="27" t="s">
        <v>24</v>
      </c>
      <c r="U12" s="28" t="s">
        <v>37</v>
      </c>
      <c r="V12" s="59" t="e">
        <f>IF(G1="M",((D12-2*Q12)*M8)/(2*M5),((D12-2*Q12)*M10)/(2*M5))</f>
        <v>#DIV/0!</v>
      </c>
      <c r="W12" s="37" t="e">
        <f>IF(G1="M",((D12+2*Q12)*M8)/(2*M5),((D12+2*Q12)*M10)/(2*M5))</f>
        <v>#DIV/0!</v>
      </c>
    </row>
    <row r="13" spans="1:23" ht="40.25" customHeight="1" x14ac:dyDescent="0.45">
      <c r="A13" s="79"/>
      <c r="B13" s="5" t="s">
        <v>36</v>
      </c>
      <c r="C13" s="6" t="s">
        <v>34</v>
      </c>
      <c r="D13" s="20"/>
      <c r="J13" s="83"/>
      <c r="K13" s="25" t="s">
        <v>25</v>
      </c>
      <c r="L13" s="26" t="s">
        <v>37</v>
      </c>
      <c r="M13" s="38" t="e">
        <f>IF(G1="M",(D13*M9)/(M5*2),(D13*M11)/(M5*2))</f>
        <v>#DIV/0!</v>
      </c>
      <c r="O13" s="83"/>
      <c r="P13" s="5" t="s">
        <v>36</v>
      </c>
      <c r="Q13" s="20"/>
      <c r="S13" s="83"/>
      <c r="T13" s="25" t="s">
        <v>25</v>
      </c>
      <c r="U13" s="26" t="s">
        <v>37</v>
      </c>
      <c r="V13" s="63" t="e">
        <f>IF(G1="M",((D13-2*Q13)*M9)/(M5*2),((D13-2*Q13)*M11)/(M5*2))</f>
        <v>#DIV/0!</v>
      </c>
      <c r="W13" s="38" t="e">
        <f>IF(G1="M",((D13+2*Q13)*M9)/(M5*2),((D13+2*Q13)*M11)/(M5*2))</f>
        <v>#DIV/0!</v>
      </c>
    </row>
    <row r="14" spans="1:23" ht="28.25" customHeight="1" x14ac:dyDescent="0.45">
      <c r="A14" s="80" t="s">
        <v>18</v>
      </c>
      <c r="B14" t="s">
        <v>26</v>
      </c>
      <c r="C14" s="4"/>
      <c r="D14" s="13"/>
      <c r="J14" s="80" t="s">
        <v>18</v>
      </c>
      <c r="K14" s="53" t="s">
        <v>44</v>
      </c>
      <c r="L14" s="24" t="s">
        <v>32</v>
      </c>
      <c r="M14" s="37">
        <f>2*D14*M5*H6</f>
        <v>0</v>
      </c>
      <c r="O14" s="80" t="s">
        <v>18</v>
      </c>
      <c r="P14" t="s">
        <v>26</v>
      </c>
      <c r="Q14" s="13"/>
      <c r="S14" s="80" t="s">
        <v>18</v>
      </c>
      <c r="T14" s="53" t="s">
        <v>44</v>
      </c>
      <c r="U14" s="24" t="s">
        <v>32</v>
      </c>
      <c r="V14" s="59">
        <f>2*(D14-2*Q14)*M5*H6</f>
        <v>0</v>
      </c>
      <c r="W14" s="37">
        <f>2*(D14+2*Q14)*M5*H6</f>
        <v>0</v>
      </c>
    </row>
    <row r="15" spans="1:23" ht="16.5" x14ac:dyDescent="0.45">
      <c r="A15" s="81"/>
      <c r="B15" t="s">
        <v>27</v>
      </c>
      <c r="C15" s="4"/>
      <c r="D15" s="13"/>
      <c r="J15" s="81"/>
      <c r="K15" s="53" t="s">
        <v>45</v>
      </c>
      <c r="L15" s="24" t="s">
        <v>32</v>
      </c>
      <c r="M15" s="37">
        <f>2*D15*M5*H6</f>
        <v>0</v>
      </c>
      <c r="O15" s="81"/>
      <c r="P15" t="s">
        <v>27</v>
      </c>
      <c r="Q15" s="13"/>
      <c r="S15" s="81"/>
      <c r="T15" s="53" t="s">
        <v>45</v>
      </c>
      <c r="U15" s="24" t="s">
        <v>32</v>
      </c>
      <c r="V15" s="59">
        <f>2*(D15-2*Q15)*M5*H6</f>
        <v>0</v>
      </c>
      <c r="W15" s="37">
        <f>2*(D15+2*Q15)*M5*H6</f>
        <v>0</v>
      </c>
    </row>
    <row r="16" spans="1:23" ht="17" thickBot="1" x14ac:dyDescent="0.5">
      <c r="A16" s="82"/>
      <c r="B16" s="19" t="s">
        <v>28</v>
      </c>
      <c r="C16" s="14"/>
      <c r="D16" s="15"/>
      <c r="J16" s="82"/>
      <c r="K16" s="29" t="s">
        <v>46</v>
      </c>
      <c r="L16" s="30" t="s">
        <v>32</v>
      </c>
      <c r="M16" s="40">
        <f>2*D16*M5*H6</f>
        <v>0</v>
      </c>
      <c r="O16" s="82"/>
      <c r="P16" s="19" t="s">
        <v>28</v>
      </c>
      <c r="Q16" s="15"/>
      <c r="S16" s="82"/>
      <c r="T16" s="29" t="s">
        <v>46</v>
      </c>
      <c r="U16" s="30" t="s">
        <v>32</v>
      </c>
      <c r="V16" s="61"/>
      <c r="W16" s="40"/>
    </row>
  </sheetData>
  <mergeCells count="18">
    <mergeCell ref="O14:O16"/>
    <mergeCell ref="S14:S16"/>
    <mergeCell ref="O3:Q3"/>
    <mergeCell ref="S3:W3"/>
    <mergeCell ref="S5:S11"/>
    <mergeCell ref="O6:O11"/>
    <mergeCell ref="O12:O13"/>
    <mergeCell ref="S12:S13"/>
    <mergeCell ref="A14:A16"/>
    <mergeCell ref="A6:A11"/>
    <mergeCell ref="J5:J11"/>
    <mergeCell ref="J12:J13"/>
    <mergeCell ref="J14:J16"/>
    <mergeCell ref="B1:D1"/>
    <mergeCell ref="J3:M3"/>
    <mergeCell ref="A3:D3"/>
    <mergeCell ref="F3:H3"/>
    <mergeCell ref="A12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D89E-DA26-4FDF-A66E-E56BC04CEB67}">
  <dimension ref="A1:W16"/>
  <sheetViews>
    <sheetView tabSelected="1" topLeftCell="D3" workbookViewId="0">
      <selection activeCell="S5" sqref="S5:S11"/>
    </sheetView>
  </sheetViews>
  <sheetFormatPr defaultRowHeight="14.5" x14ac:dyDescent="0.35"/>
  <cols>
    <col min="1" max="1" width="7.6328125" bestFit="1" customWidth="1"/>
    <col min="2" max="2" width="14.1796875" customWidth="1"/>
    <col min="3" max="3" width="8.1796875" customWidth="1"/>
    <col min="4" max="4" width="16.1796875" customWidth="1"/>
    <col min="5" max="5" width="4.08984375" customWidth="1"/>
    <col min="6" max="6" width="13.1796875" customWidth="1"/>
    <col min="7" max="7" width="7.1796875" bestFit="1" customWidth="1"/>
    <col min="8" max="8" width="11.6328125" customWidth="1"/>
    <col min="9" max="9" width="4.81640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36328125" customWidth="1"/>
    <col min="18" max="18" width="4.6328125" customWidth="1"/>
    <col min="22" max="22" width="13" bestFit="1" customWidth="1"/>
    <col min="23" max="23" width="12.08984375" bestFit="1" customWidth="1"/>
  </cols>
  <sheetData>
    <row r="1" spans="1:23" x14ac:dyDescent="0.35">
      <c r="A1" s="9" t="s">
        <v>47</v>
      </c>
      <c r="B1" s="71" t="s">
        <v>78</v>
      </c>
      <c r="C1" s="71"/>
      <c r="D1" s="71"/>
      <c r="F1" s="9" t="s">
        <v>67</v>
      </c>
    </row>
    <row r="2" spans="1:23" ht="15" thickBot="1" x14ac:dyDescent="0.4"/>
    <row r="3" spans="1:23" x14ac:dyDescent="0.35">
      <c r="A3" s="75" t="s">
        <v>20</v>
      </c>
      <c r="B3" s="73"/>
      <c r="C3" s="76"/>
      <c r="D3" s="77"/>
      <c r="F3" s="72" t="s">
        <v>22</v>
      </c>
      <c r="G3" s="73"/>
      <c r="H3" s="74"/>
      <c r="J3" s="72" t="s">
        <v>23</v>
      </c>
      <c r="K3" s="73"/>
      <c r="L3" s="73"/>
      <c r="M3" s="74"/>
      <c r="O3" s="84" t="s">
        <v>68</v>
      </c>
      <c r="P3" s="84"/>
      <c r="Q3" s="84"/>
      <c r="S3" s="72" t="s">
        <v>71</v>
      </c>
      <c r="T3" s="73"/>
      <c r="U3" s="73"/>
      <c r="V3" s="73"/>
      <c r="W3" s="74"/>
    </row>
    <row r="4" spans="1:23" x14ac:dyDescent="0.35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69</v>
      </c>
      <c r="W4" s="18" t="s">
        <v>70</v>
      </c>
    </row>
    <row r="5" spans="1:23" ht="48" customHeight="1" x14ac:dyDescent="0.45">
      <c r="A5" s="35" t="s">
        <v>19</v>
      </c>
      <c r="B5" s="5" t="s">
        <v>14</v>
      </c>
      <c r="C5" s="6" t="s">
        <v>34</v>
      </c>
      <c r="D5" s="20">
        <v>404517.5</v>
      </c>
      <c r="F5" s="33" t="s">
        <v>39</v>
      </c>
      <c r="G5" s="34" t="s">
        <v>31</v>
      </c>
      <c r="H5" s="20">
        <v>9.859999999999999E-10</v>
      </c>
      <c r="J5" s="80" t="s">
        <v>16</v>
      </c>
      <c r="K5" s="22" t="s">
        <v>29</v>
      </c>
      <c r="L5" s="23"/>
      <c r="M5" s="36">
        <f>D5/(4*H5*H6*H9)</f>
        <v>144186.06118382598</v>
      </c>
      <c r="O5" s="60" t="s">
        <v>19</v>
      </c>
      <c r="P5" s="5" t="s">
        <v>14</v>
      </c>
      <c r="Q5" s="20">
        <v>0.11088168</v>
      </c>
      <c r="S5" s="80" t="s">
        <v>16</v>
      </c>
      <c r="T5" s="22" t="s">
        <v>29</v>
      </c>
      <c r="U5" s="23"/>
      <c r="V5" s="62">
        <f>(D5 - 2*Q5)/(4*H5*H6*H9)</f>
        <v>144185.98213857974</v>
      </c>
      <c r="W5" s="64">
        <f>(D5+2*Q5)/(4*H5*H6*H9)</f>
        <v>144186.14022907222</v>
      </c>
    </row>
    <row r="6" spans="1:23" ht="51.65" customHeight="1" x14ac:dyDescent="0.45">
      <c r="A6" s="80" t="s">
        <v>16</v>
      </c>
      <c r="B6" s="48" t="s">
        <v>61</v>
      </c>
      <c r="C6" s="49"/>
      <c r="D6" s="52">
        <v>4.3525</v>
      </c>
      <c r="F6" s="33" t="s">
        <v>33</v>
      </c>
      <c r="G6" s="34" t="s">
        <v>38</v>
      </c>
      <c r="H6" s="20">
        <v>50</v>
      </c>
      <c r="J6" s="81"/>
      <c r="K6" s="54" t="s">
        <v>61</v>
      </c>
      <c r="L6" s="28"/>
      <c r="M6" s="57">
        <f>D6*M5</f>
        <v>627569.83130260254</v>
      </c>
      <c r="O6" s="80" t="s">
        <v>16</v>
      </c>
      <c r="P6" s="48" t="s">
        <v>61</v>
      </c>
      <c r="Q6" s="52">
        <v>1.3365349500000001</v>
      </c>
      <c r="S6" s="81"/>
      <c r="T6" s="54" t="s">
        <v>61</v>
      </c>
      <c r="U6" s="28"/>
      <c r="V6" s="59">
        <f>(D6-2*Q6)*M5</f>
        <v>242150.41115255895</v>
      </c>
      <c r="W6" s="37">
        <f>(D6+2*Q6)*M5</f>
        <v>1012989.2514526462</v>
      </c>
    </row>
    <row r="7" spans="1:23" ht="16.5" x14ac:dyDescent="0.45">
      <c r="A7" s="81"/>
      <c r="B7" s="50" t="s">
        <v>62</v>
      </c>
      <c r="C7" s="4"/>
      <c r="D7" s="13">
        <v>26.373100000000001</v>
      </c>
      <c r="F7" s="16" t="s">
        <v>42</v>
      </c>
      <c r="G7" s="4" t="s">
        <v>41</v>
      </c>
      <c r="H7" s="13">
        <v>603301446</v>
      </c>
      <c r="J7" s="81"/>
      <c r="K7" s="55" t="s">
        <v>62</v>
      </c>
      <c r="L7" s="24"/>
      <c r="M7" s="58">
        <f>D7*M5</f>
        <v>3802633.4102071612</v>
      </c>
      <c r="O7" s="81"/>
      <c r="P7" s="50" t="s">
        <v>62</v>
      </c>
      <c r="Q7" s="13">
        <v>1.5750612900000001</v>
      </c>
      <c r="S7" s="81"/>
      <c r="T7" s="55" t="s">
        <v>62</v>
      </c>
      <c r="U7" s="24"/>
      <c r="V7" s="59">
        <f>(D7-2*Q7)*M5</f>
        <v>3348429.6431507291</v>
      </c>
      <c r="W7" s="37">
        <f>(D7+2*Q7)*M5</f>
        <v>4256837.1772635933</v>
      </c>
    </row>
    <row r="8" spans="1:23" ht="16.5" x14ac:dyDescent="0.45">
      <c r="A8" s="81"/>
      <c r="B8" s="50" t="s">
        <v>63</v>
      </c>
      <c r="C8" s="4"/>
      <c r="D8" s="13"/>
      <c r="F8" s="16" t="s">
        <v>43</v>
      </c>
      <c r="G8" s="4"/>
      <c r="H8" s="13">
        <f>(15859769/599899923)*(1736464/(1839839 + 106915))</f>
        <v>2.3581572371007518E-2</v>
      </c>
      <c r="J8" s="81"/>
      <c r="K8" s="55" t="s">
        <v>63</v>
      </c>
      <c r="L8" s="24"/>
      <c r="M8" s="58">
        <f>D8*M5</f>
        <v>0</v>
      </c>
      <c r="O8" s="81"/>
      <c r="P8" s="50" t="s">
        <v>63</v>
      </c>
      <c r="Q8" s="13"/>
      <c r="S8" s="81"/>
      <c r="T8" s="55" t="s">
        <v>63</v>
      </c>
      <c r="U8" s="24"/>
      <c r="V8" s="59"/>
      <c r="W8" s="37"/>
    </row>
    <row r="9" spans="1:23" ht="24.65" customHeight="1" thickBot="1" x14ac:dyDescent="0.5">
      <c r="A9" s="81"/>
      <c r="B9" s="50" t="s">
        <v>64</v>
      </c>
      <c r="C9" s="4"/>
      <c r="D9" s="13"/>
      <c r="F9" s="32" t="s">
        <v>40</v>
      </c>
      <c r="G9" s="30" t="s">
        <v>41</v>
      </c>
      <c r="H9" s="31">
        <f>H7*H8</f>
        <v>14226796.710382484</v>
      </c>
      <c r="J9" s="81"/>
      <c r="K9" s="55" t="s">
        <v>64</v>
      </c>
      <c r="L9" s="24"/>
      <c r="M9" s="58">
        <f>D9*M5</f>
        <v>0</v>
      </c>
      <c r="O9" s="81"/>
      <c r="P9" s="50" t="s">
        <v>64</v>
      </c>
      <c r="Q9" s="13"/>
      <c r="S9" s="81"/>
      <c r="T9" s="55" t="s">
        <v>64</v>
      </c>
      <c r="U9" s="24"/>
      <c r="V9" s="59"/>
      <c r="W9" s="37"/>
    </row>
    <row r="10" spans="1:23" ht="36.65" customHeight="1" x14ac:dyDescent="0.45">
      <c r="A10" s="81"/>
      <c r="B10" s="50" t="s">
        <v>65</v>
      </c>
      <c r="C10" s="4"/>
      <c r="D10" s="13">
        <v>3.56E-2</v>
      </c>
      <c r="J10" s="81"/>
      <c r="K10" s="55" t="s">
        <v>65</v>
      </c>
      <c r="L10" s="24"/>
      <c r="M10" s="58">
        <f>D10*M5</f>
        <v>5133.0237781442047</v>
      </c>
      <c r="O10" s="81"/>
      <c r="P10" s="50" t="s">
        <v>65</v>
      </c>
      <c r="Q10" s="13">
        <v>3.6542806099999998</v>
      </c>
      <c r="S10" s="81"/>
      <c r="T10" s="55" t="s">
        <v>65</v>
      </c>
      <c r="U10" s="24"/>
      <c r="V10" s="59">
        <f>(D10-2*Q10)*M5</f>
        <v>-1048659.6314545136</v>
      </c>
      <c r="W10" s="37">
        <f>(D10+2*Q10)*M5</f>
        <v>1058925.6790108019</v>
      </c>
    </row>
    <row r="11" spans="1:23" ht="33.65" customHeight="1" x14ac:dyDescent="0.45">
      <c r="A11" s="83"/>
      <c r="B11" s="51" t="s">
        <v>66</v>
      </c>
      <c r="C11" s="6"/>
      <c r="D11" s="20">
        <v>2.4799999999999999E-2</v>
      </c>
      <c r="J11" s="83"/>
      <c r="K11" s="56" t="s">
        <v>66</v>
      </c>
      <c r="L11" s="26"/>
      <c r="M11" s="58">
        <f>D11*M5</f>
        <v>3575.8143173588842</v>
      </c>
      <c r="O11" s="83"/>
      <c r="P11" s="51" t="s">
        <v>66</v>
      </c>
      <c r="Q11" s="20">
        <v>3.22294423</v>
      </c>
      <c r="S11" s="83"/>
      <c r="T11" s="56" t="s">
        <v>66</v>
      </c>
      <c r="U11" s="26"/>
      <c r="V11" s="63">
        <f>(D11-2*Q11)*M5</f>
        <v>-925831.45356031891</v>
      </c>
      <c r="W11" s="38">
        <f>(D11+2*Q11)*M5</f>
        <v>932983.0821950367</v>
      </c>
    </row>
    <row r="12" spans="1:23" ht="27.65" customHeight="1" x14ac:dyDescent="0.45">
      <c r="A12" s="78" t="s">
        <v>17</v>
      </c>
      <c r="B12" t="s">
        <v>35</v>
      </c>
      <c r="C12" s="4" t="s">
        <v>34</v>
      </c>
      <c r="D12" s="13">
        <v>10.747199999999999</v>
      </c>
      <c r="J12" s="80" t="s">
        <v>17</v>
      </c>
      <c r="K12" s="27" t="s">
        <v>24</v>
      </c>
      <c r="L12" s="28" t="s">
        <v>37</v>
      </c>
      <c r="M12" s="39">
        <f>IF(G1="M",(D12*M8)/(2*M5),(D12*M10)/(2*M5))</f>
        <v>0.19130016</v>
      </c>
      <c r="O12" s="81" t="s">
        <v>17</v>
      </c>
      <c r="P12" t="s">
        <v>35</v>
      </c>
      <c r="Q12" s="13">
        <v>3.2266274699999999</v>
      </c>
      <c r="S12" s="80" t="s">
        <v>17</v>
      </c>
      <c r="T12" s="27" t="s">
        <v>24</v>
      </c>
      <c r="U12" s="28" t="s">
        <v>37</v>
      </c>
      <c r="V12" s="59">
        <f>IF(G1="M",((D12-2*Q12)*M8)/(2*M5),((D12-2*Q12)*M10)/(2*M5))</f>
        <v>7.6432222067999989E-2</v>
      </c>
      <c r="W12" s="37">
        <f>IF(G1="M",((D12+2*Q12)*M8)/(2*M5),((D12+2*Q12)*M10)/(2*M5))</f>
        <v>0.30616809793200001</v>
      </c>
    </row>
    <row r="13" spans="1:23" ht="40.25" customHeight="1" x14ac:dyDescent="0.45">
      <c r="A13" s="79"/>
      <c r="B13" s="5" t="s">
        <v>36</v>
      </c>
      <c r="C13" s="6" t="s">
        <v>34</v>
      </c>
      <c r="D13" s="20">
        <v>1.0565</v>
      </c>
      <c r="J13" s="83"/>
      <c r="K13" s="25" t="s">
        <v>25</v>
      </c>
      <c r="L13" s="26" t="s">
        <v>37</v>
      </c>
      <c r="M13" s="38">
        <f>IF(G1="M",(D13*M9)/(M5*2),(D13*M11)/(M5*2))</f>
        <v>1.3100599999999999E-2</v>
      </c>
      <c r="O13" s="83"/>
      <c r="P13" s="5" t="s">
        <v>36</v>
      </c>
      <c r="Q13" s="20">
        <v>4.17443425</v>
      </c>
      <c r="S13" s="83"/>
      <c r="T13" s="25" t="s">
        <v>25</v>
      </c>
      <c r="U13" s="26" t="s">
        <v>37</v>
      </c>
      <c r="V13" s="63">
        <f>IF(G1="M",((D13-2*Q13)*M9)/(M5*2),((D13-2*Q13)*M11)/(M5*2))</f>
        <v>-9.0425369399999997E-2</v>
      </c>
      <c r="W13" s="38">
        <f>IF(G1="M",((D13+2*Q13)*M9)/(M5*2),((D13+2*Q13)*M11)/(M5*2))</f>
        <v>0.1166265694</v>
      </c>
    </row>
    <row r="14" spans="1:23" ht="28.25" customHeight="1" x14ac:dyDescent="0.45">
      <c r="A14" s="80" t="s">
        <v>18</v>
      </c>
      <c r="B14" t="s">
        <v>26</v>
      </c>
      <c r="C14" s="4"/>
      <c r="D14" s="13">
        <v>0.31540000000000001</v>
      </c>
      <c r="J14" s="80" t="s">
        <v>18</v>
      </c>
      <c r="K14" s="53" t="s">
        <v>44</v>
      </c>
      <c r="L14" s="24" t="s">
        <v>32</v>
      </c>
      <c r="M14" s="37">
        <f>2*D14*M5*H6</f>
        <v>4547628.369737871</v>
      </c>
      <c r="O14" s="80" t="s">
        <v>18</v>
      </c>
      <c r="P14" t="s">
        <v>26</v>
      </c>
      <c r="Q14" s="13">
        <v>0.69228957000000002</v>
      </c>
      <c r="S14" s="80" t="s">
        <v>18</v>
      </c>
      <c r="T14" s="53" t="s">
        <v>44</v>
      </c>
      <c r="U14" s="24" t="s">
        <v>32</v>
      </c>
      <c r="V14" s="59">
        <f>2*(D14-2*Q14)*M5*H6</f>
        <v>-15416072.889651047</v>
      </c>
      <c r="W14" s="37">
        <f>2*(D14+2*Q14)*M5*H6</f>
        <v>24511329.629126783</v>
      </c>
    </row>
    <row r="15" spans="1:23" ht="16.5" x14ac:dyDescent="0.45">
      <c r="A15" s="81"/>
      <c r="B15" t="s">
        <v>27</v>
      </c>
      <c r="C15" s="4"/>
      <c r="D15" s="13">
        <v>8.9899999999999994E-2</v>
      </c>
      <c r="J15" s="81"/>
      <c r="K15" s="53" t="s">
        <v>45</v>
      </c>
      <c r="L15" s="24" t="s">
        <v>32</v>
      </c>
      <c r="M15" s="37">
        <f>2*D15*M5*H6</f>
        <v>1296232.6900425954</v>
      </c>
      <c r="O15" s="81"/>
      <c r="P15" t="s">
        <v>27</v>
      </c>
      <c r="Q15" s="13">
        <v>3.0329948099999999</v>
      </c>
      <c r="S15" s="81"/>
      <c r="T15" s="53" t="s">
        <v>45</v>
      </c>
      <c r="U15" s="24" t="s">
        <v>32</v>
      </c>
      <c r="V15" s="59">
        <f>2*(D15-2*Q15)*M5*H6</f>
        <v>-86166882.35893473</v>
      </c>
      <c r="W15" s="37">
        <f>2*(D15+2*Q15)*M5*H6</f>
        <v>88759347.739019915</v>
      </c>
    </row>
    <row r="16" spans="1:23" ht="17" thickBot="1" x14ac:dyDescent="0.5">
      <c r="A16" s="82"/>
      <c r="B16" s="19" t="s">
        <v>28</v>
      </c>
      <c r="C16" s="14"/>
      <c r="D16" s="15"/>
      <c r="J16" s="82"/>
      <c r="K16" s="29" t="s">
        <v>46</v>
      </c>
      <c r="L16" s="30" t="s">
        <v>32</v>
      </c>
      <c r="M16" s="40">
        <f>2*D16*M5*H6</f>
        <v>0</v>
      </c>
      <c r="O16" s="82"/>
      <c r="P16" s="19" t="s">
        <v>28</v>
      </c>
      <c r="Q16" s="15"/>
      <c r="S16" s="82"/>
      <c r="T16" s="29" t="s">
        <v>46</v>
      </c>
      <c r="U16" s="30" t="s">
        <v>32</v>
      </c>
      <c r="V16" s="61"/>
      <c r="W16" s="40"/>
    </row>
  </sheetData>
  <mergeCells count="18">
    <mergeCell ref="A14:A16"/>
    <mergeCell ref="J14:J16"/>
    <mergeCell ref="O14:O16"/>
    <mergeCell ref="S14:S16"/>
    <mergeCell ref="J5:J11"/>
    <mergeCell ref="S5:S11"/>
    <mergeCell ref="A6:A11"/>
    <mergeCell ref="O6:O11"/>
    <mergeCell ref="A12:A13"/>
    <mergeCell ref="J12:J13"/>
    <mergeCell ref="O12:O13"/>
    <mergeCell ref="S12:S13"/>
    <mergeCell ref="S3:W3"/>
    <mergeCell ref="B1:D1"/>
    <mergeCell ref="A3:D3"/>
    <mergeCell ref="F3:H3"/>
    <mergeCell ref="J3:M3"/>
    <mergeCell ref="O3: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86A7-D54E-44B9-8D29-A3DBE24275A0}">
  <dimension ref="A1:W16"/>
  <sheetViews>
    <sheetView topLeftCell="F1" workbookViewId="0">
      <selection activeCell="P2" sqref="P2"/>
    </sheetView>
  </sheetViews>
  <sheetFormatPr defaultRowHeight="14.5" x14ac:dyDescent="0.35"/>
  <cols>
    <col min="1" max="1" width="7.6328125" bestFit="1" customWidth="1"/>
    <col min="2" max="2" width="14.1796875" customWidth="1"/>
    <col min="3" max="3" width="8.1796875" customWidth="1"/>
    <col min="4" max="4" width="16.1796875" customWidth="1"/>
    <col min="5" max="5" width="4.08984375" customWidth="1"/>
    <col min="6" max="6" width="13.1796875" customWidth="1"/>
    <col min="7" max="7" width="7.1796875" bestFit="1" customWidth="1"/>
    <col min="8" max="8" width="11.6328125" customWidth="1"/>
    <col min="9" max="9" width="4.81640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36328125" customWidth="1"/>
    <col min="16" max="16" width="10.54296875" bestFit="1" customWidth="1"/>
    <col min="18" max="18" width="4.6328125" customWidth="1"/>
    <col min="22" max="22" width="12" bestFit="1" customWidth="1"/>
    <col min="23" max="23" width="12.08984375" bestFit="1" customWidth="1"/>
  </cols>
  <sheetData>
    <row r="1" spans="1:23" x14ac:dyDescent="0.35">
      <c r="A1" s="9" t="s">
        <v>47</v>
      </c>
      <c r="B1" s="71" t="s">
        <v>79</v>
      </c>
      <c r="C1" s="71"/>
      <c r="D1" s="71"/>
      <c r="F1" s="9" t="s">
        <v>67</v>
      </c>
    </row>
    <row r="2" spans="1:23" ht="15" thickBot="1" x14ac:dyDescent="0.4"/>
    <row r="3" spans="1:23" x14ac:dyDescent="0.35">
      <c r="A3" s="75" t="s">
        <v>20</v>
      </c>
      <c r="B3" s="73"/>
      <c r="C3" s="76"/>
      <c r="D3" s="77"/>
      <c r="F3" s="72" t="s">
        <v>22</v>
      </c>
      <c r="G3" s="73"/>
      <c r="H3" s="74"/>
      <c r="J3" s="72" t="s">
        <v>23</v>
      </c>
      <c r="K3" s="73"/>
      <c r="L3" s="73"/>
      <c r="M3" s="74"/>
      <c r="O3" s="84" t="s">
        <v>68</v>
      </c>
      <c r="P3" s="84"/>
      <c r="Q3" s="84"/>
      <c r="S3" s="72" t="s">
        <v>71</v>
      </c>
      <c r="T3" s="73"/>
      <c r="U3" s="73"/>
      <c r="V3" s="73"/>
      <c r="W3" s="74"/>
    </row>
    <row r="4" spans="1:23" x14ac:dyDescent="0.35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69</v>
      </c>
      <c r="W4" s="18" t="s">
        <v>70</v>
      </c>
    </row>
    <row r="5" spans="1:23" ht="48" customHeight="1" x14ac:dyDescent="0.45">
      <c r="A5" s="35" t="s">
        <v>19</v>
      </c>
      <c r="B5" s="5" t="s">
        <v>14</v>
      </c>
      <c r="C5" s="6" t="s">
        <v>34</v>
      </c>
      <c r="D5" s="20">
        <v>534487.1</v>
      </c>
      <c r="F5" s="33" t="s">
        <v>39</v>
      </c>
      <c r="G5" s="34" t="s">
        <v>31</v>
      </c>
      <c r="H5" s="20">
        <v>9.859999999999999E-10</v>
      </c>
      <c r="J5" s="80" t="s">
        <v>16</v>
      </c>
      <c r="K5" s="22" t="s">
        <v>29</v>
      </c>
      <c r="L5" s="23"/>
      <c r="M5" s="36">
        <f>D5/(4*H5*H6*H9)</f>
        <v>190512.37511990385</v>
      </c>
      <c r="O5" s="60" t="s">
        <v>19</v>
      </c>
      <c r="P5" s="5" t="s">
        <v>14</v>
      </c>
      <c r="Q5" s="20"/>
      <c r="S5" s="80" t="s">
        <v>16</v>
      </c>
      <c r="T5" s="22" t="s">
        <v>29</v>
      </c>
      <c r="U5" s="23"/>
      <c r="V5" s="62">
        <f>(D5 - 2*Q5)/(4*H5*H6*H9)</f>
        <v>190512.37511990385</v>
      </c>
      <c r="W5" s="64">
        <f>(D5+2*Q5)/(4*H5*H6*H9)</f>
        <v>190512.37511990385</v>
      </c>
    </row>
    <row r="6" spans="1:23" ht="51.65" customHeight="1" x14ac:dyDescent="0.45">
      <c r="A6" s="80" t="s">
        <v>16</v>
      </c>
      <c r="B6" s="48" t="s">
        <v>61</v>
      </c>
      <c r="C6" s="49"/>
      <c r="D6" s="52">
        <v>3.5617000000000001</v>
      </c>
      <c r="F6" s="33" t="s">
        <v>33</v>
      </c>
      <c r="G6" s="34" t="s">
        <v>38</v>
      </c>
      <c r="H6" s="20">
        <v>50</v>
      </c>
      <c r="J6" s="81"/>
      <c r="K6" s="54" t="s">
        <v>61</v>
      </c>
      <c r="L6" s="28"/>
      <c r="M6" s="57">
        <f>D6*M5</f>
        <v>678547.92646456161</v>
      </c>
      <c r="O6" s="80" t="s">
        <v>16</v>
      </c>
      <c r="P6" s="48" t="s">
        <v>61</v>
      </c>
      <c r="Q6" s="52"/>
      <c r="S6" s="81"/>
      <c r="T6" s="54" t="s">
        <v>61</v>
      </c>
      <c r="U6" s="28"/>
      <c r="V6" s="59">
        <f>(D6-2*Q6)*M5</f>
        <v>678547.92646456161</v>
      </c>
      <c r="W6" s="37">
        <f>(D6+2*Q6)*M5</f>
        <v>678547.92646456161</v>
      </c>
    </row>
    <row r="7" spans="1:23" ht="16.5" x14ac:dyDescent="0.45">
      <c r="A7" s="81"/>
      <c r="B7" s="50" t="s">
        <v>62</v>
      </c>
      <c r="C7" s="4"/>
      <c r="D7" s="13">
        <v>27.1096</v>
      </c>
      <c r="F7" s="16" t="s">
        <v>42</v>
      </c>
      <c r="G7" s="4" t="s">
        <v>41</v>
      </c>
      <c r="H7" s="13">
        <v>603301446</v>
      </c>
      <c r="J7" s="81"/>
      <c r="K7" s="55" t="s">
        <v>62</v>
      </c>
      <c r="L7" s="24"/>
      <c r="M7" s="58">
        <f>D7*M5</f>
        <v>5164714.2845505457</v>
      </c>
      <c r="O7" s="81"/>
      <c r="P7" s="50" t="s">
        <v>62</v>
      </c>
      <c r="Q7" s="13"/>
      <c r="S7" s="81"/>
      <c r="T7" s="55" t="s">
        <v>62</v>
      </c>
      <c r="U7" s="24"/>
      <c r="V7" s="59">
        <f>(D7-2*Q7)*M5</f>
        <v>5164714.2845505457</v>
      </c>
      <c r="W7" s="37">
        <f>(D7+2*Q7)*M5</f>
        <v>5164714.2845505457</v>
      </c>
    </row>
    <row r="8" spans="1:23" ht="16.5" x14ac:dyDescent="0.45">
      <c r="A8" s="81"/>
      <c r="B8" s="50" t="s">
        <v>63</v>
      </c>
      <c r="C8" s="4"/>
      <c r="D8" s="13"/>
      <c r="F8" s="16" t="s">
        <v>43</v>
      </c>
      <c r="G8" s="4"/>
      <c r="H8" s="13">
        <f>(15859769/599899923)*(1736464/(1839839 + 106915))</f>
        <v>2.3581572371007518E-2</v>
      </c>
      <c r="J8" s="81"/>
      <c r="K8" s="55" t="s">
        <v>63</v>
      </c>
      <c r="L8" s="24"/>
      <c r="M8" s="58">
        <f>D8*M5</f>
        <v>0</v>
      </c>
      <c r="O8" s="81"/>
      <c r="P8" s="50" t="s">
        <v>63</v>
      </c>
      <c r="Q8" s="13"/>
      <c r="S8" s="81"/>
      <c r="T8" s="55" t="s">
        <v>63</v>
      </c>
      <c r="U8" s="24"/>
      <c r="V8" s="59"/>
      <c r="W8" s="37"/>
    </row>
    <row r="9" spans="1:23" ht="24.65" customHeight="1" thickBot="1" x14ac:dyDescent="0.5">
      <c r="A9" s="81"/>
      <c r="B9" s="50" t="s">
        <v>64</v>
      </c>
      <c r="C9" s="4"/>
      <c r="D9" s="13"/>
      <c r="F9" s="32" t="s">
        <v>40</v>
      </c>
      <c r="G9" s="30" t="s">
        <v>41</v>
      </c>
      <c r="H9" s="31">
        <f>H7*H8</f>
        <v>14226796.710382484</v>
      </c>
      <c r="J9" s="81"/>
      <c r="K9" s="55" t="s">
        <v>64</v>
      </c>
      <c r="L9" s="24"/>
      <c r="M9" s="58">
        <f>D9*M5</f>
        <v>0</v>
      </c>
      <c r="O9" s="81"/>
      <c r="P9" s="50" t="s">
        <v>64</v>
      </c>
      <c r="Q9" s="13"/>
      <c r="S9" s="81"/>
      <c r="T9" s="55" t="s">
        <v>64</v>
      </c>
      <c r="U9" s="24"/>
      <c r="V9" s="59"/>
      <c r="W9" s="37"/>
    </row>
    <row r="10" spans="1:23" ht="36.65" customHeight="1" x14ac:dyDescent="0.45">
      <c r="A10" s="81"/>
      <c r="B10" s="50" t="s">
        <v>65</v>
      </c>
      <c r="C10" s="4"/>
      <c r="D10" s="13">
        <v>2.5600000000000001E-2</v>
      </c>
      <c r="J10" s="81"/>
      <c r="K10" s="55" t="s">
        <v>65</v>
      </c>
      <c r="L10" s="24"/>
      <c r="M10" s="58">
        <f>D10*M5</f>
        <v>4877.1168030695389</v>
      </c>
      <c r="O10" s="81"/>
      <c r="P10" s="50" t="s">
        <v>65</v>
      </c>
      <c r="Q10" s="13"/>
      <c r="S10" s="81"/>
      <c r="T10" s="55" t="s">
        <v>65</v>
      </c>
      <c r="U10" s="24"/>
      <c r="V10" s="59">
        <f>(D10-2*Q10)*M5</f>
        <v>4877.1168030695389</v>
      </c>
      <c r="W10" s="37">
        <f>(D10+2*Q10)*M5</f>
        <v>4877.1168030695389</v>
      </c>
    </row>
    <row r="11" spans="1:23" ht="33.65" customHeight="1" x14ac:dyDescent="0.45">
      <c r="A11" s="83"/>
      <c r="B11" s="51" t="s">
        <v>66</v>
      </c>
      <c r="C11" s="6"/>
      <c r="D11" s="20">
        <v>1.0999999999999999E-2</v>
      </c>
      <c r="J11" s="83"/>
      <c r="K11" s="56" t="s">
        <v>66</v>
      </c>
      <c r="L11" s="26"/>
      <c r="M11" s="58">
        <f>D11*M5</f>
        <v>2095.6361263189424</v>
      </c>
      <c r="O11" s="83"/>
      <c r="P11" s="51" t="s">
        <v>66</v>
      </c>
      <c r="Q11" s="20"/>
      <c r="S11" s="83"/>
      <c r="T11" s="56" t="s">
        <v>66</v>
      </c>
      <c r="U11" s="26"/>
      <c r="V11" s="63">
        <f>(D11-2*Q11)*M5</f>
        <v>2095.6361263189424</v>
      </c>
      <c r="W11" s="38">
        <f>(D11+2*Q11)*M5</f>
        <v>2095.6361263189424</v>
      </c>
    </row>
    <row r="12" spans="1:23" ht="27.65" customHeight="1" x14ac:dyDescent="0.45">
      <c r="A12" s="78" t="s">
        <v>17</v>
      </c>
      <c r="B12" t="s">
        <v>35</v>
      </c>
      <c r="C12" s="4" t="s">
        <v>34</v>
      </c>
      <c r="D12" s="13"/>
      <c r="J12" s="80" t="s">
        <v>17</v>
      </c>
      <c r="K12" s="27" t="s">
        <v>24</v>
      </c>
      <c r="L12" s="28" t="s">
        <v>37</v>
      </c>
      <c r="M12" s="39">
        <f>IF(G1="M",(D12*M8)/(2*M5),(D12*M10)/(2*M5))</f>
        <v>0</v>
      </c>
      <c r="O12" s="81" t="s">
        <v>17</v>
      </c>
      <c r="P12" t="s">
        <v>35</v>
      </c>
      <c r="Q12" s="13"/>
      <c r="S12" s="80" t="s">
        <v>17</v>
      </c>
      <c r="T12" s="27" t="s">
        <v>24</v>
      </c>
      <c r="U12" s="28" t="s">
        <v>37</v>
      </c>
      <c r="V12" s="59">
        <f>IF(G1="M",((D12-2*Q12)*M8)/(2*M5),((D12-2*Q12)*M10)/(2*M5))</f>
        <v>0</v>
      </c>
      <c r="W12" s="37">
        <f>IF(G1="M",((D12+2*Q12)*M8)/(2*M5),((D12+2*Q12)*M10)/(2*M5))</f>
        <v>0</v>
      </c>
    </row>
    <row r="13" spans="1:23" ht="40.25" customHeight="1" x14ac:dyDescent="0.45">
      <c r="A13" s="79"/>
      <c r="B13" s="5" t="s">
        <v>36</v>
      </c>
      <c r="C13" s="6" t="s">
        <v>34</v>
      </c>
      <c r="D13" s="20"/>
      <c r="J13" s="83"/>
      <c r="K13" s="25" t="s">
        <v>25</v>
      </c>
      <c r="L13" s="26" t="s">
        <v>37</v>
      </c>
      <c r="M13" s="38">
        <f>IF(G1="M",(D13*M9)/(M5*2),(D13*M11)/(M5*2))</f>
        <v>0</v>
      </c>
      <c r="O13" s="83"/>
      <c r="P13" s="5" t="s">
        <v>36</v>
      </c>
      <c r="Q13" s="20"/>
      <c r="S13" s="83"/>
      <c r="T13" s="25" t="s">
        <v>25</v>
      </c>
      <c r="U13" s="26" t="s">
        <v>37</v>
      </c>
      <c r="V13" s="63">
        <f>IF(G1="M",((D13-2*Q13)*M9)/(M5*2),((D13-2*Q13)*M11)/(M5*2))</f>
        <v>0</v>
      </c>
      <c r="W13" s="38">
        <f>IF(G1="M",((D13+2*Q13)*M9)/(M5*2),((D13+2*Q13)*M11)/(M5*2))</f>
        <v>0</v>
      </c>
    </row>
    <row r="14" spans="1:23" ht="28.25" customHeight="1" x14ac:dyDescent="0.45">
      <c r="A14" s="80" t="s">
        <v>18</v>
      </c>
      <c r="B14" t="s">
        <v>26</v>
      </c>
      <c r="C14" s="4"/>
      <c r="D14" s="13">
        <v>3.39E-2</v>
      </c>
      <c r="J14" s="80" t="s">
        <v>18</v>
      </c>
      <c r="K14" s="53" t="s">
        <v>44</v>
      </c>
      <c r="L14" s="24" t="s">
        <v>32</v>
      </c>
      <c r="M14" s="37">
        <f>2*D14*M5*H6</f>
        <v>645836.95165647403</v>
      </c>
      <c r="O14" s="80" t="s">
        <v>18</v>
      </c>
      <c r="P14" t="s">
        <v>26</v>
      </c>
      <c r="Q14" s="13"/>
      <c r="S14" s="80" t="s">
        <v>18</v>
      </c>
      <c r="T14" s="53" t="s">
        <v>44</v>
      </c>
      <c r="U14" s="24" t="s">
        <v>32</v>
      </c>
      <c r="V14" s="59">
        <f>2*(D14-2*Q14)*M5*H6</f>
        <v>645836.95165647403</v>
      </c>
      <c r="W14" s="37">
        <f>2*(D14+2*Q14)*M5*H6</f>
        <v>645836.95165647403</v>
      </c>
    </row>
    <row r="15" spans="1:23" ht="16.5" x14ac:dyDescent="0.45">
      <c r="A15" s="81"/>
      <c r="B15" t="s">
        <v>27</v>
      </c>
      <c r="C15" s="4"/>
      <c r="D15" s="13"/>
      <c r="J15" s="81"/>
      <c r="K15" s="53" t="s">
        <v>45</v>
      </c>
      <c r="L15" s="24" t="s">
        <v>32</v>
      </c>
      <c r="M15" s="37">
        <f>2*D15*M5*H6</f>
        <v>0</v>
      </c>
      <c r="O15" s="81"/>
      <c r="P15" t="s">
        <v>27</v>
      </c>
      <c r="Q15" s="13"/>
      <c r="S15" s="81"/>
      <c r="T15" s="53" t="s">
        <v>45</v>
      </c>
      <c r="U15" s="24" t="s">
        <v>32</v>
      </c>
      <c r="V15" s="59">
        <f>2*(D15-2*Q15)*M5*H6</f>
        <v>0</v>
      </c>
      <c r="W15" s="37">
        <f>2*(D15+2*Q15)*M5*H6</f>
        <v>0</v>
      </c>
    </row>
    <row r="16" spans="1:23" ht="17" thickBot="1" x14ac:dyDescent="0.5">
      <c r="A16" s="82"/>
      <c r="B16" s="19" t="s">
        <v>28</v>
      </c>
      <c r="C16" s="14"/>
      <c r="D16" s="15"/>
      <c r="J16" s="82"/>
      <c r="K16" s="29" t="s">
        <v>46</v>
      </c>
      <c r="L16" s="30" t="s">
        <v>32</v>
      </c>
      <c r="M16" s="40">
        <f>2*D16*M5*H6</f>
        <v>0</v>
      </c>
      <c r="O16" s="82"/>
      <c r="P16" s="19" t="s">
        <v>28</v>
      </c>
      <c r="Q16" s="15"/>
      <c r="S16" s="82"/>
      <c r="T16" s="29" t="s">
        <v>46</v>
      </c>
      <c r="U16" s="30" t="s">
        <v>32</v>
      </c>
      <c r="V16" s="61"/>
      <c r="W16" s="40"/>
    </row>
  </sheetData>
  <mergeCells count="18">
    <mergeCell ref="A14:A16"/>
    <mergeCell ref="J14:J16"/>
    <mergeCell ref="O14:O16"/>
    <mergeCell ref="S14:S16"/>
    <mergeCell ref="J5:J11"/>
    <mergeCell ref="S5:S11"/>
    <mergeCell ref="A6:A11"/>
    <mergeCell ref="O6:O11"/>
    <mergeCell ref="A12:A13"/>
    <mergeCell ref="J12:J13"/>
    <mergeCell ref="O12:O13"/>
    <mergeCell ref="S12:S13"/>
    <mergeCell ref="S3:W3"/>
    <mergeCell ref="B1:D1"/>
    <mergeCell ref="A3:D3"/>
    <mergeCell ref="F3:H3"/>
    <mergeCell ref="J3:M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model results</vt:lpstr>
      <vt:lpstr>calc templ</vt:lpstr>
      <vt:lpstr>Model 4</vt:lpstr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Kasey</cp:lastModifiedBy>
  <dcterms:created xsi:type="dcterms:W3CDTF">2015-06-05T18:17:20Z</dcterms:created>
  <dcterms:modified xsi:type="dcterms:W3CDTF">2024-06-23T15:32:41Z</dcterms:modified>
</cp:coreProperties>
</file>